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1_Recurring Filings\01_Annual\KEDS_EDR_NERC\NERC\2025\As Filed\"/>
    </mc:Choice>
  </mc:AlternateContent>
  <xr:revisionPtr revIDLastSave="0" documentId="13_ncr:1_{1236CAE3-E429-4C73-98EC-5EE671B6A3C8}" xr6:coauthVersionLast="47" xr6:coauthVersionMax="47" xr10:uidLastSave="{00000000-0000-0000-0000-000000000000}"/>
  <bookViews>
    <workbookView xWindow="-28920" yWindow="-120" windowWidth="29040" windowHeight="15720" tabRatio="789" xr2:uid="{00000000-000D-0000-FFFF-FFFF00000000}"/>
  </bookViews>
  <sheets>
    <sheet name="CC on investment" sheetId="7" r:id="rId1"/>
    <sheet name="CC on investment BU 110" sheetId="2" r:id="rId2"/>
    <sheet name="CC on investment BU 117" sheetId="5" r:id="rId3"/>
    <sheet name="CC on investment BU 180" sheetId="6" r:id="rId4"/>
    <sheet name="NERCAMRT - Depreciation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7" l="1"/>
  <c r="B59" i="7" l="1"/>
  <c r="B58" i="7"/>
  <c r="B57" i="7" l="1"/>
  <c r="B56" i="7" l="1"/>
  <c r="B54" i="7" l="1"/>
  <c r="B55" i="7"/>
  <c r="B53" i="7"/>
  <c r="A6" i="6" l="1"/>
  <c r="A6" i="5"/>
  <c r="A6" i="2"/>
  <c r="C9" i="6" l="1"/>
  <c r="C10" i="6"/>
  <c r="C8" i="6"/>
  <c r="C9" i="5"/>
  <c r="C10" i="5"/>
  <c r="C8" i="5"/>
  <c r="C9" i="2"/>
  <c r="C10" i="2"/>
  <c r="C8" i="2"/>
  <c r="K60" i="6"/>
  <c r="K59" i="6"/>
  <c r="K58" i="6"/>
  <c r="K57" i="6"/>
  <c r="K56" i="6"/>
  <c r="K55" i="6"/>
  <c r="K54" i="6"/>
  <c r="K53" i="6"/>
  <c r="K52" i="6"/>
  <c r="K51" i="6"/>
  <c r="K50" i="6"/>
  <c r="J49" i="6"/>
  <c r="I49" i="6"/>
  <c r="K60" i="5"/>
  <c r="K59" i="5"/>
  <c r="K58" i="5"/>
  <c r="K57" i="5"/>
  <c r="K56" i="5"/>
  <c r="K55" i="5"/>
  <c r="K54" i="5"/>
  <c r="K53" i="5"/>
  <c r="K52" i="5"/>
  <c r="K51" i="5"/>
  <c r="K50" i="5"/>
  <c r="J49" i="5"/>
  <c r="I49" i="5"/>
  <c r="K60" i="2"/>
  <c r="K59" i="2"/>
  <c r="K58" i="2"/>
  <c r="K57" i="2"/>
  <c r="K56" i="2"/>
  <c r="K55" i="2"/>
  <c r="K54" i="2"/>
  <c r="K53" i="2"/>
  <c r="K52" i="2"/>
  <c r="K51" i="2"/>
  <c r="K50" i="2"/>
  <c r="J49" i="2"/>
  <c r="I49" i="2"/>
  <c r="G49" i="6"/>
  <c r="G49" i="5"/>
  <c r="G49" i="2"/>
  <c r="K51" i="7"/>
  <c r="K52" i="7"/>
  <c r="K53" i="7"/>
  <c r="K54" i="7"/>
  <c r="K55" i="7"/>
  <c r="K56" i="7"/>
  <c r="K57" i="7"/>
  <c r="K58" i="7"/>
  <c r="K59" i="7"/>
  <c r="K60" i="7"/>
  <c r="J49" i="7"/>
  <c r="I49" i="7"/>
  <c r="G49" i="7"/>
  <c r="K49" i="6" l="1"/>
  <c r="K49" i="2"/>
  <c r="K49" i="5"/>
  <c r="M91" i="8" l="1"/>
  <c r="L91" i="8"/>
  <c r="K91" i="8"/>
  <c r="M90" i="8" l="1"/>
  <c r="L90" i="8"/>
  <c r="K90" i="8"/>
  <c r="M155" i="8"/>
  <c r="L155" i="8"/>
  <c r="K155" i="8"/>
  <c r="N166" i="8" l="1"/>
  <c r="N165" i="8"/>
  <c r="N164" i="8"/>
  <c r="N163" i="8"/>
  <c r="N162" i="8"/>
  <c r="N161" i="8"/>
  <c r="N160" i="8"/>
  <c r="N159" i="8"/>
  <c r="N158" i="8"/>
  <c r="N157" i="8"/>
  <c r="N156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1" i="8"/>
  <c r="N100" i="8"/>
  <c r="N99" i="8"/>
  <c r="N98" i="8"/>
  <c r="N97" i="8"/>
  <c r="N96" i="8"/>
  <c r="N95" i="8"/>
  <c r="N94" i="8"/>
  <c r="N93" i="8"/>
  <c r="N92" i="8"/>
  <c r="N91" i="8"/>
  <c r="G51" i="8"/>
  <c r="P51" i="8" s="1"/>
  <c r="N155" i="8" l="1"/>
  <c r="N167" i="8" s="1"/>
  <c r="N115" i="8"/>
  <c r="N141" i="8"/>
  <c r="N90" i="8"/>
  <c r="N102" i="8" s="1"/>
  <c r="N128" i="8"/>
  <c r="N154" i="8"/>
  <c r="N169" i="8" l="1"/>
  <c r="B50" i="7" l="1"/>
  <c r="B51" i="7"/>
  <c r="B52" i="7"/>
  <c r="K49" i="7"/>
  <c r="K50" i="7"/>
  <c r="B49" i="7"/>
  <c r="K48" i="6"/>
  <c r="K41" i="2"/>
  <c r="B20" i="7"/>
  <c r="B19" i="7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48" i="2"/>
  <c r="K47" i="2"/>
  <c r="K46" i="2"/>
  <c r="K45" i="2"/>
  <c r="K44" i="2"/>
  <c r="K43" i="2"/>
  <c r="K42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B15" i="7"/>
  <c r="B16" i="7"/>
  <c r="B17" i="7"/>
  <c r="B18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J127" i="8"/>
  <c r="J126" i="8"/>
  <c r="J125" i="8"/>
  <c r="J124" i="8"/>
  <c r="J123" i="8"/>
  <c r="J122" i="8"/>
  <c r="J121" i="8"/>
  <c r="J120" i="8"/>
  <c r="J119" i="8"/>
  <c r="J118" i="8"/>
  <c r="J117" i="8"/>
  <c r="I116" i="8"/>
  <c r="G116" i="8"/>
  <c r="H116" i="8"/>
  <c r="J114" i="8"/>
  <c r="J113" i="8"/>
  <c r="J112" i="8"/>
  <c r="J111" i="8"/>
  <c r="J110" i="8"/>
  <c r="J109" i="8"/>
  <c r="J108" i="8"/>
  <c r="J107" i="8"/>
  <c r="J106" i="8"/>
  <c r="J105" i="8"/>
  <c r="J103" i="8"/>
  <c r="J104" i="8"/>
  <c r="J101" i="8"/>
  <c r="J100" i="8"/>
  <c r="J99" i="8"/>
  <c r="J98" i="8"/>
  <c r="J97" i="8"/>
  <c r="J96" i="8"/>
  <c r="J95" i="8"/>
  <c r="J94" i="8"/>
  <c r="J93" i="8"/>
  <c r="J92" i="8"/>
  <c r="J91" i="8"/>
  <c r="J90" i="8"/>
  <c r="J88" i="8"/>
  <c r="J87" i="8"/>
  <c r="J86" i="8"/>
  <c r="J85" i="8"/>
  <c r="J84" i="8"/>
  <c r="J83" i="8"/>
  <c r="J82" i="8"/>
  <c r="J81" i="8"/>
  <c r="J80" i="8"/>
  <c r="J79" i="8"/>
  <c r="J78" i="8"/>
  <c r="J77" i="8"/>
  <c r="E77" i="8"/>
  <c r="C77" i="8"/>
  <c r="D77" i="8"/>
  <c r="J75" i="8"/>
  <c r="F75" i="8"/>
  <c r="J74" i="8"/>
  <c r="F74" i="8"/>
  <c r="J73" i="8"/>
  <c r="F73" i="8"/>
  <c r="J72" i="8"/>
  <c r="F72" i="8"/>
  <c r="J71" i="8"/>
  <c r="F71" i="8"/>
  <c r="J70" i="8"/>
  <c r="F70" i="8"/>
  <c r="J69" i="8"/>
  <c r="F69" i="8"/>
  <c r="J68" i="8"/>
  <c r="F68" i="8"/>
  <c r="J67" i="8"/>
  <c r="F67" i="8"/>
  <c r="J66" i="8"/>
  <c r="F66" i="8"/>
  <c r="J65" i="8"/>
  <c r="J64" i="8"/>
  <c r="F65" i="8"/>
  <c r="F64" i="8"/>
  <c r="J62" i="8"/>
  <c r="F62" i="8"/>
  <c r="J61" i="8"/>
  <c r="F61" i="8"/>
  <c r="J60" i="8"/>
  <c r="F60" i="8"/>
  <c r="J59" i="8"/>
  <c r="F59" i="8"/>
  <c r="J58" i="8"/>
  <c r="F58" i="8"/>
  <c r="J57" i="8"/>
  <c r="F57" i="8"/>
  <c r="J56" i="8"/>
  <c r="F56" i="8"/>
  <c r="J55" i="8"/>
  <c r="F55" i="8"/>
  <c r="J54" i="8"/>
  <c r="F54" i="8"/>
  <c r="J53" i="8"/>
  <c r="F53" i="8"/>
  <c r="F51" i="8"/>
  <c r="F52" i="8"/>
  <c r="J52" i="8"/>
  <c r="I51" i="8"/>
  <c r="R51" i="8" s="1"/>
  <c r="H51" i="8"/>
  <c r="Q51" i="8" s="1"/>
  <c r="F49" i="8"/>
  <c r="F48" i="8"/>
  <c r="F47" i="8"/>
  <c r="F46" i="8"/>
  <c r="F45" i="8"/>
  <c r="F44" i="8"/>
  <c r="F43" i="8"/>
  <c r="F42" i="8"/>
  <c r="F41" i="8"/>
  <c r="F40" i="8"/>
  <c r="F39" i="8"/>
  <c r="F38" i="8"/>
  <c r="F36" i="8"/>
  <c r="F35" i="8"/>
  <c r="F34" i="8"/>
  <c r="F33" i="8"/>
  <c r="F32" i="8"/>
  <c r="F31" i="8"/>
  <c r="F30" i="8"/>
  <c r="F29" i="8"/>
  <c r="F28" i="8"/>
  <c r="F27" i="8"/>
  <c r="F26" i="8"/>
  <c r="F25" i="8"/>
  <c r="F23" i="8"/>
  <c r="F22" i="8"/>
  <c r="F21" i="8"/>
  <c r="F20" i="8"/>
  <c r="F19" i="8"/>
  <c r="F18" i="8"/>
  <c r="F17" i="8"/>
  <c r="F16" i="8"/>
  <c r="F15" i="8"/>
  <c r="F14" i="8"/>
  <c r="F13" i="8"/>
  <c r="F12" i="8"/>
  <c r="K13" i="5"/>
  <c r="B13" i="5"/>
  <c r="K13" i="6"/>
  <c r="B13" i="6"/>
  <c r="K13" i="2"/>
  <c r="B13" i="2"/>
  <c r="K14" i="2"/>
  <c r="K13" i="7"/>
  <c r="B14" i="7"/>
  <c r="B12" i="7"/>
  <c r="B13" i="7" s="1"/>
  <c r="K14" i="7"/>
  <c r="K12" i="7"/>
  <c r="K14" i="6"/>
  <c r="K12" i="6"/>
  <c r="E12" i="6"/>
  <c r="F12" i="6" s="1"/>
  <c r="H12" i="6" s="1"/>
  <c r="K14" i="5"/>
  <c r="K12" i="5"/>
  <c r="E12" i="5"/>
  <c r="F12" i="5" s="1"/>
  <c r="H12" i="5" s="1"/>
  <c r="E12" i="2"/>
  <c r="F12" i="2" s="1"/>
  <c r="H12" i="2" s="1"/>
  <c r="K12" i="2"/>
  <c r="M12" i="6" l="1"/>
  <c r="L12" i="6"/>
  <c r="N12" i="6"/>
  <c r="E12" i="7"/>
  <c r="F12" i="7" s="1"/>
  <c r="H12" i="7" s="1"/>
  <c r="N12" i="7" s="1"/>
  <c r="M12" i="2"/>
  <c r="L12" i="2"/>
  <c r="N12" i="2"/>
  <c r="M12" i="5"/>
  <c r="N12" i="5"/>
  <c r="L12" i="5"/>
  <c r="F77" i="8"/>
  <c r="F89" i="8" s="1"/>
  <c r="J116" i="8"/>
  <c r="J128" i="8" s="1"/>
  <c r="J76" i="8"/>
  <c r="F63" i="8"/>
  <c r="F76" i="8"/>
  <c r="C13" i="6"/>
  <c r="D13" i="6" s="1"/>
  <c r="E13" i="6" s="1"/>
  <c r="F13" i="6" s="1"/>
  <c r="H13" i="6" s="1"/>
  <c r="R52" i="8"/>
  <c r="R53" i="8" s="1"/>
  <c r="R54" i="8" s="1"/>
  <c r="J89" i="8"/>
  <c r="F24" i="8"/>
  <c r="F37" i="8"/>
  <c r="F50" i="8"/>
  <c r="J115" i="8"/>
  <c r="J102" i="8"/>
  <c r="J51" i="8"/>
  <c r="S51" i="8" s="1"/>
  <c r="S52" i="8" s="1"/>
  <c r="Q52" i="8"/>
  <c r="C13" i="5"/>
  <c r="D13" i="5" s="1"/>
  <c r="M12" i="7" l="1"/>
  <c r="C14" i="6"/>
  <c r="D14" i="6" s="1"/>
  <c r="E14" i="6" s="1"/>
  <c r="F14" i="6" s="1"/>
  <c r="H14" i="6" s="1"/>
  <c r="L12" i="7"/>
  <c r="C15" i="6"/>
  <c r="D15" i="6" s="1"/>
  <c r="F169" i="8"/>
  <c r="M13" i="6"/>
  <c r="N13" i="6"/>
  <c r="L13" i="6"/>
  <c r="P52" i="8"/>
  <c r="C13" i="2"/>
  <c r="D13" i="2" s="1"/>
  <c r="C16" i="6"/>
  <c r="D16" i="6" s="1"/>
  <c r="R55" i="8"/>
  <c r="Q53" i="8"/>
  <c r="C14" i="5"/>
  <c r="D14" i="5" s="1"/>
  <c r="E13" i="5"/>
  <c r="F13" i="5" s="1"/>
  <c r="H13" i="5" s="1"/>
  <c r="J63" i="8"/>
  <c r="J169" i="8" s="1"/>
  <c r="E15" i="6" l="1"/>
  <c r="F15" i="6" s="1"/>
  <c r="H15" i="6" s="1"/>
  <c r="N13" i="5"/>
  <c r="M13" i="5"/>
  <c r="L13" i="5"/>
  <c r="P53" i="8"/>
  <c r="C14" i="2"/>
  <c r="D14" i="2" s="1"/>
  <c r="C15" i="5"/>
  <c r="D15" i="5" s="1"/>
  <c r="Q54" i="8"/>
  <c r="N14" i="6"/>
  <c r="M14" i="6"/>
  <c r="L14" i="6"/>
  <c r="C13" i="7"/>
  <c r="D13" i="7" s="1"/>
  <c r="E14" i="5"/>
  <c r="F14" i="5" s="1"/>
  <c r="H14" i="5" s="1"/>
  <c r="R56" i="8"/>
  <c r="C17" i="6"/>
  <c r="D17" i="6" s="1"/>
  <c r="E16" i="6"/>
  <c r="F16" i="6" s="1"/>
  <c r="H16" i="6" s="1"/>
  <c r="E13" i="2"/>
  <c r="F13" i="2" s="1"/>
  <c r="H13" i="2" s="1"/>
  <c r="M15" i="6" l="1"/>
  <c r="L15" i="6"/>
  <c r="N15" i="6"/>
  <c r="N16" i="6"/>
  <c r="L16" i="6"/>
  <c r="M16" i="6"/>
  <c r="M13" i="2"/>
  <c r="N13" i="2"/>
  <c r="L13" i="2"/>
  <c r="S53" i="8"/>
  <c r="C14" i="7"/>
  <c r="D14" i="7" s="1"/>
  <c r="E17" i="6"/>
  <c r="F17" i="6" s="1"/>
  <c r="H17" i="6" s="1"/>
  <c r="E13" i="7"/>
  <c r="F13" i="7" s="1"/>
  <c r="H13" i="7" s="1"/>
  <c r="R57" i="8"/>
  <c r="C18" i="6"/>
  <c r="D18" i="6" s="1"/>
  <c r="P54" i="8"/>
  <c r="C15" i="2"/>
  <c r="D15" i="2" s="1"/>
  <c r="Q55" i="8"/>
  <c r="C16" i="5"/>
  <c r="D16" i="5" s="1"/>
  <c r="N14" i="5"/>
  <c r="M14" i="5"/>
  <c r="L14" i="5"/>
  <c r="E15" i="5"/>
  <c r="F15" i="5" s="1"/>
  <c r="H15" i="5" s="1"/>
  <c r="E14" i="2"/>
  <c r="F14" i="2" s="1"/>
  <c r="H14" i="2" s="1"/>
  <c r="M17" i="6" l="1"/>
  <c r="L17" i="6"/>
  <c r="N17" i="6"/>
  <c r="M13" i="7"/>
  <c r="L13" i="7"/>
  <c r="N13" i="7"/>
  <c r="L14" i="2"/>
  <c r="N14" i="2"/>
  <c r="M14" i="2"/>
  <c r="C17" i="5"/>
  <c r="D17" i="5" s="1"/>
  <c r="Q56" i="8"/>
  <c r="E15" i="2"/>
  <c r="F15" i="2" s="1"/>
  <c r="H15" i="2" s="1"/>
  <c r="E14" i="7"/>
  <c r="F14" i="7" s="1"/>
  <c r="H14" i="7" s="1"/>
  <c r="E16" i="5"/>
  <c r="F16" i="5" s="1"/>
  <c r="H16" i="5" s="1"/>
  <c r="N15" i="5"/>
  <c r="M15" i="5"/>
  <c r="L15" i="5"/>
  <c r="C16" i="2"/>
  <c r="D16" i="2" s="1"/>
  <c r="P55" i="8"/>
  <c r="C15" i="7"/>
  <c r="D15" i="7" s="1"/>
  <c r="S54" i="8"/>
  <c r="E18" i="6"/>
  <c r="F18" i="6" s="1"/>
  <c r="H18" i="6" s="1"/>
  <c r="R58" i="8"/>
  <c r="C19" i="6"/>
  <c r="D19" i="6" s="1"/>
  <c r="M18" i="6" l="1"/>
  <c r="L18" i="6"/>
  <c r="N18" i="6"/>
  <c r="M16" i="5"/>
  <c r="L16" i="5"/>
  <c r="N16" i="5"/>
  <c r="C16" i="7"/>
  <c r="D16" i="7" s="1"/>
  <c r="S55" i="8"/>
  <c r="M14" i="7"/>
  <c r="L14" i="7"/>
  <c r="N14" i="7"/>
  <c r="C17" i="2"/>
  <c r="D17" i="2" s="1"/>
  <c r="P56" i="8"/>
  <c r="L15" i="2"/>
  <c r="M15" i="2"/>
  <c r="N15" i="2"/>
  <c r="E16" i="2"/>
  <c r="F16" i="2" s="1"/>
  <c r="H16" i="2" s="1"/>
  <c r="R59" i="8"/>
  <c r="C20" i="6"/>
  <c r="D20" i="6" s="1"/>
  <c r="Q57" i="8"/>
  <c r="C18" i="5"/>
  <c r="D18" i="5" s="1"/>
  <c r="E15" i="7"/>
  <c r="F15" i="7" s="1"/>
  <c r="H15" i="7" s="1"/>
  <c r="E19" i="6"/>
  <c r="F19" i="6" s="1"/>
  <c r="H19" i="6" s="1"/>
  <c r="E17" i="5"/>
  <c r="F17" i="5" s="1"/>
  <c r="H17" i="5" s="1"/>
  <c r="L17" i="5" l="1"/>
  <c r="M17" i="5"/>
  <c r="N17" i="5"/>
  <c r="L16" i="2"/>
  <c r="N16" i="2"/>
  <c r="M16" i="2"/>
  <c r="L15" i="7"/>
  <c r="N15" i="7"/>
  <c r="M15" i="7"/>
  <c r="E16" i="7"/>
  <c r="F16" i="7" s="1"/>
  <c r="H16" i="7" s="1"/>
  <c r="E17" i="2"/>
  <c r="F17" i="2" s="1"/>
  <c r="H17" i="2" s="1"/>
  <c r="R60" i="8"/>
  <c r="C21" i="6"/>
  <c r="D21" i="6" s="1"/>
  <c r="L19" i="6"/>
  <c r="M19" i="6"/>
  <c r="N19" i="6"/>
  <c r="C17" i="7"/>
  <c r="D17" i="7" s="1"/>
  <c r="S56" i="8"/>
  <c r="E20" i="6"/>
  <c r="F20" i="6" s="1"/>
  <c r="H20" i="6" s="1"/>
  <c r="E18" i="5"/>
  <c r="F18" i="5" s="1"/>
  <c r="H18" i="5" s="1"/>
  <c r="Q58" i="8"/>
  <c r="C19" i="5"/>
  <c r="D19" i="5" s="1"/>
  <c r="C18" i="2"/>
  <c r="D18" i="2" s="1"/>
  <c r="P57" i="8"/>
  <c r="N17" i="2" l="1"/>
  <c r="M17" i="2"/>
  <c r="L17" i="2"/>
  <c r="E17" i="7"/>
  <c r="F17" i="7" s="1"/>
  <c r="H17" i="7" s="1"/>
  <c r="N16" i="7"/>
  <c r="L16" i="7"/>
  <c r="M16" i="7"/>
  <c r="C20" i="5"/>
  <c r="D20" i="5" s="1"/>
  <c r="Q59" i="8"/>
  <c r="C19" i="2"/>
  <c r="D19" i="2" s="1"/>
  <c r="P58" i="8"/>
  <c r="L18" i="5"/>
  <c r="N18" i="5"/>
  <c r="M18" i="5"/>
  <c r="N20" i="6"/>
  <c r="M20" i="6"/>
  <c r="L20" i="6"/>
  <c r="S57" i="8"/>
  <c r="C18" i="7"/>
  <c r="D18" i="7" s="1"/>
  <c r="E18" i="2"/>
  <c r="F18" i="2" s="1"/>
  <c r="H18" i="2" s="1"/>
  <c r="E19" i="5"/>
  <c r="F19" i="5" s="1"/>
  <c r="H19" i="5" s="1"/>
  <c r="E21" i="6"/>
  <c r="F21" i="6" s="1"/>
  <c r="H21" i="6" s="1"/>
  <c r="C22" i="6"/>
  <c r="D22" i="6" s="1"/>
  <c r="R61" i="8"/>
  <c r="M17" i="7" l="1"/>
  <c r="N17" i="7"/>
  <c r="L17" i="7"/>
  <c r="N18" i="2"/>
  <c r="M18" i="2"/>
  <c r="L18" i="2"/>
  <c r="L21" i="6"/>
  <c r="M21" i="6"/>
  <c r="N21" i="6"/>
  <c r="N19" i="5"/>
  <c r="M19" i="5"/>
  <c r="L19" i="5"/>
  <c r="E18" i="7"/>
  <c r="F18" i="7" s="1"/>
  <c r="H18" i="7" s="1"/>
  <c r="E19" i="2"/>
  <c r="F19" i="2" s="1"/>
  <c r="H19" i="2" s="1"/>
  <c r="E20" i="5"/>
  <c r="F20" i="5" s="1"/>
  <c r="H20" i="5" s="1"/>
  <c r="C23" i="6"/>
  <c r="D23" i="6" s="1"/>
  <c r="R62" i="8"/>
  <c r="E22" i="6"/>
  <c r="F22" i="6" s="1"/>
  <c r="H22" i="6" s="1"/>
  <c r="C20" i="2"/>
  <c r="D20" i="2" s="1"/>
  <c r="P59" i="8"/>
  <c r="S58" i="8"/>
  <c r="C19" i="7"/>
  <c r="D19" i="7" s="1"/>
  <c r="C21" i="5"/>
  <c r="D21" i="5" s="1"/>
  <c r="Q60" i="8"/>
  <c r="N18" i="7" l="1"/>
  <c r="L18" i="7"/>
  <c r="M18" i="7"/>
  <c r="L20" i="5"/>
  <c r="M20" i="5"/>
  <c r="N20" i="5"/>
  <c r="M22" i="6"/>
  <c r="N22" i="6"/>
  <c r="L22" i="6"/>
  <c r="R64" i="8"/>
  <c r="C24" i="6"/>
  <c r="D24" i="6" s="1"/>
  <c r="E19" i="7"/>
  <c r="F19" i="7" s="1"/>
  <c r="H19" i="7" s="1"/>
  <c r="P60" i="8"/>
  <c r="C21" i="2"/>
  <c r="D21" i="2" s="1"/>
  <c r="Q61" i="8"/>
  <c r="C22" i="5"/>
  <c r="D22" i="5" s="1"/>
  <c r="E21" i="5"/>
  <c r="F21" i="5" s="1"/>
  <c r="H21" i="5" s="1"/>
  <c r="E23" i="6"/>
  <c r="F23" i="6" s="1"/>
  <c r="H23" i="6" s="1"/>
  <c r="S59" i="8"/>
  <c r="C20" i="7"/>
  <c r="D20" i="7" s="1"/>
  <c r="L19" i="2"/>
  <c r="M19" i="2"/>
  <c r="N19" i="2"/>
  <c r="E20" i="2"/>
  <c r="F20" i="2" s="1"/>
  <c r="H20" i="2" s="1"/>
  <c r="M19" i="7" l="1"/>
  <c r="N19" i="7"/>
  <c r="L19" i="7"/>
  <c r="L20" i="2"/>
  <c r="N20" i="2"/>
  <c r="M20" i="2"/>
  <c r="E21" i="2"/>
  <c r="F21" i="2" s="1"/>
  <c r="H21" i="2" s="1"/>
  <c r="E22" i="5"/>
  <c r="F22" i="5" s="1"/>
  <c r="H22" i="5" s="1"/>
  <c r="C23" i="5"/>
  <c r="D23" i="5" s="1"/>
  <c r="Q62" i="8"/>
  <c r="C22" i="2"/>
  <c r="D22" i="2" s="1"/>
  <c r="P61" i="8"/>
  <c r="E20" i="7"/>
  <c r="F20" i="7" s="1"/>
  <c r="H20" i="7" s="1"/>
  <c r="C21" i="7"/>
  <c r="D21" i="7" s="1"/>
  <c r="S60" i="8"/>
  <c r="M21" i="5"/>
  <c r="L21" i="5"/>
  <c r="N21" i="5"/>
  <c r="M23" i="6"/>
  <c r="N23" i="6"/>
  <c r="L23" i="6"/>
  <c r="E24" i="6"/>
  <c r="F24" i="6" s="1"/>
  <c r="H24" i="6" s="1"/>
  <c r="C25" i="6"/>
  <c r="D25" i="6" s="1"/>
  <c r="R65" i="8"/>
  <c r="L24" i="6" l="1"/>
  <c r="N24" i="6"/>
  <c r="M24" i="6"/>
  <c r="L22" i="5"/>
  <c r="M22" i="5"/>
  <c r="N22" i="5"/>
  <c r="L20" i="7"/>
  <c r="N20" i="7"/>
  <c r="M20" i="7"/>
  <c r="E22" i="2"/>
  <c r="F22" i="2" s="1"/>
  <c r="H22" i="2" s="1"/>
  <c r="R66" i="8"/>
  <c r="C26" i="6"/>
  <c r="D26" i="6" s="1"/>
  <c r="Q64" i="8"/>
  <c r="C24" i="5"/>
  <c r="D24" i="5" s="1"/>
  <c r="E25" i="6"/>
  <c r="F25" i="6" s="1"/>
  <c r="H25" i="6" s="1"/>
  <c r="E23" i="5"/>
  <c r="F23" i="5" s="1"/>
  <c r="H23" i="5" s="1"/>
  <c r="C23" i="2"/>
  <c r="D23" i="2" s="1"/>
  <c r="P62" i="8"/>
  <c r="S61" i="8"/>
  <c r="C22" i="7"/>
  <c r="D22" i="7" s="1"/>
  <c r="N21" i="2"/>
  <c r="M21" i="2"/>
  <c r="L21" i="2"/>
  <c r="E21" i="7"/>
  <c r="F21" i="7" s="1"/>
  <c r="H21" i="7" s="1"/>
  <c r="L25" i="6" l="1"/>
  <c r="M25" i="6"/>
  <c r="N25" i="6"/>
  <c r="E24" i="5"/>
  <c r="F24" i="5" s="1"/>
  <c r="H24" i="5" s="1"/>
  <c r="C25" i="5"/>
  <c r="D25" i="5" s="1"/>
  <c r="Q65" i="8"/>
  <c r="P64" i="8"/>
  <c r="C24" i="2"/>
  <c r="D24" i="2" s="1"/>
  <c r="L21" i="7"/>
  <c r="N21" i="7"/>
  <c r="M21" i="7"/>
  <c r="M23" i="5"/>
  <c r="N23" i="5"/>
  <c r="L23" i="5"/>
  <c r="S62" i="8"/>
  <c r="C23" i="7"/>
  <c r="D23" i="7" s="1"/>
  <c r="C27" i="6"/>
  <c r="D27" i="6" s="1"/>
  <c r="R67" i="8"/>
  <c r="E22" i="7"/>
  <c r="F22" i="7" s="1"/>
  <c r="H22" i="7" s="1"/>
  <c r="E26" i="6"/>
  <c r="F26" i="6" s="1"/>
  <c r="H26" i="6" s="1"/>
  <c r="E23" i="2"/>
  <c r="F23" i="2" s="1"/>
  <c r="H23" i="2" s="1"/>
  <c r="N22" i="2"/>
  <c r="L22" i="2"/>
  <c r="M22" i="2"/>
  <c r="N23" i="2" l="1"/>
  <c r="M23" i="2"/>
  <c r="L23" i="2"/>
  <c r="M26" i="6"/>
  <c r="N26" i="6"/>
  <c r="L26" i="6"/>
  <c r="C26" i="5"/>
  <c r="D26" i="5" s="1"/>
  <c r="Q66" i="8"/>
  <c r="E25" i="5"/>
  <c r="F25" i="5" s="1"/>
  <c r="H25" i="5" s="1"/>
  <c r="C25" i="2"/>
  <c r="D25" i="2" s="1"/>
  <c r="P65" i="8"/>
  <c r="S64" i="8"/>
  <c r="C24" i="7"/>
  <c r="D24" i="7" s="1"/>
  <c r="M22" i="7"/>
  <c r="N22" i="7"/>
  <c r="L22" i="7"/>
  <c r="N24" i="5"/>
  <c r="M24" i="5"/>
  <c r="L24" i="5"/>
  <c r="C28" i="6"/>
  <c r="D28" i="6" s="1"/>
  <c r="R68" i="8"/>
  <c r="E27" i="6"/>
  <c r="F27" i="6" s="1"/>
  <c r="H27" i="6" s="1"/>
  <c r="E23" i="7"/>
  <c r="F23" i="7" s="1"/>
  <c r="H23" i="7" s="1"/>
  <c r="E24" i="2"/>
  <c r="F24" i="2" s="1"/>
  <c r="H24" i="2" s="1"/>
  <c r="N25" i="5" l="1"/>
  <c r="M25" i="5"/>
  <c r="L25" i="5"/>
  <c r="E26" i="5"/>
  <c r="F26" i="5" s="1"/>
  <c r="H26" i="5" s="1"/>
  <c r="Q67" i="8"/>
  <c r="C27" i="5"/>
  <c r="D27" i="5" s="1"/>
  <c r="M27" i="6"/>
  <c r="N27" i="6"/>
  <c r="L27" i="6"/>
  <c r="C29" i="6"/>
  <c r="D29" i="6" s="1"/>
  <c r="R69" i="8"/>
  <c r="C25" i="7"/>
  <c r="D25" i="7" s="1"/>
  <c r="S65" i="8"/>
  <c r="P66" i="8"/>
  <c r="C26" i="2"/>
  <c r="D26" i="2" s="1"/>
  <c r="E25" i="2"/>
  <c r="F25" i="2" s="1"/>
  <c r="H25" i="2" s="1"/>
  <c r="E24" i="7"/>
  <c r="F24" i="7" s="1"/>
  <c r="H24" i="7" s="1"/>
  <c r="E28" i="6"/>
  <c r="F28" i="6" s="1"/>
  <c r="H28" i="6" s="1"/>
  <c r="L24" i="2"/>
  <c r="M24" i="2"/>
  <c r="N24" i="2"/>
  <c r="N23" i="7"/>
  <c r="M23" i="7"/>
  <c r="L23" i="7"/>
  <c r="N28" i="6" l="1"/>
  <c r="M28" i="6"/>
  <c r="L28" i="6"/>
  <c r="L24" i="7"/>
  <c r="N24" i="7"/>
  <c r="M24" i="7"/>
  <c r="M25" i="2"/>
  <c r="L25" i="2"/>
  <c r="N25" i="2"/>
  <c r="E27" i="5"/>
  <c r="F27" i="5" s="1"/>
  <c r="H27" i="5" s="1"/>
  <c r="E26" i="2"/>
  <c r="F26" i="2" s="1"/>
  <c r="H26" i="2" s="1"/>
  <c r="C28" i="5"/>
  <c r="D28" i="5" s="1"/>
  <c r="Q68" i="8"/>
  <c r="R70" i="8"/>
  <c r="C30" i="6"/>
  <c r="D30" i="6" s="1"/>
  <c r="S66" i="8"/>
  <c r="C26" i="7"/>
  <c r="D26" i="7" s="1"/>
  <c r="N26" i="5"/>
  <c r="L26" i="5"/>
  <c r="M26" i="5"/>
  <c r="C27" i="2"/>
  <c r="D27" i="2" s="1"/>
  <c r="P67" i="8"/>
  <c r="E25" i="7"/>
  <c r="F25" i="7" s="1"/>
  <c r="H25" i="7" s="1"/>
  <c r="E29" i="6"/>
  <c r="F29" i="6" s="1"/>
  <c r="H29" i="6" s="1"/>
  <c r="N29" i="6" l="1"/>
  <c r="L29" i="6"/>
  <c r="M29" i="6"/>
  <c r="N25" i="7"/>
  <c r="L25" i="7"/>
  <c r="M25" i="7"/>
  <c r="C31" i="6"/>
  <c r="D31" i="6" s="1"/>
  <c r="R71" i="8"/>
  <c r="C28" i="2"/>
  <c r="D28" i="2" s="1"/>
  <c r="P68" i="8"/>
  <c r="E28" i="5"/>
  <c r="F28" i="5" s="1"/>
  <c r="H28" i="5" s="1"/>
  <c r="M27" i="5"/>
  <c r="L27" i="5"/>
  <c r="N27" i="5"/>
  <c r="E27" i="2"/>
  <c r="F27" i="2" s="1"/>
  <c r="H27" i="2" s="1"/>
  <c r="N26" i="2"/>
  <c r="L26" i="2"/>
  <c r="M26" i="2"/>
  <c r="C29" i="5"/>
  <c r="D29" i="5" s="1"/>
  <c r="Q69" i="8"/>
  <c r="E26" i="7"/>
  <c r="F26" i="7" s="1"/>
  <c r="H26" i="7" s="1"/>
  <c r="C27" i="7"/>
  <c r="D27" i="7" s="1"/>
  <c r="S67" i="8"/>
  <c r="E30" i="6"/>
  <c r="F30" i="6" s="1"/>
  <c r="H30" i="6" s="1"/>
  <c r="N27" i="2" l="1"/>
  <c r="L27" i="2"/>
  <c r="M27" i="2"/>
  <c r="N30" i="6"/>
  <c r="L30" i="6"/>
  <c r="M30" i="6"/>
  <c r="N26" i="7"/>
  <c r="M26" i="7"/>
  <c r="L26" i="7"/>
  <c r="E31" i="6"/>
  <c r="F31" i="6" s="1"/>
  <c r="H31" i="6" s="1"/>
  <c r="R72" i="8"/>
  <c r="C32" i="6"/>
  <c r="D32" i="6" s="1"/>
  <c r="C30" i="5"/>
  <c r="D30" i="5" s="1"/>
  <c r="Q70" i="8"/>
  <c r="E29" i="5"/>
  <c r="F29" i="5" s="1"/>
  <c r="H29" i="5" s="1"/>
  <c r="M28" i="5"/>
  <c r="L28" i="5"/>
  <c r="N28" i="5"/>
  <c r="S68" i="8"/>
  <c r="C28" i="7"/>
  <c r="D28" i="7" s="1"/>
  <c r="C29" i="2"/>
  <c r="D29" i="2" s="1"/>
  <c r="P69" i="8"/>
  <c r="E27" i="7"/>
  <c r="F27" i="7" s="1"/>
  <c r="H27" i="7" s="1"/>
  <c r="E28" i="2"/>
  <c r="F28" i="2" s="1"/>
  <c r="H28" i="2" s="1"/>
  <c r="L28" i="2" l="1"/>
  <c r="M28" i="2"/>
  <c r="N28" i="2"/>
  <c r="Q71" i="8"/>
  <c r="C31" i="5"/>
  <c r="D31" i="5" s="1"/>
  <c r="P70" i="8"/>
  <c r="C30" i="2"/>
  <c r="D30" i="2" s="1"/>
  <c r="E30" i="5"/>
  <c r="F30" i="5" s="1"/>
  <c r="H30" i="5" s="1"/>
  <c r="M29" i="5"/>
  <c r="L29" i="5"/>
  <c r="N29" i="5"/>
  <c r="E28" i="7"/>
  <c r="F28" i="7" s="1"/>
  <c r="H28" i="7" s="1"/>
  <c r="E32" i="6"/>
  <c r="F32" i="6" s="1"/>
  <c r="H32" i="6" s="1"/>
  <c r="E29" i="2"/>
  <c r="F29" i="2" s="1"/>
  <c r="H29" i="2" s="1"/>
  <c r="R73" i="8"/>
  <c r="C33" i="6"/>
  <c r="D33" i="6" s="1"/>
  <c r="L27" i="7"/>
  <c r="M27" i="7"/>
  <c r="N27" i="7"/>
  <c r="C29" i="7"/>
  <c r="D29" i="7" s="1"/>
  <c r="S69" i="8"/>
  <c r="L31" i="6"/>
  <c r="N31" i="6"/>
  <c r="M31" i="6"/>
  <c r="N29" i="2" l="1"/>
  <c r="M29" i="2"/>
  <c r="L29" i="2"/>
  <c r="L32" i="6"/>
  <c r="N32" i="6"/>
  <c r="M32" i="6"/>
  <c r="E29" i="7"/>
  <c r="F29" i="7" s="1"/>
  <c r="H29" i="7" s="1"/>
  <c r="E31" i="5"/>
  <c r="F31" i="5" s="1"/>
  <c r="H31" i="5" s="1"/>
  <c r="E30" i="2"/>
  <c r="F30" i="2" s="1"/>
  <c r="H30" i="2" s="1"/>
  <c r="N30" i="5"/>
  <c r="L30" i="5"/>
  <c r="M30" i="5"/>
  <c r="L28" i="7"/>
  <c r="N28" i="7"/>
  <c r="M28" i="7"/>
  <c r="E33" i="6"/>
  <c r="F33" i="6" s="1"/>
  <c r="H33" i="6" s="1"/>
  <c r="P71" i="8"/>
  <c r="C31" i="2"/>
  <c r="D31" i="2" s="1"/>
  <c r="Q72" i="8"/>
  <c r="C32" i="5"/>
  <c r="D32" i="5" s="1"/>
  <c r="R74" i="8"/>
  <c r="C34" i="6"/>
  <c r="D34" i="6" s="1"/>
  <c r="S70" i="8"/>
  <c r="C30" i="7"/>
  <c r="D30" i="7" s="1"/>
  <c r="N29" i="7" l="1"/>
  <c r="M29" i="7"/>
  <c r="L29" i="7"/>
  <c r="E32" i="5"/>
  <c r="F32" i="5" s="1"/>
  <c r="H32" i="5" s="1"/>
  <c r="E30" i="7"/>
  <c r="F30" i="7" s="1"/>
  <c r="H30" i="7" s="1"/>
  <c r="E31" i="2"/>
  <c r="F31" i="2" s="1"/>
  <c r="H31" i="2" s="1"/>
  <c r="S71" i="8"/>
  <c r="C31" i="7"/>
  <c r="D31" i="7" s="1"/>
  <c r="C33" i="5"/>
  <c r="D33" i="5" s="1"/>
  <c r="Q73" i="8"/>
  <c r="L30" i="2"/>
  <c r="M30" i="2"/>
  <c r="N30" i="2"/>
  <c r="P72" i="8"/>
  <c r="C32" i="2"/>
  <c r="D32" i="2" s="1"/>
  <c r="M33" i="6"/>
  <c r="N33" i="6"/>
  <c r="L33" i="6"/>
  <c r="E34" i="6"/>
  <c r="F34" i="6" s="1"/>
  <c r="H34" i="6" s="1"/>
  <c r="N31" i="5"/>
  <c r="M31" i="5"/>
  <c r="L31" i="5"/>
  <c r="R75" i="8"/>
  <c r="C35" i="6"/>
  <c r="D35" i="6" s="1"/>
  <c r="L31" i="2" l="1"/>
  <c r="N31" i="2"/>
  <c r="M31" i="2"/>
  <c r="E35" i="6"/>
  <c r="F35" i="6" s="1"/>
  <c r="H35" i="6" s="1"/>
  <c r="N32" i="5"/>
  <c r="L32" i="5"/>
  <c r="M32" i="5"/>
  <c r="N34" i="6"/>
  <c r="M34" i="6"/>
  <c r="L34" i="6"/>
  <c r="C34" i="5"/>
  <c r="D34" i="5" s="1"/>
  <c r="Q74" i="8"/>
  <c r="E33" i="5"/>
  <c r="F33" i="5" s="1"/>
  <c r="H33" i="5" s="1"/>
  <c r="E31" i="7"/>
  <c r="F31" i="7" s="1"/>
  <c r="H31" i="7" s="1"/>
  <c r="N30" i="7"/>
  <c r="L30" i="7"/>
  <c r="M30" i="7"/>
  <c r="C36" i="6"/>
  <c r="D36" i="6" s="1"/>
  <c r="R77" i="8"/>
  <c r="E32" i="2"/>
  <c r="F32" i="2" s="1"/>
  <c r="H32" i="2" s="1"/>
  <c r="C32" i="7"/>
  <c r="D32" i="7" s="1"/>
  <c r="S72" i="8"/>
  <c r="C33" i="2"/>
  <c r="D33" i="2" s="1"/>
  <c r="P73" i="8"/>
  <c r="M32" i="2" l="1"/>
  <c r="L32" i="2"/>
  <c r="N32" i="2"/>
  <c r="L35" i="6"/>
  <c r="N35" i="6"/>
  <c r="M35" i="6"/>
  <c r="P74" i="8"/>
  <c r="C34" i="2"/>
  <c r="D34" i="2" s="1"/>
  <c r="C37" i="6"/>
  <c r="D37" i="6" s="1"/>
  <c r="R78" i="8"/>
  <c r="Q75" i="8"/>
  <c r="C35" i="5"/>
  <c r="D35" i="5" s="1"/>
  <c r="M33" i="5"/>
  <c r="L33" i="5"/>
  <c r="N33" i="5"/>
  <c r="E34" i="5"/>
  <c r="F34" i="5" s="1"/>
  <c r="H34" i="5" s="1"/>
  <c r="M31" i="7"/>
  <c r="L31" i="7"/>
  <c r="N31" i="7"/>
  <c r="E36" i="6"/>
  <c r="F36" i="6" s="1"/>
  <c r="H36" i="6" s="1"/>
  <c r="E33" i="2"/>
  <c r="F33" i="2" s="1"/>
  <c r="H33" i="2" s="1"/>
  <c r="S73" i="8"/>
  <c r="C33" i="7"/>
  <c r="D33" i="7" s="1"/>
  <c r="E32" i="7"/>
  <c r="F32" i="7" s="1"/>
  <c r="H32" i="7" s="1"/>
  <c r="M34" i="5" l="1"/>
  <c r="L34" i="5"/>
  <c r="N34" i="5"/>
  <c r="L32" i="7"/>
  <c r="N32" i="7"/>
  <c r="M32" i="7"/>
  <c r="P75" i="8"/>
  <c r="C35" i="2"/>
  <c r="D35" i="2" s="1"/>
  <c r="E34" i="2"/>
  <c r="F34" i="2" s="1"/>
  <c r="H34" i="2" s="1"/>
  <c r="E35" i="5"/>
  <c r="F35" i="5" s="1"/>
  <c r="H35" i="5" s="1"/>
  <c r="E33" i="7"/>
  <c r="F33" i="7" s="1"/>
  <c r="H33" i="7" s="1"/>
  <c r="R79" i="8"/>
  <c r="C38" i="6"/>
  <c r="D38" i="6" s="1"/>
  <c r="M33" i="2"/>
  <c r="N33" i="2"/>
  <c r="L33" i="2"/>
  <c r="L36" i="6"/>
  <c r="N36" i="6"/>
  <c r="M36" i="6"/>
  <c r="C36" i="5"/>
  <c r="D36" i="5" s="1"/>
  <c r="Q77" i="8"/>
  <c r="C34" i="7"/>
  <c r="D34" i="7" s="1"/>
  <c r="S74" i="8"/>
  <c r="E37" i="6"/>
  <c r="F37" i="6" s="1"/>
  <c r="H37" i="6" s="1"/>
  <c r="N37" i="6" l="1"/>
  <c r="L37" i="6"/>
  <c r="M37" i="6"/>
  <c r="E38" i="6"/>
  <c r="F38" i="6" s="1"/>
  <c r="H38" i="6" s="1"/>
  <c r="E36" i="5"/>
  <c r="F36" i="5" s="1"/>
  <c r="H36" i="5" s="1"/>
  <c r="C37" i="5"/>
  <c r="D37" i="5" s="1"/>
  <c r="Q78" i="8"/>
  <c r="L33" i="7"/>
  <c r="N33" i="7"/>
  <c r="M33" i="7"/>
  <c r="N35" i="5"/>
  <c r="L35" i="5"/>
  <c r="M35" i="5"/>
  <c r="E35" i="2"/>
  <c r="F35" i="2" s="1"/>
  <c r="H35" i="2" s="1"/>
  <c r="C39" i="6"/>
  <c r="D39" i="6" s="1"/>
  <c r="R80" i="8"/>
  <c r="P77" i="8"/>
  <c r="C36" i="2"/>
  <c r="D36" i="2" s="1"/>
  <c r="S75" i="8"/>
  <c r="C35" i="7"/>
  <c r="D35" i="7" s="1"/>
  <c r="N34" i="2"/>
  <c r="L34" i="2"/>
  <c r="M34" i="2"/>
  <c r="E34" i="7"/>
  <c r="F34" i="7" s="1"/>
  <c r="H34" i="7" s="1"/>
  <c r="N35" i="2" l="1"/>
  <c r="L35" i="2"/>
  <c r="M35" i="2"/>
  <c r="E37" i="5"/>
  <c r="F37" i="5" s="1"/>
  <c r="H37" i="5" s="1"/>
  <c r="S77" i="8"/>
  <c r="C36" i="7"/>
  <c r="D36" i="7" s="1"/>
  <c r="E35" i="7"/>
  <c r="F35" i="7" s="1"/>
  <c r="H35" i="7" s="1"/>
  <c r="N38" i="6"/>
  <c r="L38" i="6"/>
  <c r="M38" i="6"/>
  <c r="L34" i="7"/>
  <c r="N34" i="7"/>
  <c r="M34" i="7"/>
  <c r="R81" i="8"/>
  <c r="C40" i="6"/>
  <c r="D40" i="6" s="1"/>
  <c r="E36" i="2"/>
  <c r="F36" i="2" s="1"/>
  <c r="H36" i="2" s="1"/>
  <c r="P78" i="8"/>
  <c r="C37" i="2"/>
  <c r="D37" i="2" s="1"/>
  <c r="E39" i="6"/>
  <c r="F39" i="6" s="1"/>
  <c r="H39" i="6" s="1"/>
  <c r="M36" i="5"/>
  <c r="N36" i="5"/>
  <c r="L36" i="5"/>
  <c r="Q79" i="8"/>
  <c r="C38" i="5"/>
  <c r="D38" i="5" s="1"/>
  <c r="N39" i="6" l="1"/>
  <c r="L39" i="6"/>
  <c r="M39" i="6"/>
  <c r="M35" i="7"/>
  <c r="L35" i="7"/>
  <c r="N35" i="7"/>
  <c r="L36" i="2"/>
  <c r="N36" i="2"/>
  <c r="M36" i="2"/>
  <c r="R82" i="8"/>
  <c r="C41" i="6"/>
  <c r="D41" i="6" s="1"/>
  <c r="E36" i="7"/>
  <c r="F36" i="7" s="1"/>
  <c r="H36" i="7" s="1"/>
  <c r="S78" i="8"/>
  <c r="C37" i="7"/>
  <c r="D37" i="7" s="1"/>
  <c r="M37" i="5"/>
  <c r="N37" i="5"/>
  <c r="L37" i="5"/>
  <c r="E37" i="2"/>
  <c r="F37" i="2" s="1"/>
  <c r="H37" i="2" s="1"/>
  <c r="E38" i="5"/>
  <c r="F38" i="5" s="1"/>
  <c r="H38" i="5" s="1"/>
  <c r="P79" i="8"/>
  <c r="C38" i="2"/>
  <c r="D38" i="2" s="1"/>
  <c r="Q80" i="8"/>
  <c r="C39" i="5"/>
  <c r="D39" i="5" s="1"/>
  <c r="E40" i="6"/>
  <c r="F40" i="6" s="1"/>
  <c r="H40" i="6" s="1"/>
  <c r="M37" i="2" l="1"/>
  <c r="N37" i="2"/>
  <c r="L37" i="2"/>
  <c r="M40" i="6"/>
  <c r="N40" i="6"/>
  <c r="L40" i="6"/>
  <c r="P80" i="8"/>
  <c r="C39" i="2"/>
  <c r="D39" i="2" s="1"/>
  <c r="E37" i="7"/>
  <c r="F37" i="7" s="1"/>
  <c r="H37" i="7" s="1"/>
  <c r="N38" i="5"/>
  <c r="M38" i="5"/>
  <c r="L38" i="5"/>
  <c r="E38" i="2"/>
  <c r="F38" i="2" s="1"/>
  <c r="H38" i="2" s="1"/>
  <c r="C38" i="7"/>
  <c r="D38" i="7" s="1"/>
  <c r="S79" i="8"/>
  <c r="E41" i="6"/>
  <c r="F41" i="6" s="1"/>
  <c r="H41" i="6" s="1"/>
  <c r="C42" i="6"/>
  <c r="D42" i="6" s="1"/>
  <c r="R83" i="8"/>
  <c r="L36" i="7"/>
  <c r="M36" i="7"/>
  <c r="N36" i="7"/>
  <c r="E39" i="5"/>
  <c r="F39" i="5" s="1"/>
  <c r="H39" i="5" s="1"/>
  <c r="C40" i="5"/>
  <c r="D40" i="5" s="1"/>
  <c r="Q81" i="8"/>
  <c r="N38" i="2" l="1"/>
  <c r="L38" i="2"/>
  <c r="M38" i="2"/>
  <c r="L39" i="5"/>
  <c r="M39" i="5"/>
  <c r="N39" i="5"/>
  <c r="L41" i="6"/>
  <c r="N41" i="6"/>
  <c r="M41" i="6"/>
  <c r="E39" i="2"/>
  <c r="F39" i="2" s="1"/>
  <c r="H39" i="2" s="1"/>
  <c r="C40" i="2"/>
  <c r="D40" i="2" s="1"/>
  <c r="P81" i="8"/>
  <c r="E38" i="7"/>
  <c r="F38" i="7" s="1"/>
  <c r="H38" i="7" s="1"/>
  <c r="R84" i="8"/>
  <c r="C43" i="6"/>
  <c r="D43" i="6" s="1"/>
  <c r="Q82" i="8"/>
  <c r="C41" i="5"/>
  <c r="D41" i="5" s="1"/>
  <c r="E42" i="6"/>
  <c r="F42" i="6" s="1"/>
  <c r="H42" i="6" s="1"/>
  <c r="E40" i="5"/>
  <c r="F40" i="5" s="1"/>
  <c r="H40" i="5" s="1"/>
  <c r="S80" i="8"/>
  <c r="C39" i="7"/>
  <c r="D39" i="7" s="1"/>
  <c r="M37" i="7"/>
  <c r="N37" i="7"/>
  <c r="L37" i="7"/>
  <c r="L40" i="5" l="1"/>
  <c r="N40" i="5"/>
  <c r="M40" i="5"/>
  <c r="R85" i="8"/>
  <c r="C44" i="6"/>
  <c r="D44" i="6" s="1"/>
  <c r="L38" i="7"/>
  <c r="N38" i="7"/>
  <c r="M38" i="7"/>
  <c r="P82" i="8"/>
  <c r="C41" i="2"/>
  <c r="D41" i="2" s="1"/>
  <c r="C40" i="7"/>
  <c r="D40" i="7" s="1"/>
  <c r="S81" i="8"/>
  <c r="E40" i="2"/>
  <c r="F40" i="2" s="1"/>
  <c r="H40" i="2" s="1"/>
  <c r="E41" i="5"/>
  <c r="F41" i="5" s="1"/>
  <c r="H41" i="5" s="1"/>
  <c r="N39" i="2"/>
  <c r="L39" i="2"/>
  <c r="M39" i="2"/>
  <c r="Q83" i="8"/>
  <c r="C42" i="5"/>
  <c r="D42" i="5" s="1"/>
  <c r="N42" i="6"/>
  <c r="M42" i="6"/>
  <c r="L42" i="6"/>
  <c r="E39" i="7"/>
  <c r="F39" i="7" s="1"/>
  <c r="H39" i="7" s="1"/>
  <c r="E43" i="6"/>
  <c r="F43" i="6" s="1"/>
  <c r="H43" i="6" s="1"/>
  <c r="N43" i="6" l="1"/>
  <c r="L43" i="6"/>
  <c r="M43" i="6"/>
  <c r="M39" i="7"/>
  <c r="L39" i="7"/>
  <c r="N39" i="7"/>
  <c r="M40" i="2"/>
  <c r="N40" i="2"/>
  <c r="L40" i="2"/>
  <c r="M41" i="5"/>
  <c r="N41" i="5"/>
  <c r="L41" i="5"/>
  <c r="S82" i="8"/>
  <c r="C41" i="7"/>
  <c r="D41" i="7" s="1"/>
  <c r="E44" i="6"/>
  <c r="F44" i="6" s="1"/>
  <c r="H44" i="6" s="1"/>
  <c r="R86" i="8"/>
  <c r="C45" i="6"/>
  <c r="D45" i="6" s="1"/>
  <c r="Q84" i="8"/>
  <c r="C43" i="5"/>
  <c r="D43" i="5" s="1"/>
  <c r="E41" i="2"/>
  <c r="F41" i="2" s="1"/>
  <c r="H41" i="2" s="1"/>
  <c r="E42" i="5"/>
  <c r="F42" i="5" s="1"/>
  <c r="H42" i="5" s="1"/>
  <c r="E40" i="7"/>
  <c r="F40" i="7" s="1"/>
  <c r="H40" i="7" s="1"/>
  <c r="C42" i="2"/>
  <c r="D42" i="2" s="1"/>
  <c r="P83" i="8"/>
  <c r="M44" i="6" l="1"/>
  <c r="N44" i="6"/>
  <c r="L44" i="6"/>
  <c r="E43" i="5"/>
  <c r="F43" i="5" s="1"/>
  <c r="H43" i="5" s="1"/>
  <c r="N42" i="5"/>
  <c r="L42" i="5"/>
  <c r="M42" i="5"/>
  <c r="E41" i="7"/>
  <c r="F41" i="7" s="1"/>
  <c r="H41" i="7" s="1"/>
  <c r="E42" i="2"/>
  <c r="F42" i="2" s="1"/>
  <c r="H42" i="2" s="1"/>
  <c r="M40" i="7"/>
  <c r="L40" i="7"/>
  <c r="N40" i="7"/>
  <c r="L41" i="2"/>
  <c r="N41" i="2"/>
  <c r="M41" i="2"/>
  <c r="C42" i="7"/>
  <c r="D42" i="7" s="1"/>
  <c r="S83" i="8"/>
  <c r="C43" i="2"/>
  <c r="D43" i="2" s="1"/>
  <c r="P84" i="8"/>
  <c r="Q85" i="8"/>
  <c r="C44" i="5"/>
  <c r="D44" i="5" s="1"/>
  <c r="E45" i="6"/>
  <c r="F45" i="6" s="1"/>
  <c r="H45" i="6" s="1"/>
  <c r="C46" i="6"/>
  <c r="D46" i="6" s="1"/>
  <c r="R87" i="8"/>
  <c r="C44" i="2" l="1"/>
  <c r="D44" i="2" s="1"/>
  <c r="P85" i="8"/>
  <c r="Q86" i="8"/>
  <c r="C45" i="5"/>
  <c r="D45" i="5" s="1"/>
  <c r="M42" i="2"/>
  <c r="N42" i="2"/>
  <c r="L42" i="2"/>
  <c r="E44" i="5"/>
  <c r="F44" i="5" s="1"/>
  <c r="H44" i="5" s="1"/>
  <c r="R88" i="8"/>
  <c r="R90" i="8" s="1"/>
  <c r="C47" i="6"/>
  <c r="D47" i="6" s="1"/>
  <c r="E46" i="6"/>
  <c r="F46" i="6" s="1"/>
  <c r="H46" i="6" s="1"/>
  <c r="L43" i="5"/>
  <c r="N43" i="5"/>
  <c r="M43" i="5"/>
  <c r="N41" i="7"/>
  <c r="L41" i="7"/>
  <c r="M41" i="7"/>
  <c r="E43" i="2"/>
  <c r="F43" i="2" s="1"/>
  <c r="H43" i="2" s="1"/>
  <c r="S84" i="8"/>
  <c r="C43" i="7"/>
  <c r="D43" i="7" s="1"/>
  <c r="E42" i="7"/>
  <c r="F42" i="7" s="1"/>
  <c r="H42" i="7" s="1"/>
  <c r="M45" i="6"/>
  <c r="L45" i="6"/>
  <c r="N45" i="6"/>
  <c r="R91" i="8" l="1"/>
  <c r="R92" i="8" s="1"/>
  <c r="R93" i="8" s="1"/>
  <c r="R94" i="8" s="1"/>
  <c r="R95" i="8" s="1"/>
  <c r="R96" i="8" s="1"/>
  <c r="R97" i="8" s="1"/>
  <c r="R98" i="8" s="1"/>
  <c r="R99" i="8" s="1"/>
  <c r="R100" i="8" s="1"/>
  <c r="R101" i="8" s="1"/>
  <c r="R103" i="8" s="1"/>
  <c r="R104" i="8" s="1"/>
  <c r="R105" i="8" s="1"/>
  <c r="R106" i="8" s="1"/>
  <c r="R107" i="8" s="1"/>
  <c r="R108" i="8" s="1"/>
  <c r="R109" i="8" s="1"/>
  <c r="R110" i="8" s="1"/>
  <c r="R111" i="8" s="1"/>
  <c r="R112" i="8" s="1"/>
  <c r="R113" i="8" s="1"/>
  <c r="R114" i="8" s="1"/>
  <c r="R116" i="8" s="1"/>
  <c r="R117" i="8" s="1"/>
  <c r="R118" i="8" s="1"/>
  <c r="R119" i="8" s="1"/>
  <c r="R120" i="8" s="1"/>
  <c r="R121" i="8" s="1"/>
  <c r="R122" i="8" s="1"/>
  <c r="R123" i="8" s="1"/>
  <c r="R124" i="8" s="1"/>
  <c r="R125" i="8" s="1"/>
  <c r="R126" i="8" s="1"/>
  <c r="R127" i="8" s="1"/>
  <c r="R129" i="8" s="1"/>
  <c r="R130" i="8" s="1"/>
  <c r="R131" i="8" s="1"/>
  <c r="R132" i="8" s="1"/>
  <c r="R133" i="8" s="1"/>
  <c r="R134" i="8" s="1"/>
  <c r="R135" i="8" s="1"/>
  <c r="R136" i="8" s="1"/>
  <c r="R137" i="8" s="1"/>
  <c r="R138" i="8" s="1"/>
  <c r="R139" i="8" s="1"/>
  <c r="R140" i="8" s="1"/>
  <c r="R142" i="8" s="1"/>
  <c r="R143" i="8" s="1"/>
  <c r="R144" i="8" s="1"/>
  <c r="R145" i="8" s="1"/>
  <c r="R146" i="8" s="1"/>
  <c r="R147" i="8" s="1"/>
  <c r="R148" i="8" s="1"/>
  <c r="R149" i="8" s="1"/>
  <c r="R150" i="8" s="1"/>
  <c r="R151" i="8" s="1"/>
  <c r="R152" i="8" s="1"/>
  <c r="R153" i="8" s="1"/>
  <c r="R155" i="8" s="1"/>
  <c r="R156" i="8" s="1"/>
  <c r="R157" i="8" s="1"/>
  <c r="R158" i="8" s="1"/>
  <c r="R159" i="8" s="1"/>
  <c r="R160" i="8" s="1"/>
  <c r="R161" i="8" s="1"/>
  <c r="R162" i="8" s="1"/>
  <c r="R163" i="8" s="1"/>
  <c r="R164" i="8" s="1"/>
  <c r="R165" i="8" s="1"/>
  <c r="R166" i="8" s="1"/>
  <c r="L44" i="5"/>
  <c r="M44" i="5"/>
  <c r="N44" i="5"/>
  <c r="L46" i="6"/>
  <c r="M46" i="6"/>
  <c r="N46" i="6"/>
  <c r="M43" i="2"/>
  <c r="N43" i="2"/>
  <c r="L43" i="2"/>
  <c r="M42" i="7"/>
  <c r="L42" i="7"/>
  <c r="N42" i="7"/>
  <c r="S85" i="8"/>
  <c r="C44" i="7"/>
  <c r="D44" i="7" s="1"/>
  <c r="E47" i="6"/>
  <c r="F47" i="6" s="1"/>
  <c r="H47" i="6" s="1"/>
  <c r="C46" i="5"/>
  <c r="D46" i="5" s="1"/>
  <c r="Q87" i="8"/>
  <c r="C48" i="6"/>
  <c r="D48" i="6" s="1"/>
  <c r="P86" i="8"/>
  <c r="C45" i="2"/>
  <c r="D45" i="2" s="1"/>
  <c r="E43" i="7"/>
  <c r="F43" i="7" s="1"/>
  <c r="H43" i="7" s="1"/>
  <c r="E45" i="5"/>
  <c r="F45" i="5" s="1"/>
  <c r="H45" i="5" s="1"/>
  <c r="E44" i="2"/>
  <c r="F44" i="2" s="1"/>
  <c r="H44" i="2" s="1"/>
  <c r="L45" i="5" l="1"/>
  <c r="N45" i="5"/>
  <c r="M45" i="5"/>
  <c r="L43" i="7"/>
  <c r="M43" i="7"/>
  <c r="N43" i="7"/>
  <c r="E46" i="5"/>
  <c r="F46" i="5" s="1"/>
  <c r="H46" i="5" s="1"/>
  <c r="N47" i="6"/>
  <c r="M47" i="6"/>
  <c r="L47" i="6"/>
  <c r="C46" i="2"/>
  <c r="D46" i="2" s="1"/>
  <c r="P87" i="8"/>
  <c r="E45" i="2"/>
  <c r="F45" i="2" s="1"/>
  <c r="H45" i="2" s="1"/>
  <c r="C45" i="7"/>
  <c r="D45" i="7" s="1"/>
  <c r="S86" i="8"/>
  <c r="E48" i="6"/>
  <c r="F48" i="6" s="1"/>
  <c r="H48" i="6" s="1"/>
  <c r="E44" i="7"/>
  <c r="F44" i="7" s="1"/>
  <c r="H44" i="7" s="1"/>
  <c r="M44" i="2"/>
  <c r="L44" i="2"/>
  <c r="N44" i="2"/>
  <c r="C49" i="6"/>
  <c r="D49" i="6" s="1"/>
  <c r="Q88" i="8"/>
  <c r="Q90" i="8" s="1"/>
  <c r="C47" i="5"/>
  <c r="D47" i="5" s="1"/>
  <c r="Q91" i="8" l="1"/>
  <c r="Q92" i="8" s="1"/>
  <c r="Q93" i="8" s="1"/>
  <c r="Q94" i="8" s="1"/>
  <c r="Q95" i="8" s="1"/>
  <c r="Q96" i="8" s="1"/>
  <c r="Q97" i="8" s="1"/>
  <c r="Q98" i="8" s="1"/>
  <c r="Q99" i="8" s="1"/>
  <c r="Q100" i="8" s="1"/>
  <c r="Q101" i="8" s="1"/>
  <c r="Q103" i="8" s="1"/>
  <c r="Q104" i="8" s="1"/>
  <c r="Q105" i="8" s="1"/>
  <c r="Q106" i="8" s="1"/>
  <c r="Q107" i="8" s="1"/>
  <c r="Q108" i="8" s="1"/>
  <c r="Q109" i="8" s="1"/>
  <c r="Q110" i="8" s="1"/>
  <c r="Q111" i="8" s="1"/>
  <c r="Q112" i="8" s="1"/>
  <c r="Q113" i="8" s="1"/>
  <c r="Q114" i="8" s="1"/>
  <c r="Q116" i="8" s="1"/>
  <c r="Q117" i="8" s="1"/>
  <c r="Q118" i="8" s="1"/>
  <c r="Q119" i="8" s="1"/>
  <c r="Q120" i="8" s="1"/>
  <c r="Q121" i="8" s="1"/>
  <c r="Q122" i="8" s="1"/>
  <c r="Q123" i="8" s="1"/>
  <c r="Q124" i="8" s="1"/>
  <c r="Q125" i="8" s="1"/>
  <c r="Q126" i="8" s="1"/>
  <c r="Q127" i="8" s="1"/>
  <c r="Q129" i="8" s="1"/>
  <c r="Q130" i="8" s="1"/>
  <c r="Q131" i="8" s="1"/>
  <c r="Q132" i="8" s="1"/>
  <c r="Q133" i="8" s="1"/>
  <c r="Q134" i="8" s="1"/>
  <c r="Q135" i="8" s="1"/>
  <c r="Q136" i="8" s="1"/>
  <c r="Q137" i="8" s="1"/>
  <c r="Q138" i="8" s="1"/>
  <c r="Q139" i="8" s="1"/>
  <c r="Q140" i="8" s="1"/>
  <c r="Q142" i="8" s="1"/>
  <c r="Q143" i="8" s="1"/>
  <c r="Q144" i="8" s="1"/>
  <c r="Q145" i="8" s="1"/>
  <c r="Q146" i="8" s="1"/>
  <c r="Q147" i="8" s="1"/>
  <c r="Q148" i="8" s="1"/>
  <c r="Q149" i="8" s="1"/>
  <c r="Q150" i="8" s="1"/>
  <c r="Q151" i="8" s="1"/>
  <c r="Q152" i="8" s="1"/>
  <c r="Q153" i="8" s="1"/>
  <c r="Q155" i="8" s="1"/>
  <c r="Q156" i="8" s="1"/>
  <c r="Q157" i="8" s="1"/>
  <c r="Q158" i="8" s="1"/>
  <c r="Q159" i="8" s="1"/>
  <c r="Q160" i="8" s="1"/>
  <c r="Q161" i="8" s="1"/>
  <c r="Q162" i="8" s="1"/>
  <c r="Q163" i="8" s="1"/>
  <c r="Q164" i="8" s="1"/>
  <c r="Q165" i="8" s="1"/>
  <c r="Q166" i="8" s="1"/>
  <c r="L45" i="2"/>
  <c r="N45" i="2"/>
  <c r="M45" i="2"/>
  <c r="L48" i="6"/>
  <c r="N48" i="6"/>
  <c r="M48" i="6"/>
  <c r="L46" i="5"/>
  <c r="M46" i="5"/>
  <c r="N46" i="5"/>
  <c r="E45" i="7"/>
  <c r="F45" i="7" s="1"/>
  <c r="H45" i="7" s="1"/>
  <c r="L44" i="7"/>
  <c r="N44" i="7"/>
  <c r="M44" i="7"/>
  <c r="C47" i="2"/>
  <c r="D47" i="2" s="1"/>
  <c r="P88" i="8"/>
  <c r="P90" i="8" s="1"/>
  <c r="E47" i="5"/>
  <c r="F47" i="5" s="1"/>
  <c r="H47" i="5" s="1"/>
  <c r="E46" i="2"/>
  <c r="F46" i="2" s="1"/>
  <c r="H46" i="2" s="1"/>
  <c r="C48" i="5"/>
  <c r="D48" i="5" s="1"/>
  <c r="E49" i="6"/>
  <c r="F49" i="6" s="1"/>
  <c r="H49" i="6" s="1"/>
  <c r="C50" i="6"/>
  <c r="D50" i="6" s="1"/>
  <c r="S87" i="8"/>
  <c r="C46" i="7"/>
  <c r="D46" i="7" s="1"/>
  <c r="P91" i="8" l="1"/>
  <c r="P92" i="8" s="1"/>
  <c r="P93" i="8" s="1"/>
  <c r="P94" i="8" s="1"/>
  <c r="P95" i="8" s="1"/>
  <c r="P96" i="8" s="1"/>
  <c r="P97" i="8" s="1"/>
  <c r="P98" i="8" s="1"/>
  <c r="P99" i="8" s="1"/>
  <c r="P100" i="8" s="1"/>
  <c r="P101" i="8" s="1"/>
  <c r="P103" i="8" s="1"/>
  <c r="P104" i="8" s="1"/>
  <c r="P105" i="8" s="1"/>
  <c r="P106" i="8" s="1"/>
  <c r="P107" i="8" s="1"/>
  <c r="P108" i="8" s="1"/>
  <c r="P109" i="8" s="1"/>
  <c r="P110" i="8" s="1"/>
  <c r="P111" i="8" s="1"/>
  <c r="P112" i="8" s="1"/>
  <c r="P113" i="8" s="1"/>
  <c r="P114" i="8" s="1"/>
  <c r="P116" i="8" s="1"/>
  <c r="P117" i="8" s="1"/>
  <c r="P118" i="8" s="1"/>
  <c r="P119" i="8" s="1"/>
  <c r="P120" i="8" s="1"/>
  <c r="P121" i="8" s="1"/>
  <c r="P122" i="8" s="1"/>
  <c r="P123" i="8" s="1"/>
  <c r="P124" i="8" s="1"/>
  <c r="P125" i="8" s="1"/>
  <c r="P126" i="8" s="1"/>
  <c r="P127" i="8" s="1"/>
  <c r="P129" i="8" s="1"/>
  <c r="P130" i="8" s="1"/>
  <c r="P131" i="8" s="1"/>
  <c r="P132" i="8" s="1"/>
  <c r="P133" i="8" s="1"/>
  <c r="P134" i="8" s="1"/>
  <c r="P135" i="8" s="1"/>
  <c r="P136" i="8" s="1"/>
  <c r="P137" i="8" s="1"/>
  <c r="P138" i="8" s="1"/>
  <c r="P139" i="8" s="1"/>
  <c r="P140" i="8" s="1"/>
  <c r="P142" i="8" s="1"/>
  <c r="P143" i="8" s="1"/>
  <c r="P144" i="8" s="1"/>
  <c r="P145" i="8" s="1"/>
  <c r="P146" i="8" s="1"/>
  <c r="P147" i="8" s="1"/>
  <c r="P148" i="8" s="1"/>
  <c r="P149" i="8" s="1"/>
  <c r="P150" i="8" s="1"/>
  <c r="P151" i="8" s="1"/>
  <c r="P152" i="8" s="1"/>
  <c r="P153" i="8" s="1"/>
  <c r="P155" i="8" s="1"/>
  <c r="P156" i="8" s="1"/>
  <c r="P157" i="8" s="1"/>
  <c r="P158" i="8" s="1"/>
  <c r="P159" i="8" s="1"/>
  <c r="P160" i="8" s="1"/>
  <c r="P161" i="8" s="1"/>
  <c r="P162" i="8" s="1"/>
  <c r="P163" i="8" s="1"/>
  <c r="P164" i="8" s="1"/>
  <c r="P165" i="8" s="1"/>
  <c r="P166" i="8" s="1"/>
  <c r="L49" i="6"/>
  <c r="N49" i="6"/>
  <c r="M49" i="6"/>
  <c r="N46" i="2"/>
  <c r="M46" i="2"/>
  <c r="L46" i="2"/>
  <c r="E47" i="2"/>
  <c r="F47" i="2" s="1"/>
  <c r="H47" i="2" s="1"/>
  <c r="E48" i="5"/>
  <c r="F48" i="5" s="1"/>
  <c r="H48" i="5" s="1"/>
  <c r="M45" i="7"/>
  <c r="N45" i="7"/>
  <c r="L45" i="7"/>
  <c r="C49" i="5"/>
  <c r="D49" i="5" s="1"/>
  <c r="S88" i="8"/>
  <c r="S90" i="8" s="1"/>
  <c r="C47" i="7"/>
  <c r="D47" i="7" s="1"/>
  <c r="M47" i="5"/>
  <c r="N47" i="5"/>
  <c r="L47" i="5"/>
  <c r="C48" i="2"/>
  <c r="D48" i="2" s="1"/>
  <c r="E46" i="7"/>
  <c r="F46" i="7" s="1"/>
  <c r="H46" i="7" s="1"/>
  <c r="C51" i="6"/>
  <c r="D51" i="6" s="1"/>
  <c r="E50" i="6"/>
  <c r="F50" i="6" s="1"/>
  <c r="H50" i="6" s="1"/>
  <c r="S91" i="8" l="1"/>
  <c r="S92" i="8" s="1"/>
  <c r="S93" i="8" s="1"/>
  <c r="S94" i="8" s="1"/>
  <c r="S95" i="8" s="1"/>
  <c r="S96" i="8" s="1"/>
  <c r="S97" i="8" s="1"/>
  <c r="S98" i="8" s="1"/>
  <c r="S99" i="8" s="1"/>
  <c r="S100" i="8" s="1"/>
  <c r="S101" i="8" s="1"/>
  <c r="S103" i="8" s="1"/>
  <c r="S104" i="8" s="1"/>
  <c r="S105" i="8" s="1"/>
  <c r="S106" i="8" s="1"/>
  <c r="S107" i="8" s="1"/>
  <c r="S108" i="8" s="1"/>
  <c r="S109" i="8" s="1"/>
  <c r="S110" i="8" s="1"/>
  <c r="S111" i="8" s="1"/>
  <c r="S112" i="8" s="1"/>
  <c r="S113" i="8" s="1"/>
  <c r="S114" i="8" s="1"/>
  <c r="S116" i="8" s="1"/>
  <c r="S117" i="8" s="1"/>
  <c r="S118" i="8" s="1"/>
  <c r="S119" i="8" s="1"/>
  <c r="S120" i="8" s="1"/>
  <c r="S121" i="8" s="1"/>
  <c r="S122" i="8" s="1"/>
  <c r="S123" i="8" s="1"/>
  <c r="S124" i="8" s="1"/>
  <c r="S125" i="8" s="1"/>
  <c r="S126" i="8" s="1"/>
  <c r="S127" i="8" s="1"/>
  <c r="S129" i="8" s="1"/>
  <c r="S130" i="8" s="1"/>
  <c r="S131" i="8" s="1"/>
  <c r="S132" i="8" s="1"/>
  <c r="S133" i="8" s="1"/>
  <c r="S134" i="8" s="1"/>
  <c r="S135" i="8" s="1"/>
  <c r="S136" i="8" s="1"/>
  <c r="S137" i="8" s="1"/>
  <c r="S138" i="8" s="1"/>
  <c r="S139" i="8" s="1"/>
  <c r="S140" i="8" s="1"/>
  <c r="S142" i="8" s="1"/>
  <c r="S143" i="8" s="1"/>
  <c r="S144" i="8" s="1"/>
  <c r="S145" i="8" s="1"/>
  <c r="S146" i="8" s="1"/>
  <c r="S147" i="8" s="1"/>
  <c r="S148" i="8" s="1"/>
  <c r="S149" i="8" s="1"/>
  <c r="S150" i="8" s="1"/>
  <c r="S151" i="8" s="1"/>
  <c r="S152" i="8" s="1"/>
  <c r="S153" i="8" s="1"/>
  <c r="S155" i="8" s="1"/>
  <c r="S156" i="8" s="1"/>
  <c r="S157" i="8" s="1"/>
  <c r="S158" i="8" s="1"/>
  <c r="S159" i="8" s="1"/>
  <c r="S160" i="8" s="1"/>
  <c r="S161" i="8" s="1"/>
  <c r="S162" i="8" s="1"/>
  <c r="S163" i="8" s="1"/>
  <c r="S164" i="8" s="1"/>
  <c r="S165" i="8" s="1"/>
  <c r="S166" i="8" s="1"/>
  <c r="L50" i="6"/>
  <c r="M50" i="6"/>
  <c r="N50" i="6"/>
  <c r="L48" i="5"/>
  <c r="M48" i="5"/>
  <c r="N48" i="5"/>
  <c r="N46" i="7"/>
  <c r="M46" i="7"/>
  <c r="L46" i="7"/>
  <c r="C48" i="7"/>
  <c r="D48" i="7" s="1"/>
  <c r="C50" i="5"/>
  <c r="D50" i="5" s="1"/>
  <c r="L47" i="2"/>
  <c r="N47" i="2"/>
  <c r="M47" i="2"/>
  <c r="E48" i="2"/>
  <c r="F48" i="2" s="1"/>
  <c r="H48" i="2" s="1"/>
  <c r="E49" i="5"/>
  <c r="F49" i="5" s="1"/>
  <c r="H49" i="5" s="1"/>
  <c r="C49" i="2"/>
  <c r="D49" i="2" s="1"/>
  <c r="E51" i="6"/>
  <c r="F51" i="6" s="1"/>
  <c r="H51" i="6" s="1"/>
  <c r="C52" i="6"/>
  <c r="D52" i="6" s="1"/>
  <c r="E47" i="7"/>
  <c r="F47" i="7" s="1"/>
  <c r="H47" i="7" s="1"/>
  <c r="N49" i="5" l="1"/>
  <c r="L49" i="5"/>
  <c r="M49" i="5"/>
  <c r="L48" i="2"/>
  <c r="M48" i="2"/>
  <c r="N48" i="2"/>
  <c r="M47" i="7"/>
  <c r="L47" i="7"/>
  <c r="N47" i="7"/>
  <c r="M51" i="6"/>
  <c r="N51" i="6"/>
  <c r="L51" i="6"/>
  <c r="C50" i="2"/>
  <c r="D50" i="2" s="1"/>
  <c r="E50" i="5"/>
  <c r="F50" i="5" s="1"/>
  <c r="H50" i="5" s="1"/>
  <c r="C51" i="5"/>
  <c r="D51" i="5" s="1"/>
  <c r="C49" i="7"/>
  <c r="D49" i="7" s="1"/>
  <c r="E49" i="2"/>
  <c r="F49" i="2" s="1"/>
  <c r="H49" i="2" s="1"/>
  <c r="C53" i="6"/>
  <c r="D53" i="6" s="1"/>
  <c r="E48" i="7"/>
  <c r="F48" i="7" s="1"/>
  <c r="H48" i="7" s="1"/>
  <c r="E52" i="6"/>
  <c r="F52" i="6" s="1"/>
  <c r="H52" i="6" s="1"/>
  <c r="L48" i="7" l="1"/>
  <c r="M48" i="7"/>
  <c r="N48" i="7"/>
  <c r="L50" i="5"/>
  <c r="N50" i="5"/>
  <c r="M50" i="5"/>
  <c r="C54" i="6"/>
  <c r="D54" i="6" s="1"/>
  <c r="M49" i="2"/>
  <c r="L49" i="2"/>
  <c r="N49" i="2"/>
  <c r="E50" i="2"/>
  <c r="F50" i="2" s="1"/>
  <c r="H50" i="2" s="1"/>
  <c r="E53" i="6"/>
  <c r="F53" i="6" s="1"/>
  <c r="H53" i="6" s="1"/>
  <c r="C51" i="2"/>
  <c r="D51" i="2" s="1"/>
  <c r="L52" i="6"/>
  <c r="M52" i="6"/>
  <c r="N52" i="6"/>
  <c r="E51" i="5"/>
  <c r="F51" i="5" s="1"/>
  <c r="H51" i="5" s="1"/>
  <c r="C50" i="7"/>
  <c r="D50" i="7" s="1"/>
  <c r="E49" i="7"/>
  <c r="F49" i="7" s="1"/>
  <c r="H49" i="7" s="1"/>
  <c r="C52" i="5"/>
  <c r="D52" i="5" s="1"/>
  <c r="M49" i="7" l="1"/>
  <c r="N49" i="7"/>
  <c r="L49" i="7"/>
  <c r="M50" i="2"/>
  <c r="L50" i="2"/>
  <c r="N50" i="2"/>
  <c r="E54" i="6"/>
  <c r="F54" i="6" s="1"/>
  <c r="H54" i="6" s="1"/>
  <c r="E51" i="2"/>
  <c r="F51" i="2" s="1"/>
  <c r="H51" i="2" s="1"/>
  <c r="C53" i="5"/>
  <c r="D53" i="5" s="1"/>
  <c r="C51" i="7"/>
  <c r="D51" i="7" s="1"/>
  <c r="E52" i="5"/>
  <c r="F52" i="5" s="1"/>
  <c r="H52" i="5" s="1"/>
  <c r="E50" i="7"/>
  <c r="F50" i="7" s="1"/>
  <c r="H50" i="7" s="1"/>
  <c r="N53" i="6"/>
  <c r="M53" i="6"/>
  <c r="L53" i="6"/>
  <c r="C55" i="6"/>
  <c r="D55" i="6" s="1"/>
  <c r="M51" i="5"/>
  <c r="L51" i="5"/>
  <c r="N51" i="5"/>
  <c r="C52" i="2"/>
  <c r="D52" i="2" s="1"/>
  <c r="L51" i="2" l="1"/>
  <c r="N51" i="2"/>
  <c r="M51" i="2"/>
  <c r="M54" i="6"/>
  <c r="L54" i="6"/>
  <c r="N54" i="6"/>
  <c r="L52" i="5"/>
  <c r="M52" i="5"/>
  <c r="N52" i="5"/>
  <c r="E53" i="5"/>
  <c r="F53" i="5" s="1"/>
  <c r="H53" i="5" s="1"/>
  <c r="E51" i="7"/>
  <c r="F51" i="7" s="1"/>
  <c r="H51" i="7" s="1"/>
  <c r="E52" i="2"/>
  <c r="F52" i="2" s="1"/>
  <c r="H52" i="2" s="1"/>
  <c r="C54" i="5"/>
  <c r="D54" i="5" s="1"/>
  <c r="C53" i="2"/>
  <c r="D53" i="2" s="1"/>
  <c r="C56" i="6"/>
  <c r="D56" i="6" s="1"/>
  <c r="E55" i="6"/>
  <c r="F55" i="6" s="1"/>
  <c r="H55" i="6" s="1"/>
  <c r="C52" i="7"/>
  <c r="D52" i="7" s="1"/>
  <c r="L50" i="7"/>
  <c r="N50" i="7"/>
  <c r="M50" i="7"/>
  <c r="N51" i="7" l="1"/>
  <c r="M51" i="7"/>
  <c r="L51" i="7"/>
  <c r="E54" i="5"/>
  <c r="F54" i="5" s="1"/>
  <c r="H54" i="5" s="1"/>
  <c r="C57" i="6"/>
  <c r="D57" i="6" s="1"/>
  <c r="N55" i="6"/>
  <c r="L55" i="6"/>
  <c r="M55" i="6"/>
  <c r="C53" i="7"/>
  <c r="D53" i="7" s="1"/>
  <c r="M52" i="2"/>
  <c r="L52" i="2"/>
  <c r="N52" i="2"/>
  <c r="E56" i="6"/>
  <c r="F56" i="6" s="1"/>
  <c r="H56" i="6" s="1"/>
  <c r="E53" i="2"/>
  <c r="F53" i="2" s="1"/>
  <c r="H53" i="2" s="1"/>
  <c r="L53" i="5"/>
  <c r="M53" i="5"/>
  <c r="N53" i="5"/>
  <c r="C54" i="2"/>
  <c r="D54" i="2" s="1"/>
  <c r="E52" i="7"/>
  <c r="F52" i="7" s="1"/>
  <c r="H52" i="7" s="1"/>
  <c r="C55" i="5"/>
  <c r="D55" i="5" s="1"/>
  <c r="L52" i="7" l="1"/>
  <c r="M52" i="7"/>
  <c r="N52" i="7"/>
  <c r="M56" i="6"/>
  <c r="N56" i="6"/>
  <c r="L56" i="6"/>
  <c r="C55" i="2"/>
  <c r="D55" i="2" s="1"/>
  <c r="C58" i="6"/>
  <c r="D58" i="6" s="1"/>
  <c r="E55" i="5"/>
  <c r="F55" i="5" s="1"/>
  <c r="H55" i="5" s="1"/>
  <c r="E57" i="6"/>
  <c r="F57" i="6" s="1"/>
  <c r="H57" i="6" s="1"/>
  <c r="M54" i="5"/>
  <c r="L54" i="5"/>
  <c r="N54" i="5"/>
  <c r="N53" i="2"/>
  <c r="L53" i="2"/>
  <c r="M53" i="2"/>
  <c r="E54" i="2"/>
  <c r="F54" i="2" s="1"/>
  <c r="H54" i="2" s="1"/>
  <c r="C54" i="7"/>
  <c r="D54" i="7" s="1"/>
  <c r="C56" i="5"/>
  <c r="D56" i="5" s="1"/>
  <c r="E53" i="7"/>
  <c r="F53" i="7" s="1"/>
  <c r="H53" i="7" s="1"/>
  <c r="N57" i="6" l="1"/>
  <c r="L57" i="6"/>
  <c r="M57" i="6"/>
  <c r="L54" i="2"/>
  <c r="M54" i="2"/>
  <c r="N54" i="2"/>
  <c r="E54" i="7"/>
  <c r="F54" i="7" s="1"/>
  <c r="H54" i="7" s="1"/>
  <c r="C56" i="2"/>
  <c r="D56" i="2" s="1"/>
  <c r="M55" i="5"/>
  <c r="L55" i="5"/>
  <c r="N55" i="5"/>
  <c r="C55" i="7"/>
  <c r="D55" i="7" s="1"/>
  <c r="L53" i="7"/>
  <c r="N53" i="7"/>
  <c r="M53" i="7"/>
  <c r="E55" i="2"/>
  <c r="F55" i="2" s="1"/>
  <c r="H55" i="2" s="1"/>
  <c r="E56" i="5"/>
  <c r="F56" i="5" s="1"/>
  <c r="H56" i="5" s="1"/>
  <c r="E58" i="6"/>
  <c r="F58" i="6" s="1"/>
  <c r="H58" i="6" s="1"/>
  <c r="C57" i="5"/>
  <c r="D57" i="5" s="1"/>
  <c r="C59" i="6"/>
  <c r="D59" i="6" s="1"/>
  <c r="L56" i="5" l="1"/>
  <c r="N56" i="5"/>
  <c r="M56" i="5"/>
  <c r="M55" i="2"/>
  <c r="L55" i="2"/>
  <c r="N55" i="2"/>
  <c r="C57" i="2"/>
  <c r="D57" i="2" s="1"/>
  <c r="E55" i="7"/>
  <c r="F55" i="7" s="1"/>
  <c r="H55" i="7" s="1"/>
  <c r="N58" i="6"/>
  <c r="M58" i="6"/>
  <c r="L58" i="6"/>
  <c r="C58" i="5"/>
  <c r="D58" i="5" s="1"/>
  <c r="E59" i="6"/>
  <c r="F59" i="6" s="1"/>
  <c r="H59" i="6" s="1"/>
  <c r="N54" i="7"/>
  <c r="M54" i="7"/>
  <c r="L54" i="7"/>
  <c r="C56" i="7"/>
  <c r="D56" i="7" s="1"/>
  <c r="C60" i="6"/>
  <c r="D60" i="6" s="1"/>
  <c r="E57" i="5"/>
  <c r="F57" i="5" s="1"/>
  <c r="H57" i="5" s="1"/>
  <c r="E56" i="2"/>
  <c r="F56" i="2" s="1"/>
  <c r="H56" i="2" s="1"/>
  <c r="M57" i="5" l="1"/>
  <c r="N57" i="5"/>
  <c r="L57" i="5"/>
  <c r="N55" i="7"/>
  <c r="L55" i="7"/>
  <c r="M55" i="7"/>
  <c r="N59" i="6"/>
  <c r="M59" i="6"/>
  <c r="L59" i="6"/>
  <c r="C58" i="2"/>
  <c r="D58" i="2" s="1"/>
  <c r="E60" i="6"/>
  <c r="F60" i="6" s="1"/>
  <c r="H60" i="6" s="1"/>
  <c r="C59" i="5"/>
  <c r="D59" i="5" s="1"/>
  <c r="E58" i="5"/>
  <c r="F58" i="5" s="1"/>
  <c r="H58" i="5" s="1"/>
  <c r="L56" i="2"/>
  <c r="N56" i="2"/>
  <c r="M56" i="2"/>
  <c r="E56" i="7"/>
  <c r="F56" i="7" s="1"/>
  <c r="H56" i="7" s="1"/>
  <c r="C57" i="7"/>
  <c r="D57" i="7" s="1"/>
  <c r="E57" i="2"/>
  <c r="F57" i="2" s="1"/>
  <c r="H57" i="2" s="1"/>
  <c r="M56" i="7" l="1"/>
  <c r="N56" i="7"/>
  <c r="L56" i="7"/>
  <c r="M58" i="5"/>
  <c r="N58" i="5"/>
  <c r="L58" i="5"/>
  <c r="C58" i="7"/>
  <c r="D58" i="7" s="1"/>
  <c r="C60" i="5"/>
  <c r="D60" i="5" s="1"/>
  <c r="E59" i="5"/>
  <c r="F59" i="5" s="1"/>
  <c r="H59" i="5" s="1"/>
  <c r="N60" i="6"/>
  <c r="N61" i="6" s="1"/>
  <c r="M60" i="6"/>
  <c r="M61" i="6" s="1"/>
  <c r="L60" i="6"/>
  <c r="L61" i="6" s="1"/>
  <c r="C59" i="2"/>
  <c r="D59" i="2" s="1"/>
  <c r="E57" i="7"/>
  <c r="F57" i="7" s="1"/>
  <c r="H57" i="7" s="1"/>
  <c r="E58" i="2"/>
  <c r="F58" i="2" s="1"/>
  <c r="H58" i="2" s="1"/>
  <c r="M57" i="2"/>
  <c r="N57" i="2"/>
  <c r="L57" i="2"/>
  <c r="M58" i="2" l="1"/>
  <c r="N58" i="2"/>
  <c r="L58" i="2"/>
  <c r="N57" i="7"/>
  <c r="L57" i="7"/>
  <c r="M57" i="7"/>
  <c r="E58" i="7"/>
  <c r="F58" i="7" s="1"/>
  <c r="H58" i="7" s="1"/>
  <c r="C59" i="7"/>
  <c r="D59" i="7" s="1"/>
  <c r="C60" i="2"/>
  <c r="D60" i="2" s="1"/>
  <c r="E60" i="2" s="1"/>
  <c r="L59" i="5"/>
  <c r="N59" i="5"/>
  <c r="M59" i="5"/>
  <c r="E60" i="5"/>
  <c r="F60" i="5" s="1"/>
  <c r="H60" i="5" s="1"/>
  <c r="E59" i="2"/>
  <c r="F59" i="2" s="1"/>
  <c r="H59" i="2" s="1"/>
  <c r="N60" i="5" l="1"/>
  <c r="N61" i="5" s="1"/>
  <c r="M60" i="5"/>
  <c r="M61" i="5" s="1"/>
  <c r="L60" i="5"/>
  <c r="L61" i="5" s="1"/>
  <c r="M58" i="7"/>
  <c r="N58" i="7"/>
  <c r="L58" i="7"/>
  <c r="F60" i="2"/>
  <c r="H60" i="2" s="1"/>
  <c r="E59" i="7"/>
  <c r="F59" i="7" s="1"/>
  <c r="H59" i="7" s="1"/>
  <c r="N59" i="2"/>
  <c r="L59" i="2"/>
  <c r="M59" i="2"/>
  <c r="C60" i="7"/>
  <c r="D60" i="7" s="1"/>
  <c r="N59" i="7" l="1"/>
  <c r="M59" i="7"/>
  <c r="L59" i="7"/>
  <c r="L60" i="2"/>
  <c r="L61" i="2" s="1"/>
  <c r="M60" i="2"/>
  <c r="M61" i="2" s="1"/>
  <c r="N60" i="2"/>
  <c r="N61" i="2" s="1"/>
  <c r="E60" i="7"/>
  <c r="F60" i="7" s="1"/>
  <c r="H60" i="7" s="1"/>
  <c r="L60" i="7" l="1"/>
  <c r="N60" i="7"/>
  <c r="N61" i="7" s="1"/>
  <c r="M60" i="7"/>
  <c r="M61" i="7" s="1"/>
  <c r="L61" i="7" l="1"/>
  <c r="O6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Jeanna M Overstreet</author>
    <author>Jennifer Mohler</author>
    <author>s213167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This is prior month end EPIS balance.</t>
        </r>
      </text>
    </comment>
    <comment ref="G10" authorId="1" shapeId="0" xr:uid="{00000000-0006-0000-0000-000002000000}">
      <text>
        <r>
          <rPr>
            <sz val="9"/>
            <color indexed="81"/>
            <rFont val="Tahoma"/>
            <family val="2"/>
          </rPr>
          <t>Currently, these costs are all Capitalized Software so they are intangible.  The factor would need to be adjusted if costs were related to a different category:
NOTE: These % change in base rate cases.</t>
        </r>
      </text>
    </comment>
    <comment ref="A49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s213167:</t>
        </r>
        <r>
          <rPr>
            <sz val="9"/>
            <color indexed="81"/>
            <rFont val="Tahoma"/>
            <family val="2"/>
          </rPr>
          <t xml:space="preserve">
Prorated - Case No. 2023-00159 Rates Effective 1/16/24.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Jeanna M Overstreet</author>
    <author>Jennifer Mohler</author>
    <author>s213167</author>
  </authors>
  <commentList>
    <comment ref="B10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This is prior month end EPIS balance.</t>
        </r>
      </text>
    </comment>
    <comment ref="G10" authorId="1" shapeId="0" xr:uid="{00000000-0006-0000-0100-000002000000}">
      <text>
        <r>
          <rPr>
            <sz val="9"/>
            <color indexed="81"/>
            <rFont val="Tahoma"/>
            <family val="2"/>
          </rPr>
          <t>Currently, these costs are all Capitalized Software so they are intangible.  The factor would need to be adjusted if costs were related to a different category:
NOTE: These % change in base rate cases.</t>
        </r>
      </text>
    </comment>
    <comment ref="A49" authorId="2" shapeId="0" xr:uid="{00000000-0006-0000-0100-000003000000}">
      <text>
        <r>
          <rPr>
            <b/>
            <sz val="9"/>
            <color indexed="81"/>
            <rFont val="Tahoma"/>
            <family val="2"/>
          </rPr>
          <t>s213167:</t>
        </r>
        <r>
          <rPr>
            <sz val="9"/>
            <color indexed="81"/>
            <rFont val="Tahoma"/>
            <family val="2"/>
          </rPr>
          <t xml:space="preserve">
Prorated - Case No. 2023-00159 Rates Effective 1/16/24.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Jeanna M Overstreet</author>
    <author>Jennifer Mohler</author>
    <author>s213167</author>
  </authors>
  <commentList>
    <comment ref="B10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
This is prior month end EPIS balance.</t>
        </r>
      </text>
    </comment>
    <comment ref="G10" authorId="1" shapeId="0" xr:uid="{00000000-0006-0000-0200-000002000000}">
      <text>
        <r>
          <rPr>
            <sz val="9"/>
            <color indexed="81"/>
            <rFont val="Tahoma"/>
            <family val="2"/>
          </rPr>
          <t>Currently, these costs are all Capitalized Software so they are intangible.  The factor would need to be adjusted if costs were related to a different category:
NOTE: These % change in base rate cases.</t>
        </r>
      </text>
    </comment>
    <comment ref="A49" authorId="2" shapeId="0" xr:uid="{00000000-0006-0000-0200-000003000000}">
      <text>
        <r>
          <rPr>
            <b/>
            <sz val="9"/>
            <color indexed="81"/>
            <rFont val="Tahoma"/>
            <family val="2"/>
          </rPr>
          <t>s213167:</t>
        </r>
        <r>
          <rPr>
            <sz val="9"/>
            <color indexed="81"/>
            <rFont val="Tahoma"/>
            <family val="2"/>
          </rPr>
          <t xml:space="preserve">
Prorated - Case No. 2023-00159 Rates Effective 1/16/24.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Jeanna M Overstreet</author>
    <author>Jennifer Mohler</author>
    <author>s213167</author>
  </authors>
  <commentList>
    <comment ref="B10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
This is prior month end EPIS balance.</t>
        </r>
      </text>
    </comment>
    <comment ref="G10" authorId="1" shapeId="0" xr:uid="{00000000-0006-0000-0300-000002000000}">
      <text>
        <r>
          <rPr>
            <sz val="9"/>
            <color indexed="81"/>
            <rFont val="Tahoma"/>
            <family val="2"/>
          </rPr>
          <t>Currently, these costs are all Capitalized Software so they are intangible.  The factor would need to be adjusted if costs were related to a different category:
NOTE: These % change in base rate cases.</t>
        </r>
      </text>
    </comment>
    <comment ref="A49" authorId="2" shapeId="0" xr:uid="{00000000-0006-0000-0300-000003000000}">
      <text>
        <r>
          <rPr>
            <b/>
            <sz val="9"/>
            <color indexed="81"/>
            <rFont val="Tahoma"/>
            <family val="2"/>
          </rPr>
          <t>s213167:</t>
        </r>
        <r>
          <rPr>
            <sz val="9"/>
            <color indexed="81"/>
            <rFont val="Tahoma"/>
            <family val="2"/>
          </rPr>
          <t xml:space="preserve">
Prorated - Case No. 2023-00159 Rates Effective 1/16/24.</t>
        </r>
      </text>
    </comment>
  </commentList>
</comments>
</file>

<file path=xl/sharedStrings.xml><?xml version="1.0" encoding="utf-8"?>
<sst xmlns="http://schemas.openxmlformats.org/spreadsheetml/2006/main" count="217" uniqueCount="71">
  <si>
    <t>In Service</t>
  </si>
  <si>
    <t>Jurisdictional</t>
  </si>
  <si>
    <t>Factor</t>
  </si>
  <si>
    <t>Portion</t>
  </si>
  <si>
    <t>Total</t>
  </si>
  <si>
    <t>CC Rate</t>
  </si>
  <si>
    <t>Debt</t>
  </si>
  <si>
    <t xml:space="preserve">Equity </t>
  </si>
  <si>
    <t xml:space="preserve">CC </t>
  </si>
  <si>
    <t>CC</t>
  </si>
  <si>
    <t>B</t>
  </si>
  <si>
    <t>D</t>
  </si>
  <si>
    <t>Totals</t>
  </si>
  <si>
    <t xml:space="preserve">per Property </t>
  </si>
  <si>
    <t>Accting Worksheets</t>
  </si>
  <si>
    <t>Kentucky</t>
  </si>
  <si>
    <t xml:space="preserve">Less: Prior month </t>
  </si>
  <si>
    <t xml:space="preserve">end ADFIT balance </t>
  </si>
  <si>
    <t>provided by Tax</t>
  </si>
  <si>
    <t xml:space="preserve">Equals: NERC </t>
  </si>
  <si>
    <t xml:space="preserve">  investment</t>
  </si>
  <si>
    <t>post in-service</t>
  </si>
  <si>
    <t>Retail</t>
  </si>
  <si>
    <t xml:space="preserve">A </t>
  </si>
  <si>
    <t>E = C*D</t>
  </si>
  <si>
    <t xml:space="preserve">NERC Compliance and Cybersecurity </t>
  </si>
  <si>
    <t>Post In-Service Return</t>
  </si>
  <si>
    <t>C = A-B</t>
  </si>
  <si>
    <t>BU 110</t>
  </si>
  <si>
    <t>BU 117</t>
  </si>
  <si>
    <t>BU 180</t>
  </si>
  <si>
    <t>KPSC Order dated January 18, 2018 in Case No. 2017-00179</t>
  </si>
  <si>
    <t>KPSC Order dated January 13, 2021 in Case No. 2020-00174</t>
  </si>
  <si>
    <t>KPCo (110, 117, 180)</t>
  </si>
  <si>
    <t>1/1/2021 - 1/13/2021</t>
  </si>
  <si>
    <t>1/15/2021 - 1/31/2021</t>
  </si>
  <si>
    <t>Post February 28, 2017</t>
  </si>
  <si>
    <t>Net In Service</t>
  </si>
  <si>
    <t xml:space="preserve">Property </t>
  </si>
  <si>
    <t>Less: Deferred Depreciation</t>
  </si>
  <si>
    <t>Kentucky Power Company</t>
  </si>
  <si>
    <t>Amortization Schedules</t>
  </si>
  <si>
    <t>Journal ID</t>
  </si>
  <si>
    <t>Journal Description</t>
  </si>
  <si>
    <t>NERCAMRT</t>
  </si>
  <si>
    <t>NERCAMRT   Debit / (Credit)</t>
  </si>
  <si>
    <t>Case No. 2017-00179</t>
  </si>
  <si>
    <t>Case No. 2020-00174</t>
  </si>
  <si>
    <t>Year</t>
  </si>
  <si>
    <t>Period</t>
  </si>
  <si>
    <t>Business Unit</t>
  </si>
  <si>
    <t>2018 Total</t>
  </si>
  <si>
    <t>2019 Total</t>
  </si>
  <si>
    <t>2020 Total</t>
  </si>
  <si>
    <t>2021 Total</t>
  </si>
  <si>
    <t>2022 Total</t>
  </si>
  <si>
    <t>2023 Total</t>
  </si>
  <si>
    <t>2024 Total</t>
  </si>
  <si>
    <t>2025 Total</t>
  </si>
  <si>
    <t>2026 Total</t>
  </si>
  <si>
    <t>Post February 28, 2017 Depreciation Recovered</t>
  </si>
  <si>
    <t>(Account 1823538)</t>
  </si>
  <si>
    <t>To amortize deferred NERC and cyber security carrying charges, and deferred depreciation that was approved for recovery by KPSC in Case Nos. 2017-00179, 2020-00174, and 2023-00159.</t>
  </si>
  <si>
    <t>2027 Total</t>
  </si>
  <si>
    <t>2028 Total</t>
  </si>
  <si>
    <t>2029 Total</t>
  </si>
  <si>
    <t xml:space="preserve"> Balance Approved For Recovery </t>
  </si>
  <si>
    <t>(Case Nos. 2020-00174 
&amp; 2023-00159)</t>
  </si>
  <si>
    <t>Case No. 2023-00159</t>
  </si>
  <si>
    <t>KPSC Order dated January 19, 2024 in Case No. 2023-00159</t>
  </si>
  <si>
    <t>Total CC April 1,2023 -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</si>
</sst>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0.0000%"/>
    <numFmt numFmtId="167" formatCode="0.000"/>
    <numFmt numFmtId="168" formatCode="0.0000"/>
    <numFmt numFmtId="169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MT"/>
    </font>
    <font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0"/>
      <color theme="1"/>
      <name val="Cambria"/>
      <family val="1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mbria"/>
      <family val="1"/>
      <scheme val="maj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27">
    <xf numFmtId="0" fontId="0" fillId="0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6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3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  <xf numFmtId="44" fontId="9" fillId="0" borderId="0" applyFont="0" applyFill="0" applyBorder="0" applyAlignment="0" applyProtection="0"/>
  </cellStyleXfs>
  <cellXfs count="130">
    <xf numFmtId="0" fontId="0" fillId="0" borderId="0" xfId="0"/>
    <xf numFmtId="0" fontId="11" fillId="0" borderId="0" xfId="0" applyFont="1"/>
    <xf numFmtId="164" fontId="11" fillId="0" borderId="0" xfId="1" applyNumberFormat="1" applyFont="1"/>
    <xf numFmtId="0" fontId="11" fillId="0" borderId="0" xfId="0" applyFont="1" applyAlignment="1">
      <alignment horizontal="center"/>
    </xf>
    <xf numFmtId="164" fontId="12" fillId="0" borderId="0" xfId="1" applyNumberFormat="1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43" fontId="11" fillId="3" borderId="2" xfId="1" applyFont="1" applyFill="1" applyBorder="1" applyAlignment="1">
      <alignment horizontal="center"/>
    </xf>
    <xf numFmtId="43" fontId="11" fillId="3" borderId="0" xfId="1" applyFont="1" applyFill="1" applyBorder="1" applyAlignment="1">
      <alignment horizontal="center"/>
    </xf>
    <xf numFmtId="43" fontId="11" fillId="3" borderId="3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43" fontId="13" fillId="3" borderId="7" xfId="0" applyNumberFormat="1" applyFont="1" applyFill="1" applyBorder="1" applyAlignment="1">
      <alignment horizontal="center"/>
    </xf>
    <xf numFmtId="17" fontId="11" fillId="0" borderId="0" xfId="0" applyNumberFormat="1" applyFont="1" applyFill="1"/>
    <xf numFmtId="0" fontId="11" fillId="0" borderId="0" xfId="0" applyFont="1" applyFill="1"/>
    <xf numFmtId="0" fontId="11" fillId="3" borderId="0" xfId="0" applyFont="1" applyFill="1" applyAlignment="1">
      <alignment horizontal="center"/>
    </xf>
    <xf numFmtId="166" fontId="11" fillId="0" borderId="0" xfId="392" applyNumberFormat="1" applyFont="1" applyAlignment="1">
      <alignment horizontal="center"/>
    </xf>
    <xf numFmtId="166" fontId="11" fillId="0" borderId="0" xfId="392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quotePrefix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3" fillId="0" borderId="0" xfId="0" applyFont="1"/>
    <xf numFmtId="43" fontId="11" fillId="0" borderId="0" xfId="1" applyNumberFormat="1" applyFont="1"/>
    <xf numFmtId="0" fontId="16" fillId="0" borderId="0" xfId="0" applyFont="1"/>
    <xf numFmtId="43" fontId="11" fillId="0" borderId="0" xfId="0" applyNumberFormat="1" applyFont="1"/>
    <xf numFmtId="164" fontId="11" fillId="0" borderId="0" xfId="1" applyNumberFormat="1" applyFont="1" applyFill="1"/>
    <xf numFmtId="43" fontId="11" fillId="0" borderId="0" xfId="1" applyFont="1" applyFill="1"/>
    <xf numFmtId="43" fontId="11" fillId="0" borderId="0" xfId="0" applyNumberFormat="1" applyFont="1" applyFill="1" applyAlignment="1">
      <alignment horizontal="center" wrapText="1"/>
    </xf>
    <xf numFmtId="43" fontId="11" fillId="0" borderId="0" xfId="0" applyNumberFormat="1" applyFont="1" applyFill="1" applyAlignment="1">
      <alignment horizontal="center"/>
    </xf>
    <xf numFmtId="43" fontId="11" fillId="0" borderId="0" xfId="1" applyFont="1" applyFill="1" applyAlignment="1">
      <alignment horizontal="center"/>
    </xf>
    <xf numFmtId="43" fontId="14" fillId="0" borderId="0" xfId="1" applyFont="1" applyFill="1" applyAlignment="1">
      <alignment horizontal="center"/>
    </xf>
    <xf numFmtId="43" fontId="12" fillId="0" borderId="0" xfId="1" applyFont="1" applyFill="1" applyBorder="1" applyAlignment="1">
      <alignment horizontal="center" wrapText="1"/>
    </xf>
    <xf numFmtId="9" fontId="11" fillId="4" borderId="8" xfId="392" applyFont="1" applyFill="1" applyBorder="1" applyAlignment="1">
      <alignment horizontal="center"/>
    </xf>
    <xf numFmtId="17" fontId="11" fillId="0" borderId="0" xfId="0" applyNumberFormat="1" applyFont="1" applyFill="1" applyAlignment="1">
      <alignment horizontal="right"/>
    </xf>
    <xf numFmtId="43" fontId="0" fillId="0" borderId="0" xfId="0" applyNumberFormat="1"/>
    <xf numFmtId="43" fontId="17" fillId="0" borderId="0" xfId="1" applyFont="1" applyFill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5" borderId="8" xfId="0" applyFont="1" applyFill="1" applyBorder="1" applyAlignment="1">
      <alignment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vertical="center" wrapText="1"/>
    </xf>
    <xf numFmtId="0" fontId="19" fillId="5" borderId="11" xfId="0" applyFont="1" applyFill="1" applyBorder="1" applyAlignment="1">
      <alignment vertical="center" wrapText="1"/>
    </xf>
    <xf numFmtId="43" fontId="18" fillId="0" borderId="0" xfId="0" applyNumberFormat="1" applyFont="1" applyFill="1" applyBorder="1"/>
    <xf numFmtId="43" fontId="18" fillId="0" borderId="12" xfId="1" applyFont="1" applyFill="1" applyBorder="1" applyAlignment="1">
      <alignment vertical="center" wrapText="1"/>
    </xf>
    <xf numFmtId="43" fontId="18" fillId="0" borderId="11" xfId="1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9" fillId="5" borderId="14" xfId="0" applyFont="1" applyFill="1" applyBorder="1" applyAlignment="1">
      <alignment vertical="center" wrapText="1"/>
    </xf>
    <xf numFmtId="43" fontId="18" fillId="0" borderId="15" xfId="1" applyFont="1" applyFill="1" applyBorder="1" applyAlignment="1">
      <alignment vertical="center" wrapText="1"/>
    </xf>
    <xf numFmtId="43" fontId="18" fillId="0" borderId="14" xfId="1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9" fillId="6" borderId="14" xfId="0" applyFont="1" applyFill="1" applyBorder="1" applyAlignment="1">
      <alignment vertical="center" wrapText="1"/>
    </xf>
    <xf numFmtId="0" fontId="19" fillId="6" borderId="0" xfId="0" applyFont="1" applyFill="1" applyBorder="1" applyAlignment="1">
      <alignment vertical="center" wrapText="1"/>
    </xf>
    <xf numFmtId="43" fontId="19" fillId="6" borderId="16" xfId="1" applyFont="1" applyFill="1" applyBorder="1" applyAlignment="1">
      <alignment vertical="center" wrapText="1"/>
    </xf>
    <xf numFmtId="43" fontId="18" fillId="0" borderId="14" xfId="1" applyNumberFormat="1" applyFont="1" applyFill="1" applyBorder="1" applyAlignment="1">
      <alignment vertical="center" wrapText="1"/>
    </xf>
    <xf numFmtId="43" fontId="18" fillId="0" borderId="0" xfId="1" applyNumberFormat="1" applyFont="1" applyFill="1" applyBorder="1" applyAlignment="1">
      <alignment vertical="center" wrapText="1"/>
    </xf>
    <xf numFmtId="43" fontId="18" fillId="0" borderId="15" xfId="1" applyNumberFormat="1" applyFont="1" applyFill="1" applyBorder="1" applyAlignment="1">
      <alignment vertical="center" wrapText="1"/>
    </xf>
    <xf numFmtId="43" fontId="19" fillId="6" borderId="19" xfId="1" applyFont="1" applyFill="1" applyBorder="1" applyAlignment="1">
      <alignment vertical="center" wrapText="1"/>
    </xf>
    <xf numFmtId="0" fontId="19" fillId="0" borderId="0" xfId="0" applyFont="1" applyFill="1" applyBorder="1"/>
    <xf numFmtId="0" fontId="19" fillId="7" borderId="0" xfId="0" applyFont="1" applyFill="1" applyBorder="1" applyAlignment="1">
      <alignment vertical="center" wrapText="1"/>
    </xf>
    <xf numFmtId="43" fontId="19" fillId="7" borderId="20" xfId="0" applyNumberFormat="1" applyFont="1" applyFill="1" applyBorder="1"/>
    <xf numFmtId="43" fontId="18" fillId="0" borderId="0" xfId="1" applyFont="1" applyFill="1" applyBorder="1"/>
    <xf numFmtId="0" fontId="10" fillId="8" borderId="8" xfId="0" applyFont="1" applyFill="1" applyBorder="1" applyAlignment="1">
      <alignment horizontal="center"/>
    </xf>
    <xf numFmtId="43" fontId="0" fillId="0" borderId="21" xfId="0" applyNumberFormat="1" applyBorder="1"/>
    <xf numFmtId="43" fontId="0" fillId="0" borderId="8" xfId="0" applyNumberFormat="1" applyBorder="1"/>
    <xf numFmtId="43" fontId="11" fillId="0" borderId="0" xfId="0" applyNumberFormat="1" applyFont="1" applyFill="1"/>
    <xf numFmtId="168" fontId="11" fillId="0" borderId="0" xfId="0" applyNumberFormat="1" applyFont="1" applyFill="1"/>
    <xf numFmtId="43" fontId="11" fillId="3" borderId="0" xfId="1" applyNumberFormat="1" applyFont="1" applyFill="1" applyBorder="1" applyAlignment="1">
      <alignment horizontal="center"/>
    </xf>
    <xf numFmtId="43" fontId="11" fillId="3" borderId="3" xfId="1" applyNumberFormat="1" applyFont="1" applyFill="1" applyBorder="1" applyAlignment="1">
      <alignment horizontal="center"/>
    </xf>
    <xf numFmtId="43" fontId="19" fillId="6" borderId="0" xfId="1" applyFont="1" applyFill="1" applyBorder="1" applyAlignment="1">
      <alignment vertical="center" wrapText="1"/>
    </xf>
    <xf numFmtId="0" fontId="19" fillId="5" borderId="0" xfId="0" applyFont="1" applyFill="1" applyBorder="1" applyAlignment="1">
      <alignment vertical="center" wrapText="1"/>
    </xf>
    <xf numFmtId="43" fontId="19" fillId="0" borderId="0" xfId="1" applyFont="1" applyFill="1" applyBorder="1" applyAlignment="1">
      <alignment vertical="center" wrapText="1"/>
    </xf>
    <xf numFmtId="43" fontId="19" fillId="6" borderId="14" xfId="1" applyFont="1" applyFill="1" applyBorder="1" applyAlignment="1">
      <alignment vertical="center" wrapText="1"/>
    </xf>
    <xf numFmtId="43" fontId="19" fillId="6" borderId="15" xfId="1" applyFont="1" applyFill="1" applyBorder="1" applyAlignment="1">
      <alignment vertical="center" wrapText="1"/>
    </xf>
    <xf numFmtId="43" fontId="18" fillId="0" borderId="14" xfId="0" applyNumberFormat="1" applyFont="1" applyFill="1" applyBorder="1"/>
    <xf numFmtId="0" fontId="19" fillId="6" borderId="17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center" wrapText="1"/>
    </xf>
    <xf numFmtId="43" fontId="19" fillId="0" borderId="15" xfId="1" applyFont="1" applyFill="1" applyBorder="1" applyAlignment="1">
      <alignment vertical="center" wrapText="1"/>
    </xf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7" xfId="0" applyFont="1" applyFill="1" applyBorder="1"/>
    <xf numFmtId="0" fontId="18" fillId="0" borderId="1" xfId="0" applyFont="1" applyFill="1" applyBorder="1"/>
    <xf numFmtId="0" fontId="18" fillId="0" borderId="18" xfId="0" applyFont="1" applyFill="1" applyBorder="1"/>
    <xf numFmtId="0" fontId="19" fillId="5" borderId="13" xfId="0" applyFont="1" applyFill="1" applyBorder="1" applyAlignment="1">
      <alignment vertical="center" wrapText="1"/>
    </xf>
    <xf numFmtId="43" fontId="19" fillId="0" borderId="0" xfId="0" applyNumberFormat="1" applyFont="1" applyFill="1" applyBorder="1"/>
    <xf numFmtId="43" fontId="19" fillId="0" borderId="14" xfId="1" applyFont="1" applyFill="1" applyBorder="1" applyAlignment="1">
      <alignment vertical="center" wrapText="1"/>
    </xf>
    <xf numFmtId="43" fontId="11" fillId="10" borderId="0" xfId="1" applyFont="1" applyFill="1"/>
    <xf numFmtId="167" fontId="11" fillId="10" borderId="0" xfId="0" applyNumberFormat="1" applyFont="1" applyFill="1"/>
    <xf numFmtId="166" fontId="11" fillId="10" borderId="0" xfId="392" applyNumberFormat="1" applyFont="1" applyFill="1" applyAlignment="1">
      <alignment horizontal="center"/>
    </xf>
    <xf numFmtId="17" fontId="11" fillId="10" borderId="0" xfId="0" applyNumberFormat="1" applyFont="1" applyFill="1"/>
    <xf numFmtId="164" fontId="11" fillId="10" borderId="0" xfId="1" applyNumberFormat="1" applyFont="1" applyFill="1"/>
    <xf numFmtId="43" fontId="11" fillId="10" borderId="0" xfId="1" applyNumberFormat="1" applyFont="1" applyFill="1"/>
    <xf numFmtId="43" fontId="11" fillId="0" borderId="0" xfId="1" applyFont="1" applyFill="1" applyAlignment="1">
      <alignment horizontal="center" wrapText="1"/>
    </xf>
    <xf numFmtId="43" fontId="0" fillId="10" borderId="0" xfId="0" applyNumberFormat="1" applyFill="1"/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0" fontId="18" fillId="0" borderId="0" xfId="392" applyNumberFormat="1" applyFont="1" applyFill="1" applyBorder="1"/>
    <xf numFmtId="43" fontId="11" fillId="4" borderId="2" xfId="1" applyFont="1" applyFill="1" applyBorder="1" applyAlignment="1">
      <alignment horizontal="center"/>
    </xf>
    <xf numFmtId="0" fontId="13" fillId="0" borderId="0" xfId="0" applyFont="1" applyFill="1"/>
    <xf numFmtId="169" fontId="13" fillId="0" borderId="0" xfId="726" applyNumberFormat="1" applyFont="1"/>
    <xf numFmtId="43" fontId="11" fillId="0" borderId="0" xfId="1" applyNumberFormat="1" applyFont="1" applyFill="1"/>
    <xf numFmtId="165" fontId="11" fillId="0" borderId="0" xfId="1" applyNumberFormat="1" applyFont="1" applyFill="1" applyBorder="1" applyAlignment="1">
      <alignment horizontal="center"/>
    </xf>
    <xf numFmtId="165" fontId="11" fillId="0" borderId="3" xfId="1" applyNumberFormat="1" applyFont="1" applyFill="1" applyBorder="1" applyAlignment="1">
      <alignment horizontal="center"/>
    </xf>
    <xf numFmtId="43" fontId="20" fillId="0" borderId="0" xfId="1" applyFont="1" applyFill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19" fillId="5" borderId="14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24" xfId="0" applyFont="1" applyFill="1" applyBorder="1" applyAlignment="1">
      <alignment horizontal="center"/>
    </xf>
  </cellXfs>
  <cellStyles count="727">
    <cellStyle name="Comma" xfId="1" builtinId="3"/>
    <cellStyle name="Comma 10" xfId="2" xr:uid="{00000000-0005-0000-0000-000001000000}"/>
    <cellStyle name="Comma 10 2" xfId="3" xr:uid="{00000000-0005-0000-0000-000002000000}"/>
    <cellStyle name="Comma 10 3" xfId="4" xr:uid="{00000000-0005-0000-0000-000003000000}"/>
    <cellStyle name="Comma 10 3 2" xfId="5" xr:uid="{00000000-0005-0000-0000-000004000000}"/>
    <cellStyle name="Comma 10 3 3" xfId="6" xr:uid="{00000000-0005-0000-0000-000005000000}"/>
    <cellStyle name="Comma 10 4" xfId="7" xr:uid="{00000000-0005-0000-0000-000006000000}"/>
    <cellStyle name="Comma 10 4 2" xfId="8" xr:uid="{00000000-0005-0000-0000-000007000000}"/>
    <cellStyle name="Comma 10 4 3" xfId="9" xr:uid="{00000000-0005-0000-0000-000008000000}"/>
    <cellStyle name="Comma 10 4 4" xfId="10" xr:uid="{00000000-0005-0000-0000-000009000000}"/>
    <cellStyle name="Comma 10 5" xfId="11" xr:uid="{00000000-0005-0000-0000-00000A000000}"/>
    <cellStyle name="Comma 10 5 2" xfId="12" xr:uid="{00000000-0005-0000-0000-00000B000000}"/>
    <cellStyle name="Comma 10 5 2 2" xfId="13" xr:uid="{00000000-0005-0000-0000-00000C000000}"/>
    <cellStyle name="Comma 10 5 2 3" xfId="14" xr:uid="{00000000-0005-0000-0000-00000D000000}"/>
    <cellStyle name="Comma 10 5 2 3 2" xfId="15" xr:uid="{00000000-0005-0000-0000-00000E000000}"/>
    <cellStyle name="Comma 10 5 2 3 3" xfId="16" xr:uid="{00000000-0005-0000-0000-00000F000000}"/>
    <cellStyle name="Comma 10 5 2 3 4" xfId="17" xr:uid="{00000000-0005-0000-0000-000010000000}"/>
    <cellStyle name="Comma 10 5 3" xfId="18" xr:uid="{00000000-0005-0000-0000-000011000000}"/>
    <cellStyle name="Comma 10 6" xfId="19" xr:uid="{00000000-0005-0000-0000-000012000000}"/>
    <cellStyle name="Comma 10 6 2" xfId="20" xr:uid="{00000000-0005-0000-0000-000013000000}"/>
    <cellStyle name="Comma 10 6 3" xfId="21" xr:uid="{00000000-0005-0000-0000-000014000000}"/>
    <cellStyle name="Comma 10 6 3 2" xfId="22" xr:uid="{00000000-0005-0000-0000-000015000000}"/>
    <cellStyle name="Comma 10 6 3 3" xfId="23" xr:uid="{00000000-0005-0000-0000-000016000000}"/>
    <cellStyle name="Comma 10 6 3 4" xfId="24" xr:uid="{00000000-0005-0000-0000-000017000000}"/>
    <cellStyle name="Comma 10 7" xfId="25" xr:uid="{00000000-0005-0000-0000-000018000000}"/>
    <cellStyle name="Comma 10 8" xfId="26" xr:uid="{00000000-0005-0000-0000-000019000000}"/>
    <cellStyle name="Comma 10 8 2" xfId="27" xr:uid="{00000000-0005-0000-0000-00001A000000}"/>
    <cellStyle name="Comma 10 8 3" xfId="28" xr:uid="{00000000-0005-0000-0000-00001B000000}"/>
    <cellStyle name="Comma 10 8 4" xfId="29" xr:uid="{00000000-0005-0000-0000-00001C000000}"/>
    <cellStyle name="Comma 11" xfId="30" xr:uid="{00000000-0005-0000-0000-00001D000000}"/>
    <cellStyle name="Comma 11 10" xfId="31" xr:uid="{00000000-0005-0000-0000-00001E000000}"/>
    <cellStyle name="Comma 11 11" xfId="32" xr:uid="{00000000-0005-0000-0000-00001F000000}"/>
    <cellStyle name="Comma 11 11 2" xfId="33" xr:uid="{00000000-0005-0000-0000-000020000000}"/>
    <cellStyle name="Comma 11 11 2 2" xfId="34" xr:uid="{00000000-0005-0000-0000-000021000000}"/>
    <cellStyle name="Comma 11 11 2 3" xfId="35" xr:uid="{00000000-0005-0000-0000-000022000000}"/>
    <cellStyle name="Comma 11 11 2 3 2" xfId="36" xr:uid="{00000000-0005-0000-0000-000023000000}"/>
    <cellStyle name="Comma 11 11 2 3 3" xfId="37" xr:uid="{00000000-0005-0000-0000-000024000000}"/>
    <cellStyle name="Comma 11 11 2 3 4" xfId="38" xr:uid="{00000000-0005-0000-0000-000025000000}"/>
    <cellStyle name="Comma 11 12" xfId="39" xr:uid="{00000000-0005-0000-0000-000026000000}"/>
    <cellStyle name="Comma 11 13" xfId="40" xr:uid="{00000000-0005-0000-0000-000027000000}"/>
    <cellStyle name="Comma 11 13 2" xfId="41" xr:uid="{00000000-0005-0000-0000-000028000000}"/>
    <cellStyle name="Comma 11 13 2 2" xfId="42" xr:uid="{00000000-0005-0000-0000-000029000000}"/>
    <cellStyle name="Comma 11 13 2 3" xfId="43" xr:uid="{00000000-0005-0000-0000-00002A000000}"/>
    <cellStyle name="Comma 11 13 2 3 2" xfId="44" xr:uid="{00000000-0005-0000-0000-00002B000000}"/>
    <cellStyle name="Comma 11 13 2 3 3" xfId="45" xr:uid="{00000000-0005-0000-0000-00002C000000}"/>
    <cellStyle name="Comma 11 13 2 3 4" xfId="46" xr:uid="{00000000-0005-0000-0000-00002D000000}"/>
    <cellStyle name="Comma 11 2" xfId="47" xr:uid="{00000000-0005-0000-0000-00002E000000}"/>
    <cellStyle name="Comma 11 3" xfId="48" xr:uid="{00000000-0005-0000-0000-00002F000000}"/>
    <cellStyle name="Comma 11 4" xfId="49" xr:uid="{00000000-0005-0000-0000-000030000000}"/>
    <cellStyle name="Comma 11 5" xfId="50" xr:uid="{00000000-0005-0000-0000-000031000000}"/>
    <cellStyle name="Comma 11 6" xfId="51" xr:uid="{00000000-0005-0000-0000-000032000000}"/>
    <cellStyle name="Comma 11 7" xfId="52" xr:uid="{00000000-0005-0000-0000-000033000000}"/>
    <cellStyle name="Comma 11 7 2" xfId="53" xr:uid="{00000000-0005-0000-0000-000034000000}"/>
    <cellStyle name="Comma 11 7 2 2" xfId="54" xr:uid="{00000000-0005-0000-0000-000035000000}"/>
    <cellStyle name="Comma 11 7 2 3" xfId="55" xr:uid="{00000000-0005-0000-0000-000036000000}"/>
    <cellStyle name="Comma 11 8" xfId="56" xr:uid="{00000000-0005-0000-0000-000037000000}"/>
    <cellStyle name="Comma 11 9" xfId="57" xr:uid="{00000000-0005-0000-0000-000038000000}"/>
    <cellStyle name="Comma 12" xfId="58" xr:uid="{00000000-0005-0000-0000-000039000000}"/>
    <cellStyle name="Comma 12 10" xfId="59" xr:uid="{00000000-0005-0000-0000-00003A000000}"/>
    <cellStyle name="Comma 12 10 2" xfId="60" xr:uid="{00000000-0005-0000-0000-00003B000000}"/>
    <cellStyle name="Comma 12 10 2 2" xfId="61" xr:uid="{00000000-0005-0000-0000-00003C000000}"/>
    <cellStyle name="Comma 12 10 2 3" xfId="62" xr:uid="{00000000-0005-0000-0000-00003D000000}"/>
    <cellStyle name="Comma 12 10 2 3 2" xfId="63" xr:uid="{00000000-0005-0000-0000-00003E000000}"/>
    <cellStyle name="Comma 12 10 2 3 3" xfId="64" xr:uid="{00000000-0005-0000-0000-00003F000000}"/>
    <cellStyle name="Comma 12 10 2 3 4" xfId="65" xr:uid="{00000000-0005-0000-0000-000040000000}"/>
    <cellStyle name="Comma 12 11" xfId="66" xr:uid="{00000000-0005-0000-0000-000041000000}"/>
    <cellStyle name="Comma 12 12" xfId="67" xr:uid="{00000000-0005-0000-0000-000042000000}"/>
    <cellStyle name="Comma 12 12 2" xfId="68" xr:uid="{00000000-0005-0000-0000-000043000000}"/>
    <cellStyle name="Comma 12 12 2 2" xfId="69" xr:uid="{00000000-0005-0000-0000-000044000000}"/>
    <cellStyle name="Comma 12 12 2 3" xfId="70" xr:uid="{00000000-0005-0000-0000-000045000000}"/>
    <cellStyle name="Comma 12 12 2 3 2" xfId="71" xr:uid="{00000000-0005-0000-0000-000046000000}"/>
    <cellStyle name="Comma 12 12 2 3 3" xfId="72" xr:uid="{00000000-0005-0000-0000-000047000000}"/>
    <cellStyle name="Comma 12 12 2 3 4" xfId="73" xr:uid="{00000000-0005-0000-0000-000048000000}"/>
    <cellStyle name="Comma 12 2" xfId="74" xr:uid="{00000000-0005-0000-0000-000049000000}"/>
    <cellStyle name="Comma 12 3" xfId="75" xr:uid="{00000000-0005-0000-0000-00004A000000}"/>
    <cellStyle name="Comma 12 4" xfId="76" xr:uid="{00000000-0005-0000-0000-00004B000000}"/>
    <cellStyle name="Comma 12 5" xfId="77" xr:uid="{00000000-0005-0000-0000-00004C000000}"/>
    <cellStyle name="Comma 12 6" xfId="78" xr:uid="{00000000-0005-0000-0000-00004D000000}"/>
    <cellStyle name="Comma 12 6 2" xfId="79" xr:uid="{00000000-0005-0000-0000-00004E000000}"/>
    <cellStyle name="Comma 12 6 2 2" xfId="80" xr:uid="{00000000-0005-0000-0000-00004F000000}"/>
    <cellStyle name="Comma 12 6 2 3" xfId="81" xr:uid="{00000000-0005-0000-0000-000050000000}"/>
    <cellStyle name="Comma 12 7" xfId="82" xr:uid="{00000000-0005-0000-0000-000051000000}"/>
    <cellStyle name="Comma 12 8" xfId="83" xr:uid="{00000000-0005-0000-0000-000052000000}"/>
    <cellStyle name="Comma 12 9" xfId="84" xr:uid="{00000000-0005-0000-0000-000053000000}"/>
    <cellStyle name="Comma 13" xfId="85" xr:uid="{00000000-0005-0000-0000-000054000000}"/>
    <cellStyle name="Comma 13 2" xfId="86" xr:uid="{00000000-0005-0000-0000-000055000000}"/>
    <cellStyle name="Comma 13 3" xfId="87" xr:uid="{00000000-0005-0000-0000-000056000000}"/>
    <cellStyle name="Comma 13 4" xfId="88" xr:uid="{00000000-0005-0000-0000-000057000000}"/>
    <cellStyle name="Comma 13 5" xfId="89" xr:uid="{00000000-0005-0000-0000-000058000000}"/>
    <cellStyle name="Comma 13 6" xfId="90" xr:uid="{00000000-0005-0000-0000-000059000000}"/>
    <cellStyle name="Comma 14" xfId="91" xr:uid="{00000000-0005-0000-0000-00005A000000}"/>
    <cellStyle name="Comma 14 2" xfId="92" xr:uid="{00000000-0005-0000-0000-00005B000000}"/>
    <cellStyle name="Comma 14 3" xfId="93" xr:uid="{00000000-0005-0000-0000-00005C000000}"/>
    <cellStyle name="Comma 14 4" xfId="94" xr:uid="{00000000-0005-0000-0000-00005D000000}"/>
    <cellStyle name="Comma 14 5" xfId="95" xr:uid="{00000000-0005-0000-0000-00005E000000}"/>
    <cellStyle name="Comma 15" xfId="96" xr:uid="{00000000-0005-0000-0000-00005F000000}"/>
    <cellStyle name="Comma 15 2" xfId="97" xr:uid="{00000000-0005-0000-0000-000060000000}"/>
    <cellStyle name="Comma 15 3" xfId="98" xr:uid="{00000000-0005-0000-0000-000061000000}"/>
    <cellStyle name="Comma 15 4" xfId="99" xr:uid="{00000000-0005-0000-0000-000062000000}"/>
    <cellStyle name="Comma 15 5" xfId="100" xr:uid="{00000000-0005-0000-0000-000063000000}"/>
    <cellStyle name="Comma 16" xfId="101" xr:uid="{00000000-0005-0000-0000-000064000000}"/>
    <cellStyle name="Comma 16 2" xfId="102" xr:uid="{00000000-0005-0000-0000-000065000000}"/>
    <cellStyle name="Comma 16 3" xfId="103" xr:uid="{00000000-0005-0000-0000-000066000000}"/>
    <cellStyle name="Comma 16 3 2" xfId="104" xr:uid="{00000000-0005-0000-0000-000067000000}"/>
    <cellStyle name="Comma 16 3 3" xfId="105" xr:uid="{00000000-0005-0000-0000-000068000000}"/>
    <cellStyle name="Comma 16 3 3 2" xfId="106" xr:uid="{00000000-0005-0000-0000-000069000000}"/>
    <cellStyle name="Comma 16 3 3 3" xfId="107" xr:uid="{00000000-0005-0000-0000-00006A000000}"/>
    <cellStyle name="Comma 16 3 3 4" xfId="108" xr:uid="{00000000-0005-0000-0000-00006B000000}"/>
    <cellStyle name="Comma 17" xfId="109" xr:uid="{00000000-0005-0000-0000-00006C000000}"/>
    <cellStyle name="Comma 17 2" xfId="110" xr:uid="{00000000-0005-0000-0000-00006D000000}"/>
    <cellStyle name="Comma 17 3" xfId="111" xr:uid="{00000000-0005-0000-0000-00006E000000}"/>
    <cellStyle name="Comma 17 3 2" xfId="112" xr:uid="{00000000-0005-0000-0000-00006F000000}"/>
    <cellStyle name="Comma 17 3 3" xfId="113" xr:uid="{00000000-0005-0000-0000-000070000000}"/>
    <cellStyle name="Comma 17 3 4" xfId="114" xr:uid="{00000000-0005-0000-0000-000071000000}"/>
    <cellStyle name="Comma 18" xfId="115" xr:uid="{00000000-0005-0000-0000-000072000000}"/>
    <cellStyle name="Comma 18 2" xfId="116" xr:uid="{00000000-0005-0000-0000-000073000000}"/>
    <cellStyle name="Comma 18 3" xfId="117" xr:uid="{00000000-0005-0000-0000-000074000000}"/>
    <cellStyle name="Comma 18 3 2" xfId="118" xr:uid="{00000000-0005-0000-0000-000075000000}"/>
    <cellStyle name="Comma 18 3 3" xfId="119" xr:uid="{00000000-0005-0000-0000-000076000000}"/>
    <cellStyle name="Comma 18 3 4" xfId="120" xr:uid="{00000000-0005-0000-0000-000077000000}"/>
    <cellStyle name="Comma 19" xfId="121" xr:uid="{00000000-0005-0000-0000-000078000000}"/>
    <cellStyle name="Comma 19 2" xfId="122" xr:uid="{00000000-0005-0000-0000-000079000000}"/>
    <cellStyle name="Comma 19 3" xfId="123" xr:uid="{00000000-0005-0000-0000-00007A000000}"/>
    <cellStyle name="Comma 19 3 2" xfId="124" xr:uid="{00000000-0005-0000-0000-00007B000000}"/>
    <cellStyle name="Comma 19 3 3" xfId="125" xr:uid="{00000000-0005-0000-0000-00007C000000}"/>
    <cellStyle name="Comma 19 3 4" xfId="126" xr:uid="{00000000-0005-0000-0000-00007D000000}"/>
    <cellStyle name="Comma 2" xfId="127" xr:uid="{00000000-0005-0000-0000-00007E000000}"/>
    <cellStyle name="Comma 2 2" xfId="128" xr:uid="{00000000-0005-0000-0000-00007F000000}"/>
    <cellStyle name="Comma 2 2 2" xfId="129" xr:uid="{00000000-0005-0000-0000-000080000000}"/>
    <cellStyle name="Comma 2 2 3" xfId="130" xr:uid="{00000000-0005-0000-0000-000081000000}"/>
    <cellStyle name="Comma 2 2 4" xfId="131" xr:uid="{00000000-0005-0000-0000-000082000000}"/>
    <cellStyle name="Comma 2 2 5" xfId="132" xr:uid="{00000000-0005-0000-0000-000083000000}"/>
    <cellStyle name="Comma 2 3" xfId="133" xr:uid="{00000000-0005-0000-0000-000084000000}"/>
    <cellStyle name="Comma 2 3 2" xfId="134" xr:uid="{00000000-0005-0000-0000-000085000000}"/>
    <cellStyle name="Comma 2 3 3" xfId="135" xr:uid="{00000000-0005-0000-0000-000086000000}"/>
    <cellStyle name="Comma 2 3 4" xfId="136" xr:uid="{00000000-0005-0000-0000-000087000000}"/>
    <cellStyle name="Comma 2 3 4 2" xfId="137" xr:uid="{00000000-0005-0000-0000-000088000000}"/>
    <cellStyle name="Comma 2 3 4 2 2" xfId="138" xr:uid="{00000000-0005-0000-0000-000089000000}"/>
    <cellStyle name="Comma 2 3 4 3" xfId="139" xr:uid="{00000000-0005-0000-0000-00008A000000}"/>
    <cellStyle name="Comma 2 3 4 4" xfId="140" xr:uid="{00000000-0005-0000-0000-00008B000000}"/>
    <cellStyle name="Comma 2 3 4 5" xfId="141" xr:uid="{00000000-0005-0000-0000-00008C000000}"/>
    <cellStyle name="Comma 2 3 4 5 2" xfId="142" xr:uid="{00000000-0005-0000-0000-00008D000000}"/>
    <cellStyle name="Comma 2 3 4 5 3" xfId="143" xr:uid="{00000000-0005-0000-0000-00008E000000}"/>
    <cellStyle name="Comma 2 3 4 5 4" xfId="144" xr:uid="{00000000-0005-0000-0000-00008F000000}"/>
    <cellStyle name="Comma 2 3 5" xfId="145" xr:uid="{00000000-0005-0000-0000-000090000000}"/>
    <cellStyle name="Comma 20" xfId="146" xr:uid="{00000000-0005-0000-0000-000091000000}"/>
    <cellStyle name="Comma 20 2" xfId="147" xr:uid="{00000000-0005-0000-0000-000092000000}"/>
    <cellStyle name="Comma 20 3" xfId="148" xr:uid="{00000000-0005-0000-0000-000093000000}"/>
    <cellStyle name="Comma 20 3 2" xfId="149" xr:uid="{00000000-0005-0000-0000-000094000000}"/>
    <cellStyle name="Comma 20 3 3" xfId="150" xr:uid="{00000000-0005-0000-0000-000095000000}"/>
    <cellStyle name="Comma 20 3 4" xfId="151" xr:uid="{00000000-0005-0000-0000-000096000000}"/>
    <cellStyle name="Comma 21" xfId="152" xr:uid="{00000000-0005-0000-0000-000097000000}"/>
    <cellStyle name="Comma 21 2" xfId="153" xr:uid="{00000000-0005-0000-0000-000098000000}"/>
    <cellStyle name="Comma 21 3" xfId="154" xr:uid="{00000000-0005-0000-0000-000099000000}"/>
    <cellStyle name="Comma 21 3 2" xfId="155" xr:uid="{00000000-0005-0000-0000-00009A000000}"/>
    <cellStyle name="Comma 21 3 3" xfId="156" xr:uid="{00000000-0005-0000-0000-00009B000000}"/>
    <cellStyle name="Comma 21 3 4" xfId="157" xr:uid="{00000000-0005-0000-0000-00009C000000}"/>
    <cellStyle name="Comma 22" xfId="158" xr:uid="{00000000-0005-0000-0000-00009D000000}"/>
    <cellStyle name="Comma 22 2" xfId="159" xr:uid="{00000000-0005-0000-0000-00009E000000}"/>
    <cellStyle name="Comma 22 3" xfId="160" xr:uid="{00000000-0005-0000-0000-00009F000000}"/>
    <cellStyle name="Comma 22 3 2" xfId="161" xr:uid="{00000000-0005-0000-0000-0000A0000000}"/>
    <cellStyle name="Comma 22 3 3" xfId="162" xr:uid="{00000000-0005-0000-0000-0000A1000000}"/>
    <cellStyle name="Comma 22 3 4" xfId="163" xr:uid="{00000000-0005-0000-0000-0000A2000000}"/>
    <cellStyle name="Comma 23" xfId="164" xr:uid="{00000000-0005-0000-0000-0000A3000000}"/>
    <cellStyle name="Comma 23 2" xfId="165" xr:uid="{00000000-0005-0000-0000-0000A4000000}"/>
    <cellStyle name="Comma 23 3" xfId="166" xr:uid="{00000000-0005-0000-0000-0000A5000000}"/>
    <cellStyle name="Comma 23 3 2" xfId="167" xr:uid="{00000000-0005-0000-0000-0000A6000000}"/>
    <cellStyle name="Comma 23 3 3" xfId="168" xr:uid="{00000000-0005-0000-0000-0000A7000000}"/>
    <cellStyle name="Comma 23 3 4" xfId="169" xr:uid="{00000000-0005-0000-0000-0000A8000000}"/>
    <cellStyle name="Comma 24" xfId="170" xr:uid="{00000000-0005-0000-0000-0000A9000000}"/>
    <cellStyle name="Comma 24 2" xfId="171" xr:uid="{00000000-0005-0000-0000-0000AA000000}"/>
    <cellStyle name="Comma 24 3" xfId="172" xr:uid="{00000000-0005-0000-0000-0000AB000000}"/>
    <cellStyle name="Comma 24 3 2" xfId="173" xr:uid="{00000000-0005-0000-0000-0000AC000000}"/>
    <cellStyle name="Comma 24 3 3" xfId="174" xr:uid="{00000000-0005-0000-0000-0000AD000000}"/>
    <cellStyle name="Comma 24 3 4" xfId="175" xr:uid="{00000000-0005-0000-0000-0000AE000000}"/>
    <cellStyle name="Comma 25" xfId="176" xr:uid="{00000000-0005-0000-0000-0000AF000000}"/>
    <cellStyle name="Comma 25 2" xfId="177" xr:uid="{00000000-0005-0000-0000-0000B0000000}"/>
    <cellStyle name="Comma 25 3" xfId="178" xr:uid="{00000000-0005-0000-0000-0000B1000000}"/>
    <cellStyle name="Comma 25 3 2" xfId="179" xr:uid="{00000000-0005-0000-0000-0000B2000000}"/>
    <cellStyle name="Comma 25 3 3" xfId="180" xr:uid="{00000000-0005-0000-0000-0000B3000000}"/>
    <cellStyle name="Comma 25 3 4" xfId="181" xr:uid="{00000000-0005-0000-0000-0000B4000000}"/>
    <cellStyle name="Comma 26" xfId="182" xr:uid="{00000000-0005-0000-0000-0000B5000000}"/>
    <cellStyle name="Comma 26 2" xfId="183" xr:uid="{00000000-0005-0000-0000-0000B6000000}"/>
    <cellStyle name="Comma 26 3" xfId="184" xr:uid="{00000000-0005-0000-0000-0000B7000000}"/>
    <cellStyle name="Comma 26 3 2" xfId="185" xr:uid="{00000000-0005-0000-0000-0000B8000000}"/>
    <cellStyle name="Comma 26 3 3" xfId="186" xr:uid="{00000000-0005-0000-0000-0000B9000000}"/>
    <cellStyle name="Comma 26 3 4" xfId="187" xr:uid="{00000000-0005-0000-0000-0000BA000000}"/>
    <cellStyle name="Comma 27" xfId="188" xr:uid="{00000000-0005-0000-0000-0000BB000000}"/>
    <cellStyle name="Comma 27 2" xfId="189" xr:uid="{00000000-0005-0000-0000-0000BC000000}"/>
    <cellStyle name="Comma 27 3" xfId="190" xr:uid="{00000000-0005-0000-0000-0000BD000000}"/>
    <cellStyle name="Comma 27 3 2" xfId="191" xr:uid="{00000000-0005-0000-0000-0000BE000000}"/>
    <cellStyle name="Comma 27 3 3" xfId="192" xr:uid="{00000000-0005-0000-0000-0000BF000000}"/>
    <cellStyle name="Comma 27 3 4" xfId="193" xr:uid="{00000000-0005-0000-0000-0000C0000000}"/>
    <cellStyle name="Comma 28" xfId="194" xr:uid="{00000000-0005-0000-0000-0000C1000000}"/>
    <cellStyle name="Comma 28 2" xfId="195" xr:uid="{00000000-0005-0000-0000-0000C2000000}"/>
    <cellStyle name="Comma 29" xfId="196" xr:uid="{00000000-0005-0000-0000-0000C3000000}"/>
    <cellStyle name="Comma 29 2" xfId="197" xr:uid="{00000000-0005-0000-0000-0000C4000000}"/>
    <cellStyle name="Comma 3" xfId="198" xr:uid="{00000000-0005-0000-0000-0000C5000000}"/>
    <cellStyle name="Comma 30" xfId="199" xr:uid="{00000000-0005-0000-0000-0000C6000000}"/>
    <cellStyle name="Comma 30 2" xfId="200" xr:uid="{00000000-0005-0000-0000-0000C7000000}"/>
    <cellStyle name="Comma 31" xfId="201" xr:uid="{00000000-0005-0000-0000-0000C8000000}"/>
    <cellStyle name="Comma 31 2" xfId="202" xr:uid="{00000000-0005-0000-0000-0000C9000000}"/>
    <cellStyle name="Comma 32" xfId="203" xr:uid="{00000000-0005-0000-0000-0000CA000000}"/>
    <cellStyle name="Comma 32 2" xfId="204" xr:uid="{00000000-0005-0000-0000-0000CB000000}"/>
    <cellStyle name="Comma 33" xfId="205" xr:uid="{00000000-0005-0000-0000-0000CC000000}"/>
    <cellStyle name="Comma 33 2" xfId="206" xr:uid="{00000000-0005-0000-0000-0000CD000000}"/>
    <cellStyle name="Comma 34" xfId="207" xr:uid="{00000000-0005-0000-0000-0000CE000000}"/>
    <cellStyle name="Comma 35" xfId="208" xr:uid="{00000000-0005-0000-0000-0000CF000000}"/>
    <cellStyle name="Comma 4" xfId="209" xr:uid="{00000000-0005-0000-0000-0000D0000000}"/>
    <cellStyle name="Comma 4 2" xfId="210" xr:uid="{00000000-0005-0000-0000-0000D1000000}"/>
    <cellStyle name="Comma 4 3" xfId="211" xr:uid="{00000000-0005-0000-0000-0000D2000000}"/>
    <cellStyle name="Comma 4 4" xfId="212" xr:uid="{00000000-0005-0000-0000-0000D3000000}"/>
    <cellStyle name="Comma 4 5" xfId="213" xr:uid="{00000000-0005-0000-0000-0000D4000000}"/>
    <cellStyle name="Comma 5" xfId="214" xr:uid="{00000000-0005-0000-0000-0000D5000000}"/>
    <cellStyle name="Comma 5 2" xfId="215" xr:uid="{00000000-0005-0000-0000-0000D6000000}"/>
    <cellStyle name="Comma 5 3" xfId="216" xr:uid="{00000000-0005-0000-0000-0000D7000000}"/>
    <cellStyle name="Comma 5 4" xfId="217" xr:uid="{00000000-0005-0000-0000-0000D8000000}"/>
    <cellStyle name="Comma 5 5" xfId="218" xr:uid="{00000000-0005-0000-0000-0000D9000000}"/>
    <cellStyle name="Comma 6" xfId="219" xr:uid="{00000000-0005-0000-0000-0000DA000000}"/>
    <cellStyle name="Comma 6 2" xfId="220" xr:uid="{00000000-0005-0000-0000-0000DB000000}"/>
    <cellStyle name="Comma 6 3" xfId="221" xr:uid="{00000000-0005-0000-0000-0000DC000000}"/>
    <cellStyle name="Comma 6 4" xfId="222" xr:uid="{00000000-0005-0000-0000-0000DD000000}"/>
    <cellStyle name="Comma 6 4 2" xfId="223" xr:uid="{00000000-0005-0000-0000-0000DE000000}"/>
    <cellStyle name="Comma 6 4 2 2" xfId="224" xr:uid="{00000000-0005-0000-0000-0000DF000000}"/>
    <cellStyle name="Comma 6 4 3" xfId="225" xr:uid="{00000000-0005-0000-0000-0000E0000000}"/>
    <cellStyle name="Comma 6 4 4" xfId="226" xr:uid="{00000000-0005-0000-0000-0000E1000000}"/>
    <cellStyle name="Comma 6 4 5" xfId="227" xr:uid="{00000000-0005-0000-0000-0000E2000000}"/>
    <cellStyle name="Comma 6 4 5 2" xfId="228" xr:uid="{00000000-0005-0000-0000-0000E3000000}"/>
    <cellStyle name="Comma 6 4 5 3" xfId="229" xr:uid="{00000000-0005-0000-0000-0000E4000000}"/>
    <cellStyle name="Comma 6 4 5 4" xfId="230" xr:uid="{00000000-0005-0000-0000-0000E5000000}"/>
    <cellStyle name="Comma 6 5" xfId="231" xr:uid="{00000000-0005-0000-0000-0000E6000000}"/>
    <cellStyle name="Comma 7" xfId="232" xr:uid="{00000000-0005-0000-0000-0000E7000000}"/>
    <cellStyle name="Comma 7 2" xfId="233" xr:uid="{00000000-0005-0000-0000-0000E8000000}"/>
    <cellStyle name="Comma 7 2 2" xfId="234" xr:uid="{00000000-0005-0000-0000-0000E9000000}"/>
    <cellStyle name="Comma 7 2 2 2" xfId="235" xr:uid="{00000000-0005-0000-0000-0000EA000000}"/>
    <cellStyle name="Comma 7 2 2 3" xfId="236" xr:uid="{00000000-0005-0000-0000-0000EB000000}"/>
    <cellStyle name="Comma 7 2 2 3 2" xfId="237" xr:uid="{00000000-0005-0000-0000-0000EC000000}"/>
    <cellStyle name="Comma 7 2 2 3 3" xfId="238" xr:uid="{00000000-0005-0000-0000-0000ED000000}"/>
    <cellStyle name="Comma 7 2 2 3 4" xfId="239" xr:uid="{00000000-0005-0000-0000-0000EE000000}"/>
    <cellStyle name="Comma 7 2 3" xfId="240" xr:uid="{00000000-0005-0000-0000-0000EF000000}"/>
    <cellStyle name="Comma 7 3" xfId="241" xr:uid="{00000000-0005-0000-0000-0000F0000000}"/>
    <cellStyle name="Comma 7 3 2" xfId="242" xr:uid="{00000000-0005-0000-0000-0000F1000000}"/>
    <cellStyle name="Comma 7 3 3" xfId="243" xr:uid="{00000000-0005-0000-0000-0000F2000000}"/>
    <cellStyle name="Comma 7 3 3 2" xfId="244" xr:uid="{00000000-0005-0000-0000-0000F3000000}"/>
    <cellStyle name="Comma 7 3 3 3" xfId="245" xr:uid="{00000000-0005-0000-0000-0000F4000000}"/>
    <cellStyle name="Comma 7 3 3 4" xfId="246" xr:uid="{00000000-0005-0000-0000-0000F5000000}"/>
    <cellStyle name="Comma 7 4" xfId="247" xr:uid="{00000000-0005-0000-0000-0000F6000000}"/>
    <cellStyle name="Comma 7 5" xfId="248" xr:uid="{00000000-0005-0000-0000-0000F7000000}"/>
    <cellStyle name="Comma 7 5 2" xfId="249" xr:uid="{00000000-0005-0000-0000-0000F8000000}"/>
    <cellStyle name="Comma 7 5 3" xfId="250" xr:uid="{00000000-0005-0000-0000-0000F9000000}"/>
    <cellStyle name="Comma 7 5 4" xfId="251" xr:uid="{00000000-0005-0000-0000-0000FA000000}"/>
    <cellStyle name="Comma 8" xfId="252" xr:uid="{00000000-0005-0000-0000-0000FB000000}"/>
    <cellStyle name="Comma 8 2" xfId="253" xr:uid="{00000000-0005-0000-0000-0000FC000000}"/>
    <cellStyle name="Comma 8 2 2" xfId="254" xr:uid="{00000000-0005-0000-0000-0000FD000000}"/>
    <cellStyle name="Comma 8 2 3" xfId="255" xr:uid="{00000000-0005-0000-0000-0000FE000000}"/>
    <cellStyle name="Comma 8 2 4" xfId="256" xr:uid="{00000000-0005-0000-0000-0000FF000000}"/>
    <cellStyle name="Comma 8 2 4 10" xfId="257" xr:uid="{00000000-0005-0000-0000-000000010000}"/>
    <cellStyle name="Comma 8 2 4 11" xfId="258" xr:uid="{00000000-0005-0000-0000-000001010000}"/>
    <cellStyle name="Comma 8 2 4 11 2" xfId="259" xr:uid="{00000000-0005-0000-0000-000002010000}"/>
    <cellStyle name="Comma 8 2 4 11 2 2" xfId="260" xr:uid="{00000000-0005-0000-0000-000003010000}"/>
    <cellStyle name="Comma 8 2 4 11 2 3" xfId="261" xr:uid="{00000000-0005-0000-0000-000004010000}"/>
    <cellStyle name="Comma 8 2 4 11 2 3 2" xfId="262" xr:uid="{00000000-0005-0000-0000-000005010000}"/>
    <cellStyle name="Comma 8 2 4 11 2 3 3" xfId="263" xr:uid="{00000000-0005-0000-0000-000006010000}"/>
    <cellStyle name="Comma 8 2 4 11 2 3 4" xfId="264" xr:uid="{00000000-0005-0000-0000-000007010000}"/>
    <cellStyle name="Comma 8 2 4 2" xfId="265" xr:uid="{00000000-0005-0000-0000-000008010000}"/>
    <cellStyle name="Comma 8 2 4 3" xfId="266" xr:uid="{00000000-0005-0000-0000-000009010000}"/>
    <cellStyle name="Comma 8 2 4 4" xfId="267" xr:uid="{00000000-0005-0000-0000-00000A010000}"/>
    <cellStyle name="Comma 8 2 4 5" xfId="268" xr:uid="{00000000-0005-0000-0000-00000B010000}"/>
    <cellStyle name="Comma 8 2 4 5 2" xfId="269" xr:uid="{00000000-0005-0000-0000-00000C010000}"/>
    <cellStyle name="Comma 8 2 4 5 2 2" xfId="270" xr:uid="{00000000-0005-0000-0000-00000D010000}"/>
    <cellStyle name="Comma 8 2 4 5 2 3" xfId="271" xr:uid="{00000000-0005-0000-0000-00000E010000}"/>
    <cellStyle name="Comma 8 2 4 6" xfId="272" xr:uid="{00000000-0005-0000-0000-00000F010000}"/>
    <cellStyle name="Comma 8 2 4 7" xfId="273" xr:uid="{00000000-0005-0000-0000-000010010000}"/>
    <cellStyle name="Comma 8 2 4 8" xfId="274" xr:uid="{00000000-0005-0000-0000-000011010000}"/>
    <cellStyle name="Comma 8 2 4 9" xfId="275" xr:uid="{00000000-0005-0000-0000-000012010000}"/>
    <cellStyle name="Comma 8 2 4 9 2" xfId="276" xr:uid="{00000000-0005-0000-0000-000013010000}"/>
    <cellStyle name="Comma 8 2 4 9 2 2" xfId="277" xr:uid="{00000000-0005-0000-0000-000014010000}"/>
    <cellStyle name="Comma 8 2 4 9 2 3" xfId="278" xr:uid="{00000000-0005-0000-0000-000015010000}"/>
    <cellStyle name="Comma 8 2 4 9 2 3 2" xfId="279" xr:uid="{00000000-0005-0000-0000-000016010000}"/>
    <cellStyle name="Comma 8 2 4 9 2 3 3" xfId="280" xr:uid="{00000000-0005-0000-0000-000017010000}"/>
    <cellStyle name="Comma 8 2 4 9 2 3 4" xfId="281" xr:uid="{00000000-0005-0000-0000-000018010000}"/>
    <cellStyle name="Comma 8 2 5" xfId="282" xr:uid="{00000000-0005-0000-0000-000019010000}"/>
    <cellStyle name="Comma 8 2 5 2" xfId="283" xr:uid="{00000000-0005-0000-0000-00001A010000}"/>
    <cellStyle name="Comma 8 2 5 3" xfId="284" xr:uid="{00000000-0005-0000-0000-00001B010000}"/>
    <cellStyle name="Comma 8 2 5 4" xfId="285" xr:uid="{00000000-0005-0000-0000-00001C010000}"/>
    <cellStyle name="Comma 8 2 6" xfId="286" xr:uid="{00000000-0005-0000-0000-00001D010000}"/>
    <cellStyle name="Comma 8 2 6 2" xfId="287" xr:uid="{00000000-0005-0000-0000-00001E010000}"/>
    <cellStyle name="Comma 8 2 6 2 2" xfId="288" xr:uid="{00000000-0005-0000-0000-00001F010000}"/>
    <cellStyle name="Comma 8 2 6 2 3" xfId="289" xr:uid="{00000000-0005-0000-0000-000020010000}"/>
    <cellStyle name="Comma 8 2 6 2 3 2" xfId="290" xr:uid="{00000000-0005-0000-0000-000021010000}"/>
    <cellStyle name="Comma 8 2 6 2 3 3" xfId="291" xr:uid="{00000000-0005-0000-0000-000022010000}"/>
    <cellStyle name="Comma 8 2 6 2 3 4" xfId="292" xr:uid="{00000000-0005-0000-0000-000023010000}"/>
    <cellStyle name="Comma 8 2 6 3" xfId="293" xr:uid="{00000000-0005-0000-0000-000024010000}"/>
    <cellStyle name="Comma 8 2 7" xfId="294" xr:uid="{00000000-0005-0000-0000-000025010000}"/>
    <cellStyle name="Comma 8 2 7 2" xfId="295" xr:uid="{00000000-0005-0000-0000-000026010000}"/>
    <cellStyle name="Comma 8 2 7 3" xfId="296" xr:uid="{00000000-0005-0000-0000-000027010000}"/>
    <cellStyle name="Comma 8 2 7 3 2" xfId="297" xr:uid="{00000000-0005-0000-0000-000028010000}"/>
    <cellStyle name="Comma 8 2 7 3 3" xfId="298" xr:uid="{00000000-0005-0000-0000-000029010000}"/>
    <cellStyle name="Comma 8 2 7 3 4" xfId="299" xr:uid="{00000000-0005-0000-0000-00002A010000}"/>
    <cellStyle name="Comma 8 2 8" xfId="300" xr:uid="{00000000-0005-0000-0000-00002B010000}"/>
    <cellStyle name="Comma 8 2 9" xfId="301" xr:uid="{00000000-0005-0000-0000-00002C010000}"/>
    <cellStyle name="Comma 8 2 9 2" xfId="302" xr:uid="{00000000-0005-0000-0000-00002D010000}"/>
    <cellStyle name="Comma 8 2 9 3" xfId="303" xr:uid="{00000000-0005-0000-0000-00002E010000}"/>
    <cellStyle name="Comma 8 2 9 4" xfId="304" xr:uid="{00000000-0005-0000-0000-00002F010000}"/>
    <cellStyle name="Comma 8 3" xfId="305" xr:uid="{00000000-0005-0000-0000-000030010000}"/>
    <cellStyle name="Comma 8 4" xfId="306" xr:uid="{00000000-0005-0000-0000-000031010000}"/>
    <cellStyle name="Comma 8 5" xfId="307" xr:uid="{00000000-0005-0000-0000-000032010000}"/>
    <cellStyle name="Comma 8 5 2" xfId="308" xr:uid="{00000000-0005-0000-0000-000033010000}"/>
    <cellStyle name="Comma 8 6" xfId="309" xr:uid="{00000000-0005-0000-0000-000034010000}"/>
    <cellStyle name="Comma 8 6 2" xfId="310" xr:uid="{00000000-0005-0000-0000-000035010000}"/>
    <cellStyle name="Comma 8 6 3" xfId="311" xr:uid="{00000000-0005-0000-0000-000036010000}"/>
    <cellStyle name="Comma 8 6 4" xfId="312" xr:uid="{00000000-0005-0000-0000-000037010000}"/>
    <cellStyle name="Comma 9" xfId="313" xr:uid="{00000000-0005-0000-0000-000038010000}"/>
    <cellStyle name="Comma 9 2" xfId="314" xr:uid="{00000000-0005-0000-0000-000039010000}"/>
    <cellStyle name="Comma 9 2 2" xfId="315" xr:uid="{00000000-0005-0000-0000-00003A010000}"/>
    <cellStyle name="Comma 9 2 3" xfId="316" xr:uid="{00000000-0005-0000-0000-00003B010000}"/>
    <cellStyle name="Comma 9 2 3 2" xfId="317" xr:uid="{00000000-0005-0000-0000-00003C010000}"/>
    <cellStyle name="Comma 9 2 3 3" xfId="318" xr:uid="{00000000-0005-0000-0000-00003D010000}"/>
    <cellStyle name="Comma 9 2 3 4" xfId="319" xr:uid="{00000000-0005-0000-0000-00003E010000}"/>
    <cellStyle name="Comma 9 2 4" xfId="320" xr:uid="{00000000-0005-0000-0000-00003F010000}"/>
    <cellStyle name="Comma 9 2 4 2" xfId="321" xr:uid="{00000000-0005-0000-0000-000040010000}"/>
    <cellStyle name="Comma 9 2 4 2 2" xfId="322" xr:uid="{00000000-0005-0000-0000-000041010000}"/>
    <cellStyle name="Comma 9 2 4 2 3" xfId="323" xr:uid="{00000000-0005-0000-0000-000042010000}"/>
    <cellStyle name="Comma 9 2 4 2 3 2" xfId="324" xr:uid="{00000000-0005-0000-0000-000043010000}"/>
    <cellStyle name="Comma 9 2 4 2 3 3" xfId="325" xr:uid="{00000000-0005-0000-0000-000044010000}"/>
    <cellStyle name="Comma 9 2 4 2 3 4" xfId="326" xr:uid="{00000000-0005-0000-0000-000045010000}"/>
    <cellStyle name="Comma 9 2 4 3" xfId="327" xr:uid="{00000000-0005-0000-0000-000046010000}"/>
    <cellStyle name="Comma 9 2 5" xfId="328" xr:uid="{00000000-0005-0000-0000-000047010000}"/>
    <cellStyle name="Comma 9 2 5 2" xfId="329" xr:uid="{00000000-0005-0000-0000-000048010000}"/>
    <cellStyle name="Comma 9 2 5 3" xfId="330" xr:uid="{00000000-0005-0000-0000-000049010000}"/>
    <cellStyle name="Comma 9 2 5 3 2" xfId="331" xr:uid="{00000000-0005-0000-0000-00004A010000}"/>
    <cellStyle name="Comma 9 2 5 3 3" xfId="332" xr:uid="{00000000-0005-0000-0000-00004B010000}"/>
    <cellStyle name="Comma 9 2 5 3 4" xfId="333" xr:uid="{00000000-0005-0000-0000-00004C010000}"/>
    <cellStyle name="Comma 9 2 6" xfId="334" xr:uid="{00000000-0005-0000-0000-00004D010000}"/>
    <cellStyle name="Comma 9 2 7" xfId="335" xr:uid="{00000000-0005-0000-0000-00004E010000}"/>
    <cellStyle name="Comma 9 2 7 2" xfId="336" xr:uid="{00000000-0005-0000-0000-00004F010000}"/>
    <cellStyle name="Comma 9 2 7 3" xfId="337" xr:uid="{00000000-0005-0000-0000-000050010000}"/>
    <cellStyle name="Comma 9 2 7 4" xfId="338" xr:uid="{00000000-0005-0000-0000-000051010000}"/>
    <cellStyle name="Comma 9 3" xfId="339" xr:uid="{00000000-0005-0000-0000-000052010000}"/>
    <cellStyle name="Comma 9 4" xfId="340" xr:uid="{00000000-0005-0000-0000-000053010000}"/>
    <cellStyle name="Comma 9 5" xfId="341" xr:uid="{00000000-0005-0000-0000-000054010000}"/>
    <cellStyle name="Comma 9 6" xfId="342" xr:uid="{00000000-0005-0000-0000-000055010000}"/>
    <cellStyle name="Comma 9 6 10" xfId="343" xr:uid="{00000000-0005-0000-0000-000056010000}"/>
    <cellStyle name="Comma 9 6 11" xfId="344" xr:uid="{00000000-0005-0000-0000-000057010000}"/>
    <cellStyle name="Comma 9 6 11 2" xfId="345" xr:uid="{00000000-0005-0000-0000-000058010000}"/>
    <cellStyle name="Comma 9 6 11 2 2" xfId="346" xr:uid="{00000000-0005-0000-0000-000059010000}"/>
    <cellStyle name="Comma 9 6 11 2 3" xfId="347" xr:uid="{00000000-0005-0000-0000-00005A010000}"/>
    <cellStyle name="Comma 9 6 11 2 3 2" xfId="348" xr:uid="{00000000-0005-0000-0000-00005B010000}"/>
    <cellStyle name="Comma 9 6 11 2 3 3" xfId="349" xr:uid="{00000000-0005-0000-0000-00005C010000}"/>
    <cellStyle name="Comma 9 6 11 2 3 4" xfId="350" xr:uid="{00000000-0005-0000-0000-00005D010000}"/>
    <cellStyle name="Comma 9 6 2" xfId="351" xr:uid="{00000000-0005-0000-0000-00005E010000}"/>
    <cellStyle name="Comma 9 6 3" xfId="352" xr:uid="{00000000-0005-0000-0000-00005F010000}"/>
    <cellStyle name="Comma 9 6 4" xfId="353" xr:uid="{00000000-0005-0000-0000-000060010000}"/>
    <cellStyle name="Comma 9 6 5" xfId="354" xr:uid="{00000000-0005-0000-0000-000061010000}"/>
    <cellStyle name="Comma 9 6 5 2" xfId="355" xr:uid="{00000000-0005-0000-0000-000062010000}"/>
    <cellStyle name="Comma 9 6 5 2 2" xfId="356" xr:uid="{00000000-0005-0000-0000-000063010000}"/>
    <cellStyle name="Comma 9 6 5 2 3" xfId="357" xr:uid="{00000000-0005-0000-0000-000064010000}"/>
    <cellStyle name="Comma 9 6 6" xfId="358" xr:uid="{00000000-0005-0000-0000-000065010000}"/>
    <cellStyle name="Comma 9 6 7" xfId="359" xr:uid="{00000000-0005-0000-0000-000066010000}"/>
    <cellStyle name="Comma 9 6 8" xfId="360" xr:uid="{00000000-0005-0000-0000-000067010000}"/>
    <cellStyle name="Comma 9 6 9" xfId="361" xr:uid="{00000000-0005-0000-0000-000068010000}"/>
    <cellStyle name="Comma 9 6 9 2" xfId="362" xr:uid="{00000000-0005-0000-0000-000069010000}"/>
    <cellStyle name="Comma 9 6 9 2 2" xfId="363" xr:uid="{00000000-0005-0000-0000-00006A010000}"/>
    <cellStyle name="Comma 9 6 9 2 3" xfId="364" xr:uid="{00000000-0005-0000-0000-00006B010000}"/>
    <cellStyle name="Comma 9 6 9 2 3 2" xfId="365" xr:uid="{00000000-0005-0000-0000-00006C010000}"/>
    <cellStyle name="Comma 9 6 9 2 3 3" xfId="366" xr:uid="{00000000-0005-0000-0000-00006D010000}"/>
    <cellStyle name="Comma 9 6 9 2 3 4" xfId="367" xr:uid="{00000000-0005-0000-0000-00006E010000}"/>
    <cellStyle name="Currency" xfId="726" builtinId="4"/>
    <cellStyle name="Currency 2" xfId="368" xr:uid="{00000000-0005-0000-0000-00006F010000}"/>
    <cellStyle name="Currency 3" xfId="369" xr:uid="{00000000-0005-0000-0000-000070010000}"/>
    <cellStyle name="Normal" xfId="0" builtinId="0"/>
    <cellStyle name="Normal 2" xfId="370" xr:uid="{00000000-0005-0000-0000-000072010000}"/>
    <cellStyle name="Normal 2 2" xfId="371" xr:uid="{00000000-0005-0000-0000-000073010000}"/>
    <cellStyle name="Normal 2 2 2" xfId="372" xr:uid="{00000000-0005-0000-0000-000074010000}"/>
    <cellStyle name="Normal 2 2 3" xfId="373" xr:uid="{00000000-0005-0000-0000-000075010000}"/>
    <cellStyle name="Normal 2 2 4" xfId="374" xr:uid="{00000000-0005-0000-0000-000076010000}"/>
    <cellStyle name="Normal 2 2 4 2" xfId="375" xr:uid="{00000000-0005-0000-0000-000077010000}"/>
    <cellStyle name="Normal 2 2 4 2 2" xfId="376" xr:uid="{00000000-0005-0000-0000-000078010000}"/>
    <cellStyle name="Normal 2 2 4 3" xfId="377" xr:uid="{00000000-0005-0000-0000-000079010000}"/>
    <cellStyle name="Normal 2 2 4 4" xfId="378" xr:uid="{00000000-0005-0000-0000-00007A010000}"/>
    <cellStyle name="Normal 2 2 4 5" xfId="379" xr:uid="{00000000-0005-0000-0000-00007B010000}"/>
    <cellStyle name="Normal 2 2 4 5 2" xfId="380" xr:uid="{00000000-0005-0000-0000-00007C010000}"/>
    <cellStyle name="Normal 2 2 4 5 3" xfId="381" xr:uid="{00000000-0005-0000-0000-00007D010000}"/>
    <cellStyle name="Normal 2 2 4 5 4" xfId="382" xr:uid="{00000000-0005-0000-0000-00007E010000}"/>
    <cellStyle name="Normal 2 2 5" xfId="383" xr:uid="{00000000-0005-0000-0000-00007F010000}"/>
    <cellStyle name="Normal 2 3" xfId="384" xr:uid="{00000000-0005-0000-0000-000080010000}"/>
    <cellStyle name="Normal 3" xfId="385" xr:uid="{00000000-0005-0000-0000-000081010000}"/>
    <cellStyle name="Normal 3 2" xfId="386" xr:uid="{00000000-0005-0000-0000-000082010000}"/>
    <cellStyle name="Normal 36" xfId="387" xr:uid="{00000000-0005-0000-0000-000083010000}"/>
    <cellStyle name="Normal 4" xfId="388" xr:uid="{00000000-0005-0000-0000-000084010000}"/>
    <cellStyle name="Normal 4 2" xfId="389" xr:uid="{00000000-0005-0000-0000-000085010000}"/>
    <cellStyle name="Normal 5" xfId="390" xr:uid="{00000000-0005-0000-0000-000086010000}"/>
    <cellStyle name="Normal 6" xfId="391" xr:uid="{00000000-0005-0000-0000-000087010000}"/>
    <cellStyle name="Percent" xfId="392" builtinId="5"/>
    <cellStyle name="Percent 10" xfId="393" xr:uid="{00000000-0005-0000-0000-000089010000}"/>
    <cellStyle name="Percent 10 2" xfId="394" xr:uid="{00000000-0005-0000-0000-00008A010000}"/>
    <cellStyle name="Percent 10 3" xfId="395" xr:uid="{00000000-0005-0000-0000-00008B010000}"/>
    <cellStyle name="Percent 10 3 2" xfId="396" xr:uid="{00000000-0005-0000-0000-00008C010000}"/>
    <cellStyle name="Percent 10 3 3" xfId="397" xr:uid="{00000000-0005-0000-0000-00008D010000}"/>
    <cellStyle name="Percent 10 3 3 2" xfId="398" xr:uid="{00000000-0005-0000-0000-00008E010000}"/>
    <cellStyle name="Percent 10 3 3 3" xfId="399" xr:uid="{00000000-0005-0000-0000-00008F010000}"/>
    <cellStyle name="Percent 10 3 3 4" xfId="400" xr:uid="{00000000-0005-0000-0000-000090010000}"/>
    <cellStyle name="Percent 11" xfId="401" xr:uid="{00000000-0005-0000-0000-000091010000}"/>
    <cellStyle name="Percent 11 2" xfId="402" xr:uid="{00000000-0005-0000-0000-000092010000}"/>
    <cellStyle name="Percent 11 3" xfId="403" xr:uid="{00000000-0005-0000-0000-000093010000}"/>
    <cellStyle name="Percent 11 3 2" xfId="404" xr:uid="{00000000-0005-0000-0000-000094010000}"/>
    <cellStyle name="Percent 11 3 3" xfId="405" xr:uid="{00000000-0005-0000-0000-000095010000}"/>
    <cellStyle name="Percent 11 3 4" xfId="406" xr:uid="{00000000-0005-0000-0000-000096010000}"/>
    <cellStyle name="Percent 12" xfId="407" xr:uid="{00000000-0005-0000-0000-000097010000}"/>
    <cellStyle name="Percent 12 2" xfId="408" xr:uid="{00000000-0005-0000-0000-000098010000}"/>
    <cellStyle name="Percent 12 3" xfId="409" xr:uid="{00000000-0005-0000-0000-000099010000}"/>
    <cellStyle name="Percent 12 3 2" xfId="410" xr:uid="{00000000-0005-0000-0000-00009A010000}"/>
    <cellStyle name="Percent 12 3 3" xfId="411" xr:uid="{00000000-0005-0000-0000-00009B010000}"/>
    <cellStyle name="Percent 12 3 4" xfId="412" xr:uid="{00000000-0005-0000-0000-00009C010000}"/>
    <cellStyle name="Percent 13" xfId="413" xr:uid="{00000000-0005-0000-0000-00009D010000}"/>
    <cellStyle name="Percent 13 2" xfId="414" xr:uid="{00000000-0005-0000-0000-00009E010000}"/>
    <cellStyle name="Percent 13 3" xfId="415" xr:uid="{00000000-0005-0000-0000-00009F010000}"/>
    <cellStyle name="Percent 13 3 2" xfId="416" xr:uid="{00000000-0005-0000-0000-0000A0010000}"/>
    <cellStyle name="Percent 13 3 3" xfId="417" xr:uid="{00000000-0005-0000-0000-0000A1010000}"/>
    <cellStyle name="Percent 13 3 4" xfId="418" xr:uid="{00000000-0005-0000-0000-0000A2010000}"/>
    <cellStyle name="Percent 14" xfId="419" xr:uid="{00000000-0005-0000-0000-0000A3010000}"/>
    <cellStyle name="Percent 14 2" xfId="420" xr:uid="{00000000-0005-0000-0000-0000A4010000}"/>
    <cellStyle name="Percent 14 3" xfId="421" xr:uid="{00000000-0005-0000-0000-0000A5010000}"/>
    <cellStyle name="Percent 14 3 2" xfId="422" xr:uid="{00000000-0005-0000-0000-0000A6010000}"/>
    <cellStyle name="Percent 14 3 3" xfId="423" xr:uid="{00000000-0005-0000-0000-0000A7010000}"/>
    <cellStyle name="Percent 14 3 4" xfId="424" xr:uid="{00000000-0005-0000-0000-0000A8010000}"/>
    <cellStyle name="Percent 15" xfId="425" xr:uid="{00000000-0005-0000-0000-0000A9010000}"/>
    <cellStyle name="Percent 15 2" xfId="426" xr:uid="{00000000-0005-0000-0000-0000AA010000}"/>
    <cellStyle name="Percent 15 3" xfId="427" xr:uid="{00000000-0005-0000-0000-0000AB010000}"/>
    <cellStyle name="Percent 15 3 2" xfId="428" xr:uid="{00000000-0005-0000-0000-0000AC010000}"/>
    <cellStyle name="Percent 15 3 3" xfId="429" xr:uid="{00000000-0005-0000-0000-0000AD010000}"/>
    <cellStyle name="Percent 15 3 4" xfId="430" xr:uid="{00000000-0005-0000-0000-0000AE010000}"/>
    <cellStyle name="Percent 16" xfId="431" xr:uid="{00000000-0005-0000-0000-0000AF010000}"/>
    <cellStyle name="Percent 16 2" xfId="432" xr:uid="{00000000-0005-0000-0000-0000B0010000}"/>
    <cellStyle name="Percent 16 3" xfId="433" xr:uid="{00000000-0005-0000-0000-0000B1010000}"/>
    <cellStyle name="Percent 16 3 2" xfId="434" xr:uid="{00000000-0005-0000-0000-0000B2010000}"/>
    <cellStyle name="Percent 16 3 3" xfId="435" xr:uid="{00000000-0005-0000-0000-0000B3010000}"/>
    <cellStyle name="Percent 16 3 4" xfId="436" xr:uid="{00000000-0005-0000-0000-0000B4010000}"/>
    <cellStyle name="Percent 17" xfId="437" xr:uid="{00000000-0005-0000-0000-0000B5010000}"/>
    <cellStyle name="Percent 17 2" xfId="438" xr:uid="{00000000-0005-0000-0000-0000B6010000}"/>
    <cellStyle name="Percent 17 3" xfId="439" xr:uid="{00000000-0005-0000-0000-0000B7010000}"/>
    <cellStyle name="Percent 17 3 2" xfId="440" xr:uid="{00000000-0005-0000-0000-0000B8010000}"/>
    <cellStyle name="Percent 17 3 3" xfId="441" xr:uid="{00000000-0005-0000-0000-0000B9010000}"/>
    <cellStyle name="Percent 17 3 4" xfId="442" xr:uid="{00000000-0005-0000-0000-0000BA010000}"/>
    <cellStyle name="Percent 18" xfId="443" xr:uid="{00000000-0005-0000-0000-0000BB010000}"/>
    <cellStyle name="Percent 18 2" xfId="444" xr:uid="{00000000-0005-0000-0000-0000BC010000}"/>
    <cellStyle name="Percent 18 3" xfId="445" xr:uid="{00000000-0005-0000-0000-0000BD010000}"/>
    <cellStyle name="Percent 18 3 2" xfId="446" xr:uid="{00000000-0005-0000-0000-0000BE010000}"/>
    <cellStyle name="Percent 18 3 3" xfId="447" xr:uid="{00000000-0005-0000-0000-0000BF010000}"/>
    <cellStyle name="Percent 18 3 4" xfId="448" xr:uid="{00000000-0005-0000-0000-0000C0010000}"/>
    <cellStyle name="Percent 19" xfId="449" xr:uid="{00000000-0005-0000-0000-0000C1010000}"/>
    <cellStyle name="Percent 19 2" xfId="450" xr:uid="{00000000-0005-0000-0000-0000C2010000}"/>
    <cellStyle name="Percent 19 3" xfId="451" xr:uid="{00000000-0005-0000-0000-0000C3010000}"/>
    <cellStyle name="Percent 19 3 2" xfId="452" xr:uid="{00000000-0005-0000-0000-0000C4010000}"/>
    <cellStyle name="Percent 19 3 3" xfId="453" xr:uid="{00000000-0005-0000-0000-0000C5010000}"/>
    <cellStyle name="Percent 19 3 4" xfId="454" xr:uid="{00000000-0005-0000-0000-0000C6010000}"/>
    <cellStyle name="Percent 2" xfId="455" xr:uid="{00000000-0005-0000-0000-0000C7010000}"/>
    <cellStyle name="Percent 2 2" xfId="456" xr:uid="{00000000-0005-0000-0000-0000C8010000}"/>
    <cellStyle name="Percent 2 2 2" xfId="457" xr:uid="{00000000-0005-0000-0000-0000C9010000}"/>
    <cellStyle name="Percent 2 2 2 2" xfId="458" xr:uid="{00000000-0005-0000-0000-0000CA010000}"/>
    <cellStyle name="Percent 2 2 2 3" xfId="459" xr:uid="{00000000-0005-0000-0000-0000CB010000}"/>
    <cellStyle name="Percent 2 2 2 3 2" xfId="460" xr:uid="{00000000-0005-0000-0000-0000CC010000}"/>
    <cellStyle name="Percent 2 2 2 3 3" xfId="461" xr:uid="{00000000-0005-0000-0000-0000CD010000}"/>
    <cellStyle name="Percent 2 2 2 3 3 2" xfId="462" xr:uid="{00000000-0005-0000-0000-0000CE010000}"/>
    <cellStyle name="Percent 2 2 2 3 3 3" xfId="463" xr:uid="{00000000-0005-0000-0000-0000CF010000}"/>
    <cellStyle name="Percent 2 2 2 3 3 4" xfId="464" xr:uid="{00000000-0005-0000-0000-0000D0010000}"/>
    <cellStyle name="Percent 2 2 2 3 4" xfId="465" xr:uid="{00000000-0005-0000-0000-0000D1010000}"/>
    <cellStyle name="Percent 2 2 2 3 4 2" xfId="466" xr:uid="{00000000-0005-0000-0000-0000D2010000}"/>
    <cellStyle name="Percent 2 2 2 3 4 2 2" xfId="467" xr:uid="{00000000-0005-0000-0000-0000D3010000}"/>
    <cellStyle name="Percent 2 2 2 3 4 2 3" xfId="468" xr:uid="{00000000-0005-0000-0000-0000D4010000}"/>
    <cellStyle name="Percent 2 2 2 3 4 2 3 2" xfId="469" xr:uid="{00000000-0005-0000-0000-0000D5010000}"/>
    <cellStyle name="Percent 2 2 2 3 4 2 3 3" xfId="470" xr:uid="{00000000-0005-0000-0000-0000D6010000}"/>
    <cellStyle name="Percent 2 2 2 3 4 2 3 4" xfId="471" xr:uid="{00000000-0005-0000-0000-0000D7010000}"/>
    <cellStyle name="Percent 2 2 2 3 4 3" xfId="472" xr:uid="{00000000-0005-0000-0000-0000D8010000}"/>
    <cellStyle name="Percent 2 2 2 3 5" xfId="473" xr:uid="{00000000-0005-0000-0000-0000D9010000}"/>
    <cellStyle name="Percent 2 2 2 3 5 2" xfId="474" xr:uid="{00000000-0005-0000-0000-0000DA010000}"/>
    <cellStyle name="Percent 2 2 2 3 5 3" xfId="475" xr:uid="{00000000-0005-0000-0000-0000DB010000}"/>
    <cellStyle name="Percent 2 2 2 3 5 3 2" xfId="476" xr:uid="{00000000-0005-0000-0000-0000DC010000}"/>
    <cellStyle name="Percent 2 2 2 3 5 3 3" xfId="477" xr:uid="{00000000-0005-0000-0000-0000DD010000}"/>
    <cellStyle name="Percent 2 2 2 3 5 3 4" xfId="478" xr:uid="{00000000-0005-0000-0000-0000DE010000}"/>
    <cellStyle name="Percent 2 2 2 3 6" xfId="479" xr:uid="{00000000-0005-0000-0000-0000DF010000}"/>
    <cellStyle name="Percent 2 2 2 3 7" xfId="480" xr:uid="{00000000-0005-0000-0000-0000E0010000}"/>
    <cellStyle name="Percent 2 2 2 3 7 2" xfId="481" xr:uid="{00000000-0005-0000-0000-0000E1010000}"/>
    <cellStyle name="Percent 2 2 2 3 7 3" xfId="482" xr:uid="{00000000-0005-0000-0000-0000E2010000}"/>
    <cellStyle name="Percent 2 2 2 3 7 4" xfId="483" xr:uid="{00000000-0005-0000-0000-0000E3010000}"/>
    <cellStyle name="Percent 2 2 2 4" xfId="484" xr:uid="{00000000-0005-0000-0000-0000E4010000}"/>
    <cellStyle name="Percent 2 2 2 4 2" xfId="485" xr:uid="{00000000-0005-0000-0000-0000E5010000}"/>
    <cellStyle name="Percent 2 2 2 4 2 2" xfId="486" xr:uid="{00000000-0005-0000-0000-0000E6010000}"/>
    <cellStyle name="Percent 2 2 2 4 2 3" xfId="487" xr:uid="{00000000-0005-0000-0000-0000E7010000}"/>
    <cellStyle name="Percent 2 2 2 4 2 3 2" xfId="488" xr:uid="{00000000-0005-0000-0000-0000E8010000}"/>
    <cellStyle name="Percent 2 2 2 4 2 3 3" xfId="489" xr:uid="{00000000-0005-0000-0000-0000E9010000}"/>
    <cellStyle name="Percent 2 2 2 4 2 3 4" xfId="490" xr:uid="{00000000-0005-0000-0000-0000EA010000}"/>
    <cellStyle name="Percent 2 2 2 4 3" xfId="491" xr:uid="{00000000-0005-0000-0000-0000EB010000}"/>
    <cellStyle name="Percent 2 2 2 5" xfId="492" xr:uid="{00000000-0005-0000-0000-0000EC010000}"/>
    <cellStyle name="Percent 2 2 2 5 2" xfId="493" xr:uid="{00000000-0005-0000-0000-0000ED010000}"/>
    <cellStyle name="Percent 2 2 2 5 3" xfId="494" xr:uid="{00000000-0005-0000-0000-0000EE010000}"/>
    <cellStyle name="Percent 2 2 2 5 3 2" xfId="495" xr:uid="{00000000-0005-0000-0000-0000EF010000}"/>
    <cellStyle name="Percent 2 2 2 5 3 3" xfId="496" xr:uid="{00000000-0005-0000-0000-0000F0010000}"/>
    <cellStyle name="Percent 2 2 2 5 3 4" xfId="497" xr:uid="{00000000-0005-0000-0000-0000F1010000}"/>
    <cellStyle name="Percent 2 2 2 6" xfId="498" xr:uid="{00000000-0005-0000-0000-0000F2010000}"/>
    <cellStyle name="Percent 2 2 2 6 2" xfId="499" xr:uid="{00000000-0005-0000-0000-0000F3010000}"/>
    <cellStyle name="Percent 2 2 2 6 3" xfId="500" xr:uid="{00000000-0005-0000-0000-0000F4010000}"/>
    <cellStyle name="Percent 2 2 2 6 4" xfId="501" xr:uid="{00000000-0005-0000-0000-0000F5010000}"/>
    <cellStyle name="Percent 2 2 3" xfId="502" xr:uid="{00000000-0005-0000-0000-0000F6010000}"/>
    <cellStyle name="Percent 2 2 3 2" xfId="503" xr:uid="{00000000-0005-0000-0000-0000F7010000}"/>
    <cellStyle name="Percent 2 2 3 3" xfId="504" xr:uid="{00000000-0005-0000-0000-0000F8010000}"/>
    <cellStyle name="Percent 2 2 3 4" xfId="505" xr:uid="{00000000-0005-0000-0000-0000F9010000}"/>
    <cellStyle name="Percent 2 3" xfId="506" xr:uid="{00000000-0005-0000-0000-0000FA010000}"/>
    <cellStyle name="Percent 2 4" xfId="507" xr:uid="{00000000-0005-0000-0000-0000FB010000}"/>
    <cellStyle name="Percent 2 4 10" xfId="508" xr:uid="{00000000-0005-0000-0000-0000FC010000}"/>
    <cellStyle name="Percent 2 4 11" xfId="509" xr:uid="{00000000-0005-0000-0000-0000FD010000}"/>
    <cellStyle name="Percent 2 4 11 2" xfId="510" xr:uid="{00000000-0005-0000-0000-0000FE010000}"/>
    <cellStyle name="Percent 2 4 11 2 2" xfId="511" xr:uid="{00000000-0005-0000-0000-0000FF010000}"/>
    <cellStyle name="Percent 2 4 11 2 3" xfId="512" xr:uid="{00000000-0005-0000-0000-000000020000}"/>
    <cellStyle name="Percent 2 4 11 2 3 2" xfId="513" xr:uid="{00000000-0005-0000-0000-000001020000}"/>
    <cellStyle name="Percent 2 4 11 2 3 3" xfId="514" xr:uid="{00000000-0005-0000-0000-000002020000}"/>
    <cellStyle name="Percent 2 4 11 2 3 4" xfId="515" xr:uid="{00000000-0005-0000-0000-000003020000}"/>
    <cellStyle name="Percent 2 4 2" xfId="516" xr:uid="{00000000-0005-0000-0000-000004020000}"/>
    <cellStyle name="Percent 2 4 3" xfId="517" xr:uid="{00000000-0005-0000-0000-000005020000}"/>
    <cellStyle name="Percent 2 4 4" xfId="518" xr:uid="{00000000-0005-0000-0000-000006020000}"/>
    <cellStyle name="Percent 2 4 5" xfId="519" xr:uid="{00000000-0005-0000-0000-000007020000}"/>
    <cellStyle name="Percent 2 4 5 2" xfId="520" xr:uid="{00000000-0005-0000-0000-000008020000}"/>
    <cellStyle name="Percent 2 4 5 2 2" xfId="521" xr:uid="{00000000-0005-0000-0000-000009020000}"/>
    <cellStyle name="Percent 2 4 5 2 3" xfId="522" xr:uid="{00000000-0005-0000-0000-00000A020000}"/>
    <cellStyle name="Percent 2 4 6" xfId="523" xr:uid="{00000000-0005-0000-0000-00000B020000}"/>
    <cellStyle name="Percent 2 4 7" xfId="524" xr:uid="{00000000-0005-0000-0000-00000C020000}"/>
    <cellStyle name="Percent 2 4 8" xfId="525" xr:uid="{00000000-0005-0000-0000-00000D020000}"/>
    <cellStyle name="Percent 2 4 9" xfId="526" xr:uid="{00000000-0005-0000-0000-00000E020000}"/>
    <cellStyle name="Percent 2 4 9 2" xfId="527" xr:uid="{00000000-0005-0000-0000-00000F020000}"/>
    <cellStyle name="Percent 2 4 9 2 2" xfId="528" xr:uid="{00000000-0005-0000-0000-000010020000}"/>
    <cellStyle name="Percent 2 4 9 2 3" xfId="529" xr:uid="{00000000-0005-0000-0000-000011020000}"/>
    <cellStyle name="Percent 2 4 9 2 3 2" xfId="530" xr:uid="{00000000-0005-0000-0000-000012020000}"/>
    <cellStyle name="Percent 2 4 9 2 3 3" xfId="531" xr:uid="{00000000-0005-0000-0000-000013020000}"/>
    <cellStyle name="Percent 2 4 9 2 3 4" xfId="532" xr:uid="{00000000-0005-0000-0000-000014020000}"/>
    <cellStyle name="Percent 20" xfId="533" xr:uid="{00000000-0005-0000-0000-000015020000}"/>
    <cellStyle name="Percent 20 2" xfId="534" xr:uid="{00000000-0005-0000-0000-000016020000}"/>
    <cellStyle name="Percent 20 3" xfId="535" xr:uid="{00000000-0005-0000-0000-000017020000}"/>
    <cellStyle name="Percent 20 3 2" xfId="536" xr:uid="{00000000-0005-0000-0000-000018020000}"/>
    <cellStyle name="Percent 20 3 3" xfId="537" xr:uid="{00000000-0005-0000-0000-000019020000}"/>
    <cellStyle name="Percent 20 3 4" xfId="538" xr:uid="{00000000-0005-0000-0000-00001A020000}"/>
    <cellStyle name="Percent 21" xfId="539" xr:uid="{00000000-0005-0000-0000-00001B020000}"/>
    <cellStyle name="Percent 21 2" xfId="540" xr:uid="{00000000-0005-0000-0000-00001C020000}"/>
    <cellStyle name="Percent 21 3" xfId="541" xr:uid="{00000000-0005-0000-0000-00001D020000}"/>
    <cellStyle name="Percent 21 3 2" xfId="542" xr:uid="{00000000-0005-0000-0000-00001E020000}"/>
    <cellStyle name="Percent 21 3 3" xfId="543" xr:uid="{00000000-0005-0000-0000-00001F020000}"/>
    <cellStyle name="Percent 21 3 4" xfId="544" xr:uid="{00000000-0005-0000-0000-000020020000}"/>
    <cellStyle name="Percent 22" xfId="545" xr:uid="{00000000-0005-0000-0000-000021020000}"/>
    <cellStyle name="Percent 22 2" xfId="546" xr:uid="{00000000-0005-0000-0000-000022020000}"/>
    <cellStyle name="Percent 23" xfId="547" xr:uid="{00000000-0005-0000-0000-000023020000}"/>
    <cellStyle name="Percent 23 2" xfId="548" xr:uid="{00000000-0005-0000-0000-000024020000}"/>
    <cellStyle name="Percent 24" xfId="549" xr:uid="{00000000-0005-0000-0000-000025020000}"/>
    <cellStyle name="Percent 24 2" xfId="550" xr:uid="{00000000-0005-0000-0000-000026020000}"/>
    <cellStyle name="Percent 25" xfId="551" xr:uid="{00000000-0005-0000-0000-000027020000}"/>
    <cellStyle name="Percent 25 2" xfId="552" xr:uid="{00000000-0005-0000-0000-000028020000}"/>
    <cellStyle name="Percent 26" xfId="553" xr:uid="{00000000-0005-0000-0000-000029020000}"/>
    <cellStyle name="Percent 26 2" xfId="554" xr:uid="{00000000-0005-0000-0000-00002A020000}"/>
    <cellStyle name="Percent 27" xfId="555" xr:uid="{00000000-0005-0000-0000-00002B020000}"/>
    <cellStyle name="Percent 3" xfId="556" xr:uid="{00000000-0005-0000-0000-00002C020000}"/>
    <cellStyle name="Percent 3 2" xfId="557" xr:uid="{00000000-0005-0000-0000-00002D020000}"/>
    <cellStyle name="Percent 3 2 2" xfId="558" xr:uid="{00000000-0005-0000-0000-00002E020000}"/>
    <cellStyle name="Percent 3 2 3" xfId="559" xr:uid="{00000000-0005-0000-0000-00002F020000}"/>
    <cellStyle name="Percent 3 2 3 2" xfId="560" xr:uid="{00000000-0005-0000-0000-000030020000}"/>
    <cellStyle name="Percent 3 2 3 3" xfId="561" xr:uid="{00000000-0005-0000-0000-000031020000}"/>
    <cellStyle name="Percent 3 2 3 4" xfId="562" xr:uid="{00000000-0005-0000-0000-000032020000}"/>
    <cellStyle name="Percent 3 2 4" xfId="563" xr:uid="{00000000-0005-0000-0000-000033020000}"/>
    <cellStyle name="Percent 3 2 4 2" xfId="564" xr:uid="{00000000-0005-0000-0000-000034020000}"/>
    <cellStyle name="Percent 3 2 4 2 2" xfId="565" xr:uid="{00000000-0005-0000-0000-000035020000}"/>
    <cellStyle name="Percent 3 2 4 2 3" xfId="566" xr:uid="{00000000-0005-0000-0000-000036020000}"/>
    <cellStyle name="Percent 3 2 4 2 3 2" xfId="567" xr:uid="{00000000-0005-0000-0000-000037020000}"/>
    <cellStyle name="Percent 3 2 4 2 3 3" xfId="568" xr:uid="{00000000-0005-0000-0000-000038020000}"/>
    <cellStyle name="Percent 3 2 4 2 3 4" xfId="569" xr:uid="{00000000-0005-0000-0000-000039020000}"/>
    <cellStyle name="Percent 3 2 4 3" xfId="570" xr:uid="{00000000-0005-0000-0000-00003A020000}"/>
    <cellStyle name="Percent 3 2 5" xfId="571" xr:uid="{00000000-0005-0000-0000-00003B020000}"/>
    <cellStyle name="Percent 3 2 5 2" xfId="572" xr:uid="{00000000-0005-0000-0000-00003C020000}"/>
    <cellStyle name="Percent 3 2 5 3" xfId="573" xr:uid="{00000000-0005-0000-0000-00003D020000}"/>
    <cellStyle name="Percent 3 2 5 3 2" xfId="574" xr:uid="{00000000-0005-0000-0000-00003E020000}"/>
    <cellStyle name="Percent 3 2 5 3 3" xfId="575" xr:uid="{00000000-0005-0000-0000-00003F020000}"/>
    <cellStyle name="Percent 3 2 5 3 4" xfId="576" xr:uid="{00000000-0005-0000-0000-000040020000}"/>
    <cellStyle name="Percent 3 2 6" xfId="577" xr:uid="{00000000-0005-0000-0000-000041020000}"/>
    <cellStyle name="Percent 3 2 7" xfId="578" xr:uid="{00000000-0005-0000-0000-000042020000}"/>
    <cellStyle name="Percent 3 2 7 2" xfId="579" xr:uid="{00000000-0005-0000-0000-000043020000}"/>
    <cellStyle name="Percent 3 2 7 3" xfId="580" xr:uid="{00000000-0005-0000-0000-000044020000}"/>
    <cellStyle name="Percent 3 2 7 4" xfId="581" xr:uid="{00000000-0005-0000-0000-000045020000}"/>
    <cellStyle name="Percent 3 3" xfId="582" xr:uid="{00000000-0005-0000-0000-000046020000}"/>
    <cellStyle name="Percent 3 4" xfId="583" xr:uid="{00000000-0005-0000-0000-000047020000}"/>
    <cellStyle name="Percent 3 5" xfId="584" xr:uid="{00000000-0005-0000-0000-000048020000}"/>
    <cellStyle name="Percent 3 5 2" xfId="585" xr:uid="{00000000-0005-0000-0000-000049020000}"/>
    <cellStyle name="Percent 3 5 3" xfId="586" xr:uid="{00000000-0005-0000-0000-00004A020000}"/>
    <cellStyle name="Percent 3 5 4" xfId="587" xr:uid="{00000000-0005-0000-0000-00004B020000}"/>
    <cellStyle name="Percent 4" xfId="588" xr:uid="{00000000-0005-0000-0000-00004C020000}"/>
    <cellStyle name="Percent 4 2" xfId="589" xr:uid="{00000000-0005-0000-0000-00004D020000}"/>
    <cellStyle name="Percent 4 3" xfId="590" xr:uid="{00000000-0005-0000-0000-00004E020000}"/>
    <cellStyle name="Percent 4 3 2" xfId="591" xr:uid="{00000000-0005-0000-0000-00004F020000}"/>
    <cellStyle name="Percent 4 3 3" xfId="592" xr:uid="{00000000-0005-0000-0000-000050020000}"/>
    <cellStyle name="Percent 4 3 4" xfId="593" xr:uid="{00000000-0005-0000-0000-000051020000}"/>
    <cellStyle name="Percent 4 4" xfId="594" xr:uid="{00000000-0005-0000-0000-000052020000}"/>
    <cellStyle name="Percent 4 4 2" xfId="595" xr:uid="{00000000-0005-0000-0000-000053020000}"/>
    <cellStyle name="Percent 4 4 2 2" xfId="596" xr:uid="{00000000-0005-0000-0000-000054020000}"/>
    <cellStyle name="Percent 4 4 2 3" xfId="597" xr:uid="{00000000-0005-0000-0000-000055020000}"/>
    <cellStyle name="Percent 4 4 2 3 2" xfId="598" xr:uid="{00000000-0005-0000-0000-000056020000}"/>
    <cellStyle name="Percent 4 4 2 3 3" xfId="599" xr:uid="{00000000-0005-0000-0000-000057020000}"/>
    <cellStyle name="Percent 4 4 2 3 4" xfId="600" xr:uid="{00000000-0005-0000-0000-000058020000}"/>
    <cellStyle name="Percent 4 4 3" xfId="601" xr:uid="{00000000-0005-0000-0000-000059020000}"/>
    <cellStyle name="Percent 4 5" xfId="602" xr:uid="{00000000-0005-0000-0000-00005A020000}"/>
    <cellStyle name="Percent 4 5 2" xfId="603" xr:uid="{00000000-0005-0000-0000-00005B020000}"/>
    <cellStyle name="Percent 4 5 3" xfId="604" xr:uid="{00000000-0005-0000-0000-00005C020000}"/>
    <cellStyle name="Percent 4 5 3 2" xfId="605" xr:uid="{00000000-0005-0000-0000-00005D020000}"/>
    <cellStyle name="Percent 4 5 3 3" xfId="606" xr:uid="{00000000-0005-0000-0000-00005E020000}"/>
    <cellStyle name="Percent 4 5 3 4" xfId="607" xr:uid="{00000000-0005-0000-0000-00005F020000}"/>
    <cellStyle name="Percent 4 6" xfId="608" xr:uid="{00000000-0005-0000-0000-000060020000}"/>
    <cellStyle name="Percent 4 7" xfId="609" xr:uid="{00000000-0005-0000-0000-000061020000}"/>
    <cellStyle name="Percent 4 7 2" xfId="610" xr:uid="{00000000-0005-0000-0000-000062020000}"/>
    <cellStyle name="Percent 4 7 3" xfId="611" xr:uid="{00000000-0005-0000-0000-000063020000}"/>
    <cellStyle name="Percent 4 7 4" xfId="612" xr:uid="{00000000-0005-0000-0000-000064020000}"/>
    <cellStyle name="Percent 5" xfId="613" xr:uid="{00000000-0005-0000-0000-000065020000}"/>
    <cellStyle name="Percent 5 2" xfId="614" xr:uid="{00000000-0005-0000-0000-000066020000}"/>
    <cellStyle name="Percent 5 3" xfId="615" xr:uid="{00000000-0005-0000-0000-000067020000}"/>
    <cellStyle name="Percent 5 3 2" xfId="616" xr:uid="{00000000-0005-0000-0000-000068020000}"/>
    <cellStyle name="Percent 5 3 3" xfId="617" xr:uid="{00000000-0005-0000-0000-000069020000}"/>
    <cellStyle name="Percent 5 4" xfId="618" xr:uid="{00000000-0005-0000-0000-00006A020000}"/>
    <cellStyle name="Percent 5 4 2" xfId="619" xr:uid="{00000000-0005-0000-0000-00006B020000}"/>
    <cellStyle name="Percent 5 4 3" xfId="620" xr:uid="{00000000-0005-0000-0000-00006C020000}"/>
    <cellStyle name="Percent 5 4 4" xfId="621" xr:uid="{00000000-0005-0000-0000-00006D020000}"/>
    <cellStyle name="Percent 5 5" xfId="622" xr:uid="{00000000-0005-0000-0000-00006E020000}"/>
    <cellStyle name="Percent 5 5 2" xfId="623" xr:uid="{00000000-0005-0000-0000-00006F020000}"/>
    <cellStyle name="Percent 5 5 2 2" xfId="624" xr:uid="{00000000-0005-0000-0000-000070020000}"/>
    <cellStyle name="Percent 5 5 2 3" xfId="625" xr:uid="{00000000-0005-0000-0000-000071020000}"/>
    <cellStyle name="Percent 5 5 2 3 2" xfId="626" xr:uid="{00000000-0005-0000-0000-000072020000}"/>
    <cellStyle name="Percent 5 5 2 3 3" xfId="627" xr:uid="{00000000-0005-0000-0000-000073020000}"/>
    <cellStyle name="Percent 5 5 2 3 4" xfId="628" xr:uid="{00000000-0005-0000-0000-000074020000}"/>
    <cellStyle name="Percent 5 5 3" xfId="629" xr:uid="{00000000-0005-0000-0000-000075020000}"/>
    <cellStyle name="Percent 5 6" xfId="630" xr:uid="{00000000-0005-0000-0000-000076020000}"/>
    <cellStyle name="Percent 5 6 2" xfId="631" xr:uid="{00000000-0005-0000-0000-000077020000}"/>
    <cellStyle name="Percent 5 6 3" xfId="632" xr:uid="{00000000-0005-0000-0000-000078020000}"/>
    <cellStyle name="Percent 5 6 3 2" xfId="633" xr:uid="{00000000-0005-0000-0000-000079020000}"/>
    <cellStyle name="Percent 5 6 3 3" xfId="634" xr:uid="{00000000-0005-0000-0000-00007A020000}"/>
    <cellStyle name="Percent 5 6 3 4" xfId="635" xr:uid="{00000000-0005-0000-0000-00007B020000}"/>
    <cellStyle name="Percent 5 7" xfId="636" xr:uid="{00000000-0005-0000-0000-00007C020000}"/>
    <cellStyle name="Percent 5 8" xfId="637" xr:uid="{00000000-0005-0000-0000-00007D020000}"/>
    <cellStyle name="Percent 5 8 2" xfId="638" xr:uid="{00000000-0005-0000-0000-00007E020000}"/>
    <cellStyle name="Percent 5 8 3" xfId="639" xr:uid="{00000000-0005-0000-0000-00007F020000}"/>
    <cellStyle name="Percent 5 8 4" xfId="640" xr:uid="{00000000-0005-0000-0000-000080020000}"/>
    <cellStyle name="Percent 6" xfId="641" xr:uid="{00000000-0005-0000-0000-000081020000}"/>
    <cellStyle name="Percent 6 10" xfId="642" xr:uid="{00000000-0005-0000-0000-000082020000}"/>
    <cellStyle name="Percent 6 11" xfId="643" xr:uid="{00000000-0005-0000-0000-000083020000}"/>
    <cellStyle name="Percent 6 11 2" xfId="644" xr:uid="{00000000-0005-0000-0000-000084020000}"/>
    <cellStyle name="Percent 6 11 2 2" xfId="645" xr:uid="{00000000-0005-0000-0000-000085020000}"/>
    <cellStyle name="Percent 6 11 2 3" xfId="646" xr:uid="{00000000-0005-0000-0000-000086020000}"/>
    <cellStyle name="Percent 6 11 2 3 2" xfId="647" xr:uid="{00000000-0005-0000-0000-000087020000}"/>
    <cellStyle name="Percent 6 11 2 3 3" xfId="648" xr:uid="{00000000-0005-0000-0000-000088020000}"/>
    <cellStyle name="Percent 6 11 2 3 4" xfId="649" xr:uid="{00000000-0005-0000-0000-000089020000}"/>
    <cellStyle name="Percent 6 12" xfId="650" xr:uid="{00000000-0005-0000-0000-00008A020000}"/>
    <cellStyle name="Percent 6 13" xfId="651" xr:uid="{00000000-0005-0000-0000-00008B020000}"/>
    <cellStyle name="Percent 6 13 2" xfId="652" xr:uid="{00000000-0005-0000-0000-00008C020000}"/>
    <cellStyle name="Percent 6 13 2 2" xfId="653" xr:uid="{00000000-0005-0000-0000-00008D020000}"/>
    <cellStyle name="Percent 6 13 2 3" xfId="654" xr:uid="{00000000-0005-0000-0000-00008E020000}"/>
    <cellStyle name="Percent 6 13 2 3 2" xfId="655" xr:uid="{00000000-0005-0000-0000-00008F020000}"/>
    <cellStyle name="Percent 6 13 2 3 3" xfId="656" xr:uid="{00000000-0005-0000-0000-000090020000}"/>
    <cellStyle name="Percent 6 13 2 3 4" xfId="657" xr:uid="{00000000-0005-0000-0000-000091020000}"/>
    <cellStyle name="Percent 6 14" xfId="658" xr:uid="{00000000-0005-0000-0000-000092020000}"/>
    <cellStyle name="Percent 6 14 2" xfId="659" xr:uid="{00000000-0005-0000-0000-000093020000}"/>
    <cellStyle name="Percent 6 15" xfId="660" xr:uid="{00000000-0005-0000-0000-000094020000}"/>
    <cellStyle name="Percent 6 16" xfId="661" xr:uid="{00000000-0005-0000-0000-000095020000}"/>
    <cellStyle name="Percent 6 16 2" xfId="662" xr:uid="{00000000-0005-0000-0000-000096020000}"/>
    <cellStyle name="Percent 6 16 3" xfId="663" xr:uid="{00000000-0005-0000-0000-000097020000}"/>
    <cellStyle name="Percent 6 16 4" xfId="664" xr:uid="{00000000-0005-0000-0000-000098020000}"/>
    <cellStyle name="Percent 6 2" xfId="665" xr:uid="{00000000-0005-0000-0000-000099020000}"/>
    <cellStyle name="Percent 6 3" xfId="666" xr:uid="{00000000-0005-0000-0000-00009A020000}"/>
    <cellStyle name="Percent 6 4" xfId="667" xr:uid="{00000000-0005-0000-0000-00009B020000}"/>
    <cellStyle name="Percent 6 5" xfId="668" xr:uid="{00000000-0005-0000-0000-00009C020000}"/>
    <cellStyle name="Percent 6 6" xfId="669" xr:uid="{00000000-0005-0000-0000-00009D020000}"/>
    <cellStyle name="Percent 6 7" xfId="670" xr:uid="{00000000-0005-0000-0000-00009E020000}"/>
    <cellStyle name="Percent 6 7 2" xfId="671" xr:uid="{00000000-0005-0000-0000-00009F020000}"/>
    <cellStyle name="Percent 6 7 2 2" xfId="672" xr:uid="{00000000-0005-0000-0000-0000A0020000}"/>
    <cellStyle name="Percent 6 7 2 3" xfId="673" xr:uid="{00000000-0005-0000-0000-0000A1020000}"/>
    <cellStyle name="Percent 6 8" xfId="674" xr:uid="{00000000-0005-0000-0000-0000A2020000}"/>
    <cellStyle name="Percent 6 9" xfId="675" xr:uid="{00000000-0005-0000-0000-0000A3020000}"/>
    <cellStyle name="Percent 7" xfId="676" xr:uid="{00000000-0005-0000-0000-0000A4020000}"/>
    <cellStyle name="Percent 7 10" xfId="677" xr:uid="{00000000-0005-0000-0000-0000A5020000}"/>
    <cellStyle name="Percent 7 11" xfId="678" xr:uid="{00000000-0005-0000-0000-0000A6020000}"/>
    <cellStyle name="Percent 7 11 2" xfId="679" xr:uid="{00000000-0005-0000-0000-0000A7020000}"/>
    <cellStyle name="Percent 7 11 2 2" xfId="680" xr:uid="{00000000-0005-0000-0000-0000A8020000}"/>
    <cellStyle name="Percent 7 11 2 3" xfId="681" xr:uid="{00000000-0005-0000-0000-0000A9020000}"/>
    <cellStyle name="Percent 7 11 2 3 2" xfId="682" xr:uid="{00000000-0005-0000-0000-0000AA020000}"/>
    <cellStyle name="Percent 7 11 2 3 3" xfId="683" xr:uid="{00000000-0005-0000-0000-0000AB020000}"/>
    <cellStyle name="Percent 7 11 2 3 4" xfId="684" xr:uid="{00000000-0005-0000-0000-0000AC020000}"/>
    <cellStyle name="Percent 7 12" xfId="685" xr:uid="{00000000-0005-0000-0000-0000AD020000}"/>
    <cellStyle name="Percent 7 12 2" xfId="686" xr:uid="{00000000-0005-0000-0000-0000AE020000}"/>
    <cellStyle name="Percent 7 13" xfId="687" xr:uid="{00000000-0005-0000-0000-0000AF020000}"/>
    <cellStyle name="Percent 7 14" xfId="688" xr:uid="{00000000-0005-0000-0000-0000B0020000}"/>
    <cellStyle name="Percent 7 14 2" xfId="689" xr:uid="{00000000-0005-0000-0000-0000B1020000}"/>
    <cellStyle name="Percent 7 14 3" xfId="690" xr:uid="{00000000-0005-0000-0000-0000B2020000}"/>
    <cellStyle name="Percent 7 14 4" xfId="691" xr:uid="{00000000-0005-0000-0000-0000B3020000}"/>
    <cellStyle name="Percent 7 2" xfId="692" xr:uid="{00000000-0005-0000-0000-0000B4020000}"/>
    <cellStyle name="Percent 7 3" xfId="693" xr:uid="{00000000-0005-0000-0000-0000B5020000}"/>
    <cellStyle name="Percent 7 4" xfId="694" xr:uid="{00000000-0005-0000-0000-0000B6020000}"/>
    <cellStyle name="Percent 7 5" xfId="695" xr:uid="{00000000-0005-0000-0000-0000B7020000}"/>
    <cellStyle name="Percent 7 5 2" xfId="696" xr:uid="{00000000-0005-0000-0000-0000B8020000}"/>
    <cellStyle name="Percent 7 5 2 2" xfId="697" xr:uid="{00000000-0005-0000-0000-0000B9020000}"/>
    <cellStyle name="Percent 7 5 2 3" xfId="698" xr:uid="{00000000-0005-0000-0000-0000BA020000}"/>
    <cellStyle name="Percent 7 5 2 4" xfId="699" xr:uid="{00000000-0005-0000-0000-0000BB020000}"/>
    <cellStyle name="Percent 7 6" xfId="700" xr:uid="{00000000-0005-0000-0000-0000BC020000}"/>
    <cellStyle name="Percent 7 7" xfId="701" xr:uid="{00000000-0005-0000-0000-0000BD020000}"/>
    <cellStyle name="Percent 7 8" xfId="702" xr:uid="{00000000-0005-0000-0000-0000BE020000}"/>
    <cellStyle name="Percent 7 9" xfId="703" xr:uid="{00000000-0005-0000-0000-0000BF020000}"/>
    <cellStyle name="Percent 7 9 2" xfId="704" xr:uid="{00000000-0005-0000-0000-0000C0020000}"/>
    <cellStyle name="Percent 7 9 2 2" xfId="705" xr:uid="{00000000-0005-0000-0000-0000C1020000}"/>
    <cellStyle name="Percent 7 9 2 3" xfId="706" xr:uid="{00000000-0005-0000-0000-0000C2020000}"/>
    <cellStyle name="Percent 7 9 2 3 2" xfId="707" xr:uid="{00000000-0005-0000-0000-0000C3020000}"/>
    <cellStyle name="Percent 7 9 2 3 3" xfId="708" xr:uid="{00000000-0005-0000-0000-0000C4020000}"/>
    <cellStyle name="Percent 7 9 2 3 4" xfId="709" xr:uid="{00000000-0005-0000-0000-0000C5020000}"/>
    <cellStyle name="Percent 8" xfId="710" xr:uid="{00000000-0005-0000-0000-0000C6020000}"/>
    <cellStyle name="Percent 8 2" xfId="711" xr:uid="{00000000-0005-0000-0000-0000C7020000}"/>
    <cellStyle name="Percent 8 3" xfId="712" xr:uid="{00000000-0005-0000-0000-0000C8020000}"/>
    <cellStyle name="Percent 8 4" xfId="713" xr:uid="{00000000-0005-0000-0000-0000C9020000}"/>
    <cellStyle name="Percent 8 5" xfId="714" xr:uid="{00000000-0005-0000-0000-0000CA020000}"/>
    <cellStyle name="Percent 9" xfId="715" xr:uid="{00000000-0005-0000-0000-0000CB020000}"/>
    <cellStyle name="Percent 9 2" xfId="716" xr:uid="{00000000-0005-0000-0000-0000CC020000}"/>
    <cellStyle name="Percent 9 3" xfId="717" xr:uid="{00000000-0005-0000-0000-0000CD020000}"/>
    <cellStyle name="Percent 9 4" xfId="718" xr:uid="{00000000-0005-0000-0000-0000CE020000}"/>
    <cellStyle name="Percent 9 5" xfId="719" xr:uid="{00000000-0005-0000-0000-0000CF020000}"/>
    <cellStyle name="PSChar" xfId="720" xr:uid="{00000000-0005-0000-0000-0000D0020000}"/>
    <cellStyle name="PSDate" xfId="721" xr:uid="{00000000-0005-0000-0000-0000D1020000}"/>
    <cellStyle name="PSDec" xfId="722" xr:uid="{00000000-0005-0000-0000-0000D2020000}"/>
    <cellStyle name="PSHeading" xfId="723" xr:uid="{00000000-0005-0000-0000-0000D3020000}"/>
    <cellStyle name="PSInt" xfId="724" xr:uid="{00000000-0005-0000-0000-0000D4020000}"/>
    <cellStyle name="PSSpacer" xfId="725" xr:uid="{00000000-0005-0000-0000-0000D5020000}"/>
  </cellStyles>
  <dxfs count="4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U75"/>
  <sheetViews>
    <sheetView tabSelected="1" zoomScale="90" zoomScaleNormal="90" workbookViewId="0">
      <pane ySplit="10" topLeftCell="A11" activePane="bottomLeft" state="frozen"/>
      <selection pane="bottomLeft" activeCell="O61" sqref="O61"/>
    </sheetView>
  </sheetViews>
  <sheetFormatPr defaultColWidth="9.1796875" defaultRowHeight="12.5"/>
  <cols>
    <col min="1" max="1" width="20.26953125" style="1" customWidth="1"/>
    <col min="2" max="2" width="19.54296875" style="33" customWidth="1"/>
    <col min="3" max="3" width="29.453125" style="33" bestFit="1" customWidth="1"/>
    <col min="4" max="4" width="19.54296875" style="33" customWidth="1"/>
    <col min="5" max="5" width="18.26953125" style="1" customWidth="1"/>
    <col min="6" max="6" width="13.81640625" style="1" customWidth="1"/>
    <col min="7" max="7" width="11.453125" style="1" customWidth="1"/>
    <col min="8" max="8" width="13.1796875" style="1" customWidth="1"/>
    <col min="9" max="9" width="12" style="3" customWidth="1"/>
    <col min="10" max="10" width="11.1796875" style="3" customWidth="1"/>
    <col min="11" max="11" width="12.81640625" style="3" customWidth="1"/>
    <col min="12" max="14" width="15" style="105" customWidth="1"/>
    <col min="15" max="15" width="39.54296875" style="1" bestFit="1" customWidth="1"/>
    <col min="16" max="17" width="9.1796875" style="1" customWidth="1"/>
    <col min="18" max="18" width="12.26953125" style="1" customWidth="1"/>
    <col min="19" max="21" width="9.1796875" style="17"/>
    <col min="22" max="16384" width="9.1796875" style="1"/>
  </cols>
  <sheetData>
    <row r="1" spans="1:18" ht="20">
      <c r="A1" s="30" t="s">
        <v>33</v>
      </c>
      <c r="D1" s="114"/>
      <c r="E1" s="115"/>
      <c r="F1" s="115"/>
      <c r="G1" s="115"/>
      <c r="H1" s="115"/>
      <c r="I1" s="116"/>
      <c r="J1" s="116"/>
      <c r="K1" s="116"/>
      <c r="L1" s="116"/>
      <c r="O1" s="3"/>
      <c r="R1" s="17"/>
    </row>
    <row r="2" spans="1:18" ht="15">
      <c r="A2" s="28" t="s">
        <v>25</v>
      </c>
      <c r="D2" s="114"/>
      <c r="E2" s="115"/>
      <c r="F2" s="115"/>
      <c r="G2" s="115"/>
      <c r="H2" s="115"/>
      <c r="I2" s="116"/>
      <c r="J2" s="116"/>
      <c r="K2" s="116"/>
      <c r="L2" s="116"/>
      <c r="O2" s="3"/>
      <c r="P2" s="35"/>
      <c r="Q2" s="35"/>
      <c r="R2" s="34"/>
    </row>
    <row r="3" spans="1:18" ht="15">
      <c r="A3" s="28" t="s">
        <v>26</v>
      </c>
      <c r="D3" s="114"/>
      <c r="E3" s="115"/>
      <c r="F3" s="115"/>
      <c r="G3" s="115"/>
      <c r="H3" s="115"/>
      <c r="I3" s="116"/>
      <c r="J3" s="116"/>
      <c r="K3" s="116"/>
      <c r="L3" s="116"/>
      <c r="O3" s="3"/>
    </row>
    <row r="4" spans="1:18">
      <c r="A4" s="28" t="s">
        <v>31</v>
      </c>
      <c r="L4" s="3"/>
      <c r="M4" s="3"/>
      <c r="N4" s="3"/>
      <c r="O4" s="3"/>
    </row>
    <row r="5" spans="1:18">
      <c r="A5" s="28" t="s">
        <v>32</v>
      </c>
      <c r="L5" s="3"/>
      <c r="M5" s="3"/>
      <c r="N5" s="3"/>
      <c r="O5" s="3"/>
    </row>
    <row r="6" spans="1:18" ht="13" thickBot="1">
      <c r="A6" s="28" t="s">
        <v>69</v>
      </c>
      <c r="L6" s="3"/>
      <c r="M6" s="3"/>
      <c r="N6" s="3"/>
      <c r="O6" s="3"/>
    </row>
    <row r="7" spans="1:18" ht="13" thickBot="1">
      <c r="A7" s="3"/>
      <c r="B7" s="36" t="s">
        <v>36</v>
      </c>
      <c r="D7" s="36"/>
      <c r="E7" s="39">
        <v>0.21</v>
      </c>
      <c r="F7" s="3"/>
      <c r="G7" s="3"/>
      <c r="H7" s="3"/>
      <c r="L7" s="18"/>
      <c r="M7" s="18"/>
      <c r="N7" s="18"/>
    </row>
    <row r="8" spans="1:18">
      <c r="A8" s="3"/>
      <c r="B8" s="36" t="s">
        <v>0</v>
      </c>
      <c r="C8" s="36" t="s">
        <v>39</v>
      </c>
      <c r="D8" s="36" t="s">
        <v>37</v>
      </c>
      <c r="E8" s="3" t="s">
        <v>16</v>
      </c>
      <c r="F8" s="3" t="s">
        <v>19</v>
      </c>
      <c r="G8" s="3" t="s">
        <v>15</v>
      </c>
      <c r="H8" s="3" t="s">
        <v>15</v>
      </c>
      <c r="I8" s="3" t="s">
        <v>4</v>
      </c>
      <c r="J8" s="3" t="s">
        <v>6</v>
      </c>
      <c r="K8" s="3" t="s">
        <v>7</v>
      </c>
      <c r="L8" s="9" t="s">
        <v>4</v>
      </c>
      <c r="M8" s="10" t="s">
        <v>6</v>
      </c>
      <c r="N8" s="11" t="s">
        <v>7</v>
      </c>
    </row>
    <row r="9" spans="1:18">
      <c r="A9" s="3"/>
      <c r="B9" s="36" t="s">
        <v>13</v>
      </c>
      <c r="C9" s="36" t="s">
        <v>66</v>
      </c>
      <c r="D9" s="42" t="s">
        <v>36</v>
      </c>
      <c r="E9" s="3" t="s">
        <v>17</v>
      </c>
      <c r="F9" s="3" t="s">
        <v>21</v>
      </c>
      <c r="G9" s="3" t="s">
        <v>1</v>
      </c>
      <c r="H9" s="3" t="s">
        <v>22</v>
      </c>
      <c r="I9" s="3" t="s">
        <v>5</v>
      </c>
      <c r="J9" s="3" t="s">
        <v>5</v>
      </c>
      <c r="K9" s="3" t="s">
        <v>5</v>
      </c>
      <c r="L9" s="12" t="s">
        <v>8</v>
      </c>
      <c r="M9" s="13" t="s">
        <v>9</v>
      </c>
      <c r="N9" s="14" t="s">
        <v>9</v>
      </c>
    </row>
    <row r="10" spans="1:18" ht="25">
      <c r="A10" s="3"/>
      <c r="B10" s="36" t="s">
        <v>14</v>
      </c>
      <c r="C10" s="103" t="s">
        <v>67</v>
      </c>
      <c r="D10" s="36" t="s">
        <v>38</v>
      </c>
      <c r="E10" s="3" t="s">
        <v>18</v>
      </c>
      <c r="F10" s="3" t="s">
        <v>20</v>
      </c>
      <c r="G10" s="3" t="s">
        <v>2</v>
      </c>
      <c r="H10" s="3" t="s">
        <v>3</v>
      </c>
      <c r="L10" s="25">
        <v>1823537</v>
      </c>
      <c r="M10" s="26">
        <v>4310001</v>
      </c>
      <c r="N10" s="27">
        <v>1823536</v>
      </c>
    </row>
    <row r="11" spans="1:18">
      <c r="A11" s="3"/>
      <c r="B11" s="37" t="s">
        <v>23</v>
      </c>
      <c r="C11" s="37"/>
      <c r="D11" s="37"/>
      <c r="E11" s="21" t="s">
        <v>10</v>
      </c>
      <c r="F11" s="22" t="s">
        <v>27</v>
      </c>
      <c r="G11" s="23" t="s">
        <v>11</v>
      </c>
      <c r="H11" s="24" t="s">
        <v>24</v>
      </c>
      <c r="L11" s="12"/>
      <c r="M11" s="13"/>
      <c r="N11" s="14"/>
    </row>
    <row r="12" spans="1:18" s="17" customFormat="1">
      <c r="A12" s="40" t="s">
        <v>34</v>
      </c>
      <c r="B12" s="33">
        <f>'CC on investment BU 110'!B12+'CC on investment BU 117'!B12+'CC on investment BU 180'!B12</f>
        <v>2050072.1800000002</v>
      </c>
      <c r="C12" s="33"/>
      <c r="D12" s="33"/>
      <c r="E12" s="32">
        <f>(B12*$E$7)</f>
        <v>430515.15780000004</v>
      </c>
      <c r="F12" s="29">
        <f>+B12-E12</f>
        <v>1619557.0222</v>
      </c>
      <c r="G12" s="1">
        <v>0.98499999999999999</v>
      </c>
      <c r="H12" s="2">
        <f>+F12*G12</f>
        <v>1595263.6668670001</v>
      </c>
      <c r="I12" s="19">
        <v>7.8799999999999995E-2</v>
      </c>
      <c r="J12" s="19">
        <v>4.1200000000000001E-2</v>
      </c>
      <c r="K12" s="20">
        <f>I12-J12</f>
        <v>3.7599999999999995E-2</v>
      </c>
      <c r="L12" s="6">
        <f>((H12*I12)/12)*(13/31)</f>
        <v>4392.9787643509535</v>
      </c>
      <c r="M12" s="7">
        <f>((H12*J12)/12)*(13/31)</f>
        <v>2296.83661283324</v>
      </c>
      <c r="N12" s="7">
        <f>((H12*K12)/12)*(13/31)</f>
        <v>2096.142151517714</v>
      </c>
    </row>
    <row r="13" spans="1:18" s="17" customFormat="1">
      <c r="A13" s="40" t="s">
        <v>35</v>
      </c>
      <c r="B13" s="33">
        <f>B12</f>
        <v>2050072.1800000002</v>
      </c>
      <c r="C13" s="33">
        <f>'NERCAMRT - Depreciation'!S51</f>
        <v>-2363.0583655913979</v>
      </c>
      <c r="D13" s="33">
        <f>B13+C13</f>
        <v>2047709.1216344088</v>
      </c>
      <c r="E13" s="32">
        <f>(D13*$E$7)</f>
        <v>430018.91554322583</v>
      </c>
      <c r="F13" s="29">
        <f>+D13-E13</f>
        <v>1617690.206091183</v>
      </c>
      <c r="G13" s="1">
        <v>0.98499999999999999</v>
      </c>
      <c r="H13" s="2">
        <f>+F13*G13</f>
        <v>1593424.8529998153</v>
      </c>
      <c r="I13" s="19">
        <v>7.6200000000000004E-2</v>
      </c>
      <c r="J13" s="19">
        <v>3.8300000000000001E-2</v>
      </c>
      <c r="K13" s="20">
        <f>I13-J13</f>
        <v>3.7900000000000003E-2</v>
      </c>
      <c r="L13" s="6">
        <f>((H13*I13)/12)*(18/31)</f>
        <v>5875.1116354154483</v>
      </c>
      <c r="M13" s="7">
        <f>((H13*J13)/12)*(18/31)</f>
        <v>2952.9760582206259</v>
      </c>
      <c r="N13" s="7">
        <f>((H13*K13)/12)*(18/31)</f>
        <v>2922.1355771948233</v>
      </c>
    </row>
    <row r="14" spans="1:18" s="17" customFormat="1">
      <c r="A14" s="16">
        <v>44255</v>
      </c>
      <c r="B14" s="33">
        <f>'CC on investment BU 110'!B14+'CC on investment BU 117'!B14+'CC on investment BU 180'!B14</f>
        <v>2182844.9499999997</v>
      </c>
      <c r="C14" s="33">
        <f>'NERCAMRT - Depreciation'!S52</f>
        <v>-7998.043698924731</v>
      </c>
      <c r="D14" s="33">
        <f t="shared" ref="D14:D48" si="0">B14+C14</f>
        <v>2174846.9063010751</v>
      </c>
      <c r="E14" s="32">
        <f>(D14*$E$7)</f>
        <v>456717.85032322578</v>
      </c>
      <c r="F14" s="29">
        <f>+D14-E14</f>
        <v>1718129.0559778493</v>
      </c>
      <c r="G14" s="1">
        <v>0.98499999999999999</v>
      </c>
      <c r="H14" s="2">
        <f>+F14*G14</f>
        <v>1692357.1201381816</v>
      </c>
      <c r="I14" s="19">
        <v>7.6200000000000004E-2</v>
      </c>
      <c r="J14" s="19">
        <v>3.8300000000000001E-2</v>
      </c>
      <c r="K14" s="20">
        <f>I14-J14</f>
        <v>3.7900000000000003E-2</v>
      </c>
      <c r="L14" s="6">
        <f>(H14*I14)/12</f>
        <v>10746.467712877455</v>
      </c>
      <c r="M14" s="7">
        <f>(H14*J14)/12</f>
        <v>5401.4398084410295</v>
      </c>
      <c r="N14" s="8">
        <f>(H14*K14)/12</f>
        <v>5345.0279044364243</v>
      </c>
    </row>
    <row r="15" spans="1:18" s="17" customFormat="1">
      <c r="A15" s="16">
        <v>44286</v>
      </c>
      <c r="B15" s="33">
        <f>'CC on investment BU 110'!B15+'CC on investment BU 117'!B15+'CC on investment BU 180'!B15</f>
        <v>2488107.7599999998</v>
      </c>
      <c r="C15" s="33">
        <f>'NERCAMRT - Depreciation'!S53</f>
        <v>-13633.029032258064</v>
      </c>
      <c r="D15" s="33">
        <f t="shared" si="0"/>
        <v>2474474.7309677419</v>
      </c>
      <c r="E15" s="32">
        <f t="shared" ref="E15:E48" si="1">(D15*$E$7)</f>
        <v>519639.6935032258</v>
      </c>
      <c r="F15" s="29">
        <f t="shared" ref="F15:F48" si="2">+D15-E15</f>
        <v>1954835.0374645162</v>
      </c>
      <c r="G15" s="1">
        <v>0.98499999999999999</v>
      </c>
      <c r="H15" s="2">
        <f t="shared" ref="H15:H48" si="3">+F15*G15</f>
        <v>1925512.5119025484</v>
      </c>
      <c r="I15" s="19">
        <v>7.6200000000000004E-2</v>
      </c>
      <c r="J15" s="19">
        <v>3.8300000000000001E-2</v>
      </c>
      <c r="K15" s="20">
        <f t="shared" ref="K15:K48" si="4">I15-J15</f>
        <v>3.7900000000000003E-2</v>
      </c>
      <c r="L15" s="6">
        <f t="shared" ref="L15:L48" si="5">(H15*I15)/12</f>
        <v>12227.004450581182</v>
      </c>
      <c r="M15" s="7">
        <f t="shared" ref="M15:M48" si="6">(H15*J15)/12</f>
        <v>6145.5941004889673</v>
      </c>
      <c r="N15" s="8">
        <f t="shared" ref="N15:N48" si="7">(H15*K15)/12</f>
        <v>6081.4103500922165</v>
      </c>
    </row>
    <row r="16" spans="1:18" s="17" customFormat="1">
      <c r="A16" s="16">
        <v>44316</v>
      </c>
      <c r="B16" s="33">
        <f>'CC on investment BU 110'!B16+'CC on investment BU 117'!B16+'CC on investment BU 180'!B16</f>
        <v>2560107.73</v>
      </c>
      <c r="C16" s="33">
        <f>'NERCAMRT - Depreciation'!S54</f>
        <v>-19268.014365591396</v>
      </c>
      <c r="D16" s="33">
        <f t="shared" si="0"/>
        <v>2540839.7156344084</v>
      </c>
      <c r="E16" s="32">
        <f t="shared" si="1"/>
        <v>533576.34028322576</v>
      </c>
      <c r="F16" s="29">
        <f t="shared" si="2"/>
        <v>2007263.3753511827</v>
      </c>
      <c r="G16" s="1">
        <v>0.98499999999999999</v>
      </c>
      <c r="H16" s="2">
        <f t="shared" si="3"/>
        <v>1977154.4247209148</v>
      </c>
      <c r="I16" s="19">
        <v>7.6200000000000004E-2</v>
      </c>
      <c r="J16" s="19">
        <v>3.8300000000000001E-2</v>
      </c>
      <c r="K16" s="20">
        <f t="shared" si="4"/>
        <v>3.7900000000000003E-2</v>
      </c>
      <c r="L16" s="6">
        <f t="shared" si="5"/>
        <v>12554.930596977809</v>
      </c>
      <c r="M16" s="7">
        <f t="shared" si="6"/>
        <v>6310.417872234254</v>
      </c>
      <c r="N16" s="8">
        <f t="shared" si="7"/>
        <v>6244.5127247435566</v>
      </c>
    </row>
    <row r="17" spans="1:14" s="17" customFormat="1">
      <c r="A17" s="16">
        <v>44347</v>
      </c>
      <c r="B17" s="33">
        <f>'CC on investment BU 110'!B17+'CC on investment BU 117'!B17+'CC on investment BU 180'!B17</f>
        <v>2591688.87</v>
      </c>
      <c r="C17" s="33">
        <f>'NERCAMRT - Depreciation'!S55</f>
        <v>-24902.99969892473</v>
      </c>
      <c r="D17" s="33">
        <f t="shared" si="0"/>
        <v>2566785.8703010753</v>
      </c>
      <c r="E17" s="32">
        <f t="shared" si="1"/>
        <v>539025.03276322584</v>
      </c>
      <c r="F17" s="29">
        <f t="shared" si="2"/>
        <v>2027760.8375378493</v>
      </c>
      <c r="G17" s="1">
        <v>0.98499999999999999</v>
      </c>
      <c r="H17" s="2">
        <f t="shared" si="3"/>
        <v>1997344.4249747815</v>
      </c>
      <c r="I17" s="19">
        <v>7.6200000000000004E-2</v>
      </c>
      <c r="J17" s="19">
        <v>3.8300000000000001E-2</v>
      </c>
      <c r="K17" s="20">
        <f t="shared" si="4"/>
        <v>3.7900000000000003E-2</v>
      </c>
      <c r="L17" s="6">
        <f t="shared" si="5"/>
        <v>12683.137098589863</v>
      </c>
      <c r="M17" s="7">
        <f t="shared" si="6"/>
        <v>6374.8576230445105</v>
      </c>
      <c r="N17" s="8">
        <f t="shared" si="7"/>
        <v>6308.2794755453515</v>
      </c>
    </row>
    <row r="18" spans="1:14" s="17" customFormat="1">
      <c r="A18" s="16">
        <v>44377</v>
      </c>
      <c r="B18" s="33">
        <f>'CC on investment BU 110'!B18+'CC on investment BU 117'!B18+'CC on investment BU 180'!B18</f>
        <v>2625556.23</v>
      </c>
      <c r="C18" s="33">
        <f>'NERCAMRT - Depreciation'!S56</f>
        <v>-30537.985032258064</v>
      </c>
      <c r="D18" s="33">
        <f t="shared" si="0"/>
        <v>2595018.2449677419</v>
      </c>
      <c r="E18" s="32">
        <f t="shared" si="1"/>
        <v>544953.83144322573</v>
      </c>
      <c r="F18" s="29">
        <f t="shared" si="2"/>
        <v>2050064.4135245162</v>
      </c>
      <c r="G18" s="1">
        <v>0.98499999999999999</v>
      </c>
      <c r="H18" s="2">
        <f t="shared" si="3"/>
        <v>2019313.4473216485</v>
      </c>
      <c r="I18" s="19">
        <v>7.6200000000000004E-2</v>
      </c>
      <c r="J18" s="19">
        <v>3.8300000000000001E-2</v>
      </c>
      <c r="K18" s="20">
        <f t="shared" si="4"/>
        <v>3.7900000000000003E-2</v>
      </c>
      <c r="L18" s="6">
        <f t="shared" si="5"/>
        <v>12822.640390492468</v>
      </c>
      <c r="M18" s="7">
        <f t="shared" si="6"/>
        <v>6444.9754193682611</v>
      </c>
      <c r="N18" s="8">
        <f t="shared" si="7"/>
        <v>6377.6649711242071</v>
      </c>
    </row>
    <row r="19" spans="1:14" s="17" customFormat="1">
      <c r="A19" s="16">
        <v>44408</v>
      </c>
      <c r="B19" s="33">
        <f>'CC on investment BU 110'!B19+'CC on investment BU 117'!B19+'CC on investment BU 180'!B19</f>
        <v>2805312.42</v>
      </c>
      <c r="C19" s="33">
        <f>'NERCAMRT - Depreciation'!S57</f>
        <v>-36172.970365591398</v>
      </c>
      <c r="D19" s="33">
        <f t="shared" si="0"/>
        <v>2769139.4496344086</v>
      </c>
      <c r="E19" s="32">
        <f t="shared" si="1"/>
        <v>581519.28442322579</v>
      </c>
      <c r="F19" s="29">
        <f t="shared" si="2"/>
        <v>2187620.165211183</v>
      </c>
      <c r="G19" s="1">
        <v>0.98499999999999999</v>
      </c>
      <c r="H19" s="2">
        <f t="shared" si="3"/>
        <v>2154805.8627330153</v>
      </c>
      <c r="I19" s="19">
        <v>7.6200000000000004E-2</v>
      </c>
      <c r="J19" s="19">
        <v>3.8300000000000001E-2</v>
      </c>
      <c r="K19" s="20">
        <f t="shared" si="4"/>
        <v>3.7900000000000003E-2</v>
      </c>
      <c r="L19" s="6">
        <f t="shared" si="5"/>
        <v>13683.017228354649</v>
      </c>
      <c r="M19" s="7">
        <f t="shared" si="6"/>
        <v>6877.4220452228737</v>
      </c>
      <c r="N19" s="8">
        <f t="shared" si="7"/>
        <v>6805.5951831317734</v>
      </c>
    </row>
    <row r="20" spans="1:14" s="17" customFormat="1">
      <c r="A20" s="16">
        <v>44439</v>
      </c>
      <c r="B20" s="33">
        <f>'CC on investment BU 110'!B20+'CC on investment BU 117'!B20+'CC on investment BU 180'!B20</f>
        <v>2834282.02</v>
      </c>
      <c r="C20" s="33">
        <f>'NERCAMRT - Depreciation'!S58</f>
        <v>-41807.955698924728</v>
      </c>
      <c r="D20" s="33">
        <f t="shared" si="0"/>
        <v>2792474.0643010754</v>
      </c>
      <c r="E20" s="32">
        <f t="shared" si="1"/>
        <v>586419.55350322579</v>
      </c>
      <c r="F20" s="29">
        <f t="shared" si="2"/>
        <v>2206054.5107978499</v>
      </c>
      <c r="G20" s="1">
        <v>0.98499999999999999</v>
      </c>
      <c r="H20" s="2">
        <f t="shared" si="3"/>
        <v>2172963.6931358823</v>
      </c>
      <c r="I20" s="19">
        <v>7.6200000000000004E-2</v>
      </c>
      <c r="J20" s="19">
        <v>3.8300000000000001E-2</v>
      </c>
      <c r="K20" s="20">
        <f t="shared" si="4"/>
        <v>3.7900000000000003E-2</v>
      </c>
      <c r="L20" s="6">
        <f t="shared" si="5"/>
        <v>13798.319451412854</v>
      </c>
      <c r="M20" s="7">
        <f t="shared" si="6"/>
        <v>6935.3757872586912</v>
      </c>
      <c r="N20" s="8">
        <f t="shared" si="7"/>
        <v>6862.9436641541615</v>
      </c>
    </row>
    <row r="21" spans="1:14" s="17" customFormat="1">
      <c r="A21" s="16">
        <v>44469</v>
      </c>
      <c r="B21" s="33">
        <f>'CC on investment BU 110'!B21+'CC on investment BU 117'!B21+'CC on investment BU 180'!B21</f>
        <v>2862000.77</v>
      </c>
      <c r="C21" s="33">
        <f>'NERCAMRT - Depreciation'!S59</f>
        <v>-47442.941032258059</v>
      </c>
      <c r="D21" s="33">
        <f t="shared" si="0"/>
        <v>2814557.8289677422</v>
      </c>
      <c r="E21" s="32">
        <f t="shared" si="1"/>
        <v>591057.14408322587</v>
      </c>
      <c r="F21" s="29">
        <f t="shared" si="2"/>
        <v>2223500.6848845165</v>
      </c>
      <c r="G21" s="1">
        <v>0.98499999999999999</v>
      </c>
      <c r="H21" s="2">
        <f t="shared" si="3"/>
        <v>2190148.1746112485</v>
      </c>
      <c r="I21" s="19">
        <v>7.6200000000000004E-2</v>
      </c>
      <c r="J21" s="19">
        <v>3.8300000000000001E-2</v>
      </c>
      <c r="K21" s="20">
        <f t="shared" si="4"/>
        <v>3.7900000000000003E-2</v>
      </c>
      <c r="L21" s="6">
        <f t="shared" si="5"/>
        <v>13907.440908781429</v>
      </c>
      <c r="M21" s="7">
        <f t="shared" si="6"/>
        <v>6990.2229239675689</v>
      </c>
      <c r="N21" s="8">
        <f t="shared" si="7"/>
        <v>6917.2179848138612</v>
      </c>
    </row>
    <row r="22" spans="1:14" s="17" customFormat="1">
      <c r="A22" s="16">
        <v>44500</v>
      </c>
      <c r="B22" s="33">
        <f>'CC on investment BU 110'!B22+'CC on investment BU 117'!B22+'CC on investment BU 180'!B22</f>
        <v>2936716.91</v>
      </c>
      <c r="C22" s="33">
        <f>'NERCAMRT - Depreciation'!S60</f>
        <v>-53077.926365591389</v>
      </c>
      <c r="D22" s="33">
        <f t="shared" si="0"/>
        <v>2883638.9836344086</v>
      </c>
      <c r="E22" s="32">
        <f t="shared" si="1"/>
        <v>605564.18656322581</v>
      </c>
      <c r="F22" s="29">
        <f t="shared" si="2"/>
        <v>2278074.7970711826</v>
      </c>
      <c r="G22" s="1">
        <v>0.98499999999999999</v>
      </c>
      <c r="H22" s="2">
        <f t="shared" si="3"/>
        <v>2243903.675115115</v>
      </c>
      <c r="I22" s="19">
        <v>7.6200000000000004E-2</v>
      </c>
      <c r="J22" s="19">
        <v>3.8300000000000001E-2</v>
      </c>
      <c r="K22" s="20">
        <f t="shared" si="4"/>
        <v>3.7900000000000003E-2</v>
      </c>
      <c r="L22" s="6">
        <f t="shared" si="5"/>
        <v>14248.788336980981</v>
      </c>
      <c r="M22" s="7">
        <f t="shared" si="6"/>
        <v>7161.7925630757418</v>
      </c>
      <c r="N22" s="8">
        <f t="shared" si="7"/>
        <v>7086.9957739052397</v>
      </c>
    </row>
    <row r="23" spans="1:14" s="17" customFormat="1">
      <c r="A23" s="16">
        <v>44530</v>
      </c>
      <c r="B23" s="33">
        <f>'CC on investment BU 110'!B23+'CC on investment BU 117'!B23+'CC on investment BU 180'!B23</f>
        <v>2981457.4</v>
      </c>
      <c r="C23" s="33">
        <f>'NERCAMRT - Depreciation'!S61</f>
        <v>-58712.91169892472</v>
      </c>
      <c r="D23" s="33">
        <f t="shared" si="0"/>
        <v>2922744.4883010751</v>
      </c>
      <c r="E23" s="32">
        <f t="shared" si="1"/>
        <v>613776.34254322574</v>
      </c>
      <c r="F23" s="29">
        <f t="shared" si="2"/>
        <v>2308968.1457578493</v>
      </c>
      <c r="G23" s="1">
        <v>0.98499999999999999</v>
      </c>
      <c r="H23" s="2">
        <f t="shared" si="3"/>
        <v>2274333.6235714816</v>
      </c>
      <c r="I23" s="19">
        <v>7.6200000000000004E-2</v>
      </c>
      <c r="J23" s="19">
        <v>3.8300000000000001E-2</v>
      </c>
      <c r="K23" s="20">
        <f t="shared" si="4"/>
        <v>3.7900000000000003E-2</v>
      </c>
      <c r="L23" s="6">
        <f t="shared" si="5"/>
        <v>14442.018509678908</v>
      </c>
      <c r="M23" s="7">
        <f t="shared" si="6"/>
        <v>7258.9148152323114</v>
      </c>
      <c r="N23" s="8">
        <f t="shared" si="7"/>
        <v>7183.1036944465959</v>
      </c>
    </row>
    <row r="24" spans="1:14" s="17" customFormat="1">
      <c r="A24" s="16">
        <v>44561</v>
      </c>
      <c r="B24" s="33">
        <f>'CC on investment BU 110'!B24+'CC on investment BU 117'!B24+'CC on investment BU 180'!B24</f>
        <v>3047519.24</v>
      </c>
      <c r="C24" s="33">
        <f>'NERCAMRT - Depreciation'!S62</f>
        <v>-64347.89703225805</v>
      </c>
      <c r="D24" s="33">
        <f t="shared" si="0"/>
        <v>2983171.3429677421</v>
      </c>
      <c r="E24" s="32">
        <f t="shared" si="1"/>
        <v>626465.98202322586</v>
      </c>
      <c r="F24" s="29">
        <f t="shared" si="2"/>
        <v>2356705.360944516</v>
      </c>
      <c r="G24" s="1">
        <v>0.98499999999999999</v>
      </c>
      <c r="H24" s="2">
        <f t="shared" si="3"/>
        <v>2321354.7805303484</v>
      </c>
      <c r="I24" s="19">
        <v>7.6200000000000004E-2</v>
      </c>
      <c r="J24" s="19">
        <v>3.8300000000000001E-2</v>
      </c>
      <c r="K24" s="20">
        <f t="shared" si="4"/>
        <v>3.7900000000000003E-2</v>
      </c>
      <c r="L24" s="6">
        <f t="shared" si="5"/>
        <v>14740.602856367712</v>
      </c>
      <c r="M24" s="7">
        <f t="shared" si="6"/>
        <v>7408.9906745260296</v>
      </c>
      <c r="N24" s="8">
        <f t="shared" si="7"/>
        <v>7331.6121818416841</v>
      </c>
    </row>
    <row r="25" spans="1:14" s="17" customFormat="1">
      <c r="A25" s="16">
        <v>44592</v>
      </c>
      <c r="B25" s="33">
        <f>'CC on investment BU 110'!B25+'CC on investment BU 117'!B25+'CC on investment BU 180'!B25</f>
        <v>3220019.8599999994</v>
      </c>
      <c r="C25" s="33">
        <f>'NERCAMRT - Depreciation'!S64</f>
        <v>-69982.882365591387</v>
      </c>
      <c r="D25" s="33">
        <f t="shared" si="0"/>
        <v>3150036.977634408</v>
      </c>
      <c r="E25" s="32">
        <f t="shared" si="1"/>
        <v>661507.76530322572</v>
      </c>
      <c r="F25" s="29">
        <f t="shared" si="2"/>
        <v>2488529.2123311823</v>
      </c>
      <c r="G25" s="1">
        <v>0.98499999999999999</v>
      </c>
      <c r="H25" s="2">
        <f t="shared" si="3"/>
        <v>2451201.2741462146</v>
      </c>
      <c r="I25" s="19">
        <v>7.6200000000000004E-2</v>
      </c>
      <c r="J25" s="19">
        <v>3.8300000000000001E-2</v>
      </c>
      <c r="K25" s="20">
        <f t="shared" si="4"/>
        <v>3.7900000000000003E-2</v>
      </c>
      <c r="L25" s="6">
        <f t="shared" si="5"/>
        <v>15565.128090828463</v>
      </c>
      <c r="M25" s="7">
        <f t="shared" si="6"/>
        <v>7823.4173999833356</v>
      </c>
      <c r="N25" s="8">
        <f t="shared" si="7"/>
        <v>7741.7106908451278</v>
      </c>
    </row>
    <row r="26" spans="1:14" s="17" customFormat="1">
      <c r="A26" s="16">
        <v>44620</v>
      </c>
      <c r="B26" s="33">
        <f>'CC on investment BU 110'!B26+'CC on investment BU 117'!B26+'CC on investment BU 180'!B26</f>
        <v>3484670.9699999997</v>
      </c>
      <c r="C26" s="33">
        <f>'NERCAMRT - Depreciation'!S65</f>
        <v>-75617.867698924718</v>
      </c>
      <c r="D26" s="33">
        <f t="shared" si="0"/>
        <v>3409053.1023010751</v>
      </c>
      <c r="E26" s="32">
        <f t="shared" si="1"/>
        <v>715901.15148322575</v>
      </c>
      <c r="F26" s="29">
        <f t="shared" si="2"/>
        <v>2693151.9508178495</v>
      </c>
      <c r="G26" s="1">
        <v>0.98499999999999999</v>
      </c>
      <c r="H26" s="2">
        <f t="shared" si="3"/>
        <v>2652754.6715555815</v>
      </c>
      <c r="I26" s="19">
        <v>7.6200000000000004E-2</v>
      </c>
      <c r="J26" s="19">
        <v>3.8300000000000001E-2</v>
      </c>
      <c r="K26" s="20">
        <f t="shared" si="4"/>
        <v>3.7900000000000003E-2</v>
      </c>
      <c r="L26" s="6">
        <f t="shared" si="5"/>
        <v>16844.992164377942</v>
      </c>
      <c r="M26" s="7">
        <f t="shared" si="6"/>
        <v>8466.7086600482307</v>
      </c>
      <c r="N26" s="8">
        <f t="shared" si="7"/>
        <v>8378.2835043297127</v>
      </c>
    </row>
    <row r="27" spans="1:14" s="17" customFormat="1">
      <c r="A27" s="16">
        <v>44651</v>
      </c>
      <c r="B27" s="33">
        <f>'CC on investment BU 110'!B27+'CC on investment BU 117'!B27+'CC on investment BU 180'!B27</f>
        <v>3491499.4899999993</v>
      </c>
      <c r="C27" s="33">
        <f>'NERCAMRT - Depreciation'!S66</f>
        <v>-81252.853032258048</v>
      </c>
      <c r="D27" s="33">
        <f t="shared" si="0"/>
        <v>3410246.6369677414</v>
      </c>
      <c r="E27" s="32">
        <f t="shared" si="1"/>
        <v>716151.79376322567</v>
      </c>
      <c r="F27" s="29">
        <f t="shared" si="2"/>
        <v>2694094.843204516</v>
      </c>
      <c r="G27" s="1">
        <v>0.98499999999999999</v>
      </c>
      <c r="H27" s="2">
        <f t="shared" si="3"/>
        <v>2653683.4205564484</v>
      </c>
      <c r="I27" s="19">
        <v>7.6200000000000004E-2</v>
      </c>
      <c r="J27" s="19">
        <v>3.8300000000000001E-2</v>
      </c>
      <c r="K27" s="20">
        <f t="shared" si="4"/>
        <v>3.7900000000000003E-2</v>
      </c>
      <c r="L27" s="6">
        <f t="shared" si="5"/>
        <v>16850.889720533447</v>
      </c>
      <c r="M27" s="7">
        <f t="shared" si="6"/>
        <v>8469.672917275997</v>
      </c>
      <c r="N27" s="8">
        <f t="shared" si="7"/>
        <v>8381.21680325745</v>
      </c>
    </row>
    <row r="28" spans="1:14" s="17" customFormat="1">
      <c r="A28" s="16">
        <v>44681</v>
      </c>
      <c r="B28" s="33">
        <f>'CC on investment BU 110'!B28+'CC on investment BU 117'!B28+'CC on investment BU 180'!B28</f>
        <v>3526122.2399999993</v>
      </c>
      <c r="C28" s="33">
        <f>'NERCAMRT - Depreciation'!S67</f>
        <v>-86887.838365591379</v>
      </c>
      <c r="D28" s="33">
        <f t="shared" si="0"/>
        <v>3439234.4016344077</v>
      </c>
      <c r="E28" s="32">
        <f t="shared" si="1"/>
        <v>722239.22434322559</v>
      </c>
      <c r="F28" s="29">
        <f t="shared" si="2"/>
        <v>2716995.1772911819</v>
      </c>
      <c r="G28" s="1">
        <v>0.98499999999999999</v>
      </c>
      <c r="H28" s="2">
        <f t="shared" si="3"/>
        <v>2676240.2496318142</v>
      </c>
      <c r="I28" s="19">
        <v>7.6200000000000004E-2</v>
      </c>
      <c r="J28" s="19">
        <v>3.8300000000000001E-2</v>
      </c>
      <c r="K28" s="20">
        <f t="shared" si="4"/>
        <v>3.7900000000000003E-2</v>
      </c>
      <c r="L28" s="6">
        <f t="shared" si="5"/>
        <v>16994.125585162019</v>
      </c>
      <c r="M28" s="7">
        <f t="shared" si="6"/>
        <v>8541.6667967415397</v>
      </c>
      <c r="N28" s="8">
        <f t="shared" si="7"/>
        <v>8452.4587884204793</v>
      </c>
    </row>
    <row r="29" spans="1:14" s="17" customFormat="1">
      <c r="A29" s="16">
        <v>44712</v>
      </c>
      <c r="B29" s="33">
        <f>'CC on investment BU 110'!B29+'CC on investment BU 117'!B29+'CC on investment BU 180'!B29</f>
        <v>3539204.6700000004</v>
      </c>
      <c r="C29" s="33">
        <f>'NERCAMRT - Depreciation'!S68</f>
        <v>-92522.823698924709</v>
      </c>
      <c r="D29" s="33">
        <f t="shared" si="0"/>
        <v>3446681.8463010755</v>
      </c>
      <c r="E29" s="32">
        <f t="shared" si="1"/>
        <v>723803.1877232258</v>
      </c>
      <c r="F29" s="29">
        <f t="shared" si="2"/>
        <v>2722878.6585778496</v>
      </c>
      <c r="G29" s="1">
        <v>0.98499999999999999</v>
      </c>
      <c r="H29" s="2">
        <f t="shared" si="3"/>
        <v>2682035.4786991817</v>
      </c>
      <c r="I29" s="19">
        <v>7.6200000000000004E-2</v>
      </c>
      <c r="J29" s="19">
        <v>3.8300000000000001E-2</v>
      </c>
      <c r="K29" s="20">
        <f t="shared" si="4"/>
        <v>3.7900000000000003E-2</v>
      </c>
      <c r="L29" s="6">
        <f t="shared" si="5"/>
        <v>17030.925289739804</v>
      </c>
      <c r="M29" s="7">
        <f t="shared" si="6"/>
        <v>8560.1632361815555</v>
      </c>
      <c r="N29" s="8">
        <f t="shared" si="7"/>
        <v>8470.76205355825</v>
      </c>
    </row>
    <row r="30" spans="1:14" s="17" customFormat="1">
      <c r="A30" s="16">
        <v>44742</v>
      </c>
      <c r="B30" s="33">
        <f>'CC on investment BU 110'!B30+'CC on investment BU 117'!B30+'CC on investment BU 180'!B30</f>
        <v>3555043.63</v>
      </c>
      <c r="C30" s="33">
        <f>'NERCAMRT - Depreciation'!S69</f>
        <v>-98157.809032258039</v>
      </c>
      <c r="D30" s="33">
        <f t="shared" si="0"/>
        <v>3456885.8209677418</v>
      </c>
      <c r="E30" s="32">
        <f t="shared" si="1"/>
        <v>725946.02240322577</v>
      </c>
      <c r="F30" s="29">
        <f t="shared" si="2"/>
        <v>2730939.798564516</v>
      </c>
      <c r="G30" s="1">
        <v>0.98499999999999999</v>
      </c>
      <c r="H30" s="2">
        <f t="shared" si="3"/>
        <v>2689975.7015860481</v>
      </c>
      <c r="I30" s="19">
        <v>7.6200000000000004E-2</v>
      </c>
      <c r="J30" s="19">
        <v>3.8300000000000001E-2</v>
      </c>
      <c r="K30" s="20">
        <f t="shared" si="4"/>
        <v>3.7900000000000003E-2</v>
      </c>
      <c r="L30" s="6">
        <f t="shared" si="5"/>
        <v>17081.345705071406</v>
      </c>
      <c r="M30" s="7">
        <f t="shared" si="6"/>
        <v>8585.5057808954716</v>
      </c>
      <c r="N30" s="8">
        <f t="shared" si="7"/>
        <v>8495.8399241759362</v>
      </c>
    </row>
    <row r="31" spans="1:14" s="17" customFormat="1">
      <c r="A31" s="16">
        <v>44773</v>
      </c>
      <c r="B31" s="33">
        <f>'CC on investment BU 110'!B31+'CC on investment BU 117'!B31+'CC on investment BU 180'!B31</f>
        <v>3601498.59</v>
      </c>
      <c r="C31" s="33">
        <f>'NERCAMRT - Depreciation'!S70</f>
        <v>-103792.79436559137</v>
      </c>
      <c r="D31" s="33">
        <f t="shared" si="0"/>
        <v>3497705.7956344085</v>
      </c>
      <c r="E31" s="32">
        <f t="shared" si="1"/>
        <v>734518.21708322573</v>
      </c>
      <c r="F31" s="29">
        <f t="shared" si="2"/>
        <v>2763187.5785511825</v>
      </c>
      <c r="G31" s="1">
        <v>0.98499999999999999</v>
      </c>
      <c r="H31" s="2">
        <f t="shared" si="3"/>
        <v>2721739.7648729146</v>
      </c>
      <c r="I31" s="19">
        <v>7.6200000000000004E-2</v>
      </c>
      <c r="J31" s="19">
        <v>3.8300000000000001E-2</v>
      </c>
      <c r="K31" s="20">
        <f t="shared" si="4"/>
        <v>3.7900000000000003E-2</v>
      </c>
      <c r="L31" s="6">
        <f t="shared" si="5"/>
        <v>17283.047506943007</v>
      </c>
      <c r="M31" s="7">
        <f t="shared" si="6"/>
        <v>8686.8860828860525</v>
      </c>
      <c r="N31" s="8">
        <f t="shared" si="7"/>
        <v>8596.1614240569561</v>
      </c>
    </row>
    <row r="32" spans="1:14" s="17" customFormat="1">
      <c r="A32" s="16">
        <v>44804</v>
      </c>
      <c r="B32" s="33">
        <f>'CC on investment BU 110'!B32+'CC on investment BU 117'!B32+'CC on investment BU 180'!B32</f>
        <v>3622904.02</v>
      </c>
      <c r="C32" s="33">
        <f>'NERCAMRT - Depreciation'!S71</f>
        <v>-109427.7796989247</v>
      </c>
      <c r="D32" s="33">
        <f t="shared" si="0"/>
        <v>3513476.2403010754</v>
      </c>
      <c r="E32" s="32">
        <f t="shared" si="1"/>
        <v>737830.01046322577</v>
      </c>
      <c r="F32" s="29">
        <f t="shared" si="2"/>
        <v>2775646.2298378497</v>
      </c>
      <c r="G32" s="1">
        <v>0.98499999999999999</v>
      </c>
      <c r="H32" s="2">
        <f t="shared" si="3"/>
        <v>2734011.5363902817</v>
      </c>
      <c r="I32" s="19">
        <v>7.6200000000000004E-2</v>
      </c>
      <c r="J32" s="19">
        <v>3.8300000000000001E-2</v>
      </c>
      <c r="K32" s="20">
        <f t="shared" si="4"/>
        <v>3.7900000000000003E-2</v>
      </c>
      <c r="L32" s="6">
        <f t="shared" si="5"/>
        <v>17360.97325607829</v>
      </c>
      <c r="M32" s="7">
        <f t="shared" si="6"/>
        <v>8726.0534869789826</v>
      </c>
      <c r="N32" s="8">
        <f t="shared" si="7"/>
        <v>8634.9197690993078</v>
      </c>
    </row>
    <row r="33" spans="1:14" s="17" customFormat="1">
      <c r="A33" s="16">
        <v>44834</v>
      </c>
      <c r="B33" s="33">
        <f>'CC on investment BU 110'!B33+'CC on investment BU 117'!B33+'CC on investment BU 180'!B33</f>
        <v>3649930.5799999996</v>
      </c>
      <c r="C33" s="33">
        <f>'NERCAMRT - Depreciation'!S72</f>
        <v>-115062.76503225803</v>
      </c>
      <c r="D33" s="33">
        <f t="shared" si="0"/>
        <v>3534867.8149677417</v>
      </c>
      <c r="E33" s="32">
        <f t="shared" si="1"/>
        <v>742322.24114322569</v>
      </c>
      <c r="F33" s="29">
        <f t="shared" si="2"/>
        <v>2792545.573824516</v>
      </c>
      <c r="G33" s="1">
        <v>0.98499999999999999</v>
      </c>
      <c r="H33" s="2">
        <f t="shared" si="3"/>
        <v>2750657.3902171482</v>
      </c>
      <c r="I33" s="19">
        <v>7.6200000000000004E-2</v>
      </c>
      <c r="J33" s="19">
        <v>3.8300000000000001E-2</v>
      </c>
      <c r="K33" s="20">
        <f t="shared" si="4"/>
        <v>3.7900000000000003E-2</v>
      </c>
      <c r="L33" s="6">
        <f t="shared" si="5"/>
        <v>17466.674427878894</v>
      </c>
      <c r="M33" s="7">
        <f t="shared" si="6"/>
        <v>8779.1815037763972</v>
      </c>
      <c r="N33" s="8">
        <f t="shared" si="7"/>
        <v>8687.4929241024929</v>
      </c>
    </row>
    <row r="34" spans="1:14" s="17" customFormat="1">
      <c r="A34" s="16">
        <v>44865</v>
      </c>
      <c r="B34" s="33">
        <f>'CC on investment BU 110'!B34+'CC on investment BU 117'!B34+'CC on investment BU 180'!B34</f>
        <v>3682770.79</v>
      </c>
      <c r="C34" s="33">
        <f>'NERCAMRT - Depreciation'!S73</f>
        <v>-120697.75036559136</v>
      </c>
      <c r="D34" s="33">
        <f t="shared" si="0"/>
        <v>3562073.0396344089</v>
      </c>
      <c r="E34" s="32">
        <f t="shared" si="1"/>
        <v>748035.33832322585</v>
      </c>
      <c r="F34" s="29">
        <f t="shared" si="2"/>
        <v>2814037.7013111832</v>
      </c>
      <c r="G34" s="1">
        <v>0.98499999999999999</v>
      </c>
      <c r="H34" s="2">
        <f t="shared" si="3"/>
        <v>2771827.1357915155</v>
      </c>
      <c r="I34" s="19">
        <v>7.6200000000000004E-2</v>
      </c>
      <c r="J34" s="19">
        <v>3.8300000000000001E-2</v>
      </c>
      <c r="K34" s="20">
        <f t="shared" si="4"/>
        <v>3.7900000000000003E-2</v>
      </c>
      <c r="L34" s="6">
        <f t="shared" si="5"/>
        <v>17601.102312276125</v>
      </c>
      <c r="M34" s="7">
        <f t="shared" si="6"/>
        <v>8846.748275067921</v>
      </c>
      <c r="N34" s="8">
        <f t="shared" si="7"/>
        <v>8754.3540372082043</v>
      </c>
    </row>
    <row r="35" spans="1:14" s="17" customFormat="1">
      <c r="A35" s="16">
        <v>44895</v>
      </c>
      <c r="B35" s="33">
        <f>'CC on investment BU 110'!B35+'CC on investment BU 117'!B35+'CC on investment BU 180'!B35</f>
        <v>3722880.26</v>
      </c>
      <c r="C35" s="33">
        <f>'NERCAMRT - Depreciation'!S74</f>
        <v>-126332.73569892469</v>
      </c>
      <c r="D35" s="33">
        <f t="shared" si="0"/>
        <v>3596547.5243010749</v>
      </c>
      <c r="E35" s="32">
        <f t="shared" si="1"/>
        <v>755274.98010322568</v>
      </c>
      <c r="F35" s="29">
        <f t="shared" si="2"/>
        <v>2841272.544197849</v>
      </c>
      <c r="G35" s="1">
        <v>0.98499999999999999</v>
      </c>
      <c r="H35" s="2">
        <f t="shared" si="3"/>
        <v>2798653.4560348811</v>
      </c>
      <c r="I35" s="19">
        <v>7.6200000000000004E-2</v>
      </c>
      <c r="J35" s="19">
        <v>3.8300000000000001E-2</v>
      </c>
      <c r="K35" s="20">
        <f t="shared" si="4"/>
        <v>3.7900000000000003E-2</v>
      </c>
      <c r="L35" s="6">
        <f t="shared" si="5"/>
        <v>17771.449445821494</v>
      </c>
      <c r="M35" s="7">
        <f t="shared" si="6"/>
        <v>8932.3689471779962</v>
      </c>
      <c r="N35" s="8">
        <f t="shared" si="7"/>
        <v>8839.0804986434996</v>
      </c>
    </row>
    <row r="36" spans="1:14" s="17" customFormat="1">
      <c r="A36" s="16">
        <v>44926</v>
      </c>
      <c r="B36" s="33">
        <f>'CC on investment BU 110'!B36+'CC on investment BU 117'!B36+'CC on investment BU 180'!B36</f>
        <v>3740126.57</v>
      </c>
      <c r="C36" s="33">
        <f>'NERCAMRT - Depreciation'!S75</f>
        <v>-131967.72103225804</v>
      </c>
      <c r="D36" s="33">
        <f t="shared" si="0"/>
        <v>3608158.8489677417</v>
      </c>
      <c r="E36" s="32">
        <f t="shared" si="1"/>
        <v>757713.35828322568</v>
      </c>
      <c r="F36" s="29">
        <f t="shared" si="2"/>
        <v>2850445.4906845158</v>
      </c>
      <c r="G36" s="1">
        <v>0.98499999999999999</v>
      </c>
      <c r="H36" s="2">
        <f t="shared" si="3"/>
        <v>2807688.8083242481</v>
      </c>
      <c r="I36" s="19">
        <v>7.6200000000000004E-2</v>
      </c>
      <c r="J36" s="19">
        <v>3.8300000000000001E-2</v>
      </c>
      <c r="K36" s="20">
        <f t="shared" si="4"/>
        <v>3.7900000000000003E-2</v>
      </c>
      <c r="L36" s="6">
        <f t="shared" si="5"/>
        <v>17828.823932858977</v>
      </c>
      <c r="M36" s="7">
        <f t="shared" si="6"/>
        <v>8961.2067799015585</v>
      </c>
      <c r="N36" s="8">
        <f t="shared" si="7"/>
        <v>8867.6171529574185</v>
      </c>
    </row>
    <row r="37" spans="1:14" s="17" customFormat="1">
      <c r="A37" s="16">
        <v>44957</v>
      </c>
      <c r="B37" s="33">
        <f>'CC on investment BU 110'!B37+'CC on investment BU 117'!B37+'CC on investment BU 180'!B37</f>
        <v>3754233.88</v>
      </c>
      <c r="C37" s="33">
        <f>'NERCAMRT - Depreciation'!S77</f>
        <v>-137602.70636559138</v>
      </c>
      <c r="D37" s="33">
        <f t="shared" si="0"/>
        <v>3616631.1736344085</v>
      </c>
      <c r="E37" s="32">
        <f t="shared" si="1"/>
        <v>759492.54646322574</v>
      </c>
      <c r="F37" s="29">
        <f t="shared" si="2"/>
        <v>2857138.627171183</v>
      </c>
      <c r="G37" s="1">
        <v>0.98499999999999999</v>
      </c>
      <c r="H37" s="2">
        <f t="shared" si="3"/>
        <v>2814281.5477636154</v>
      </c>
      <c r="I37" s="19">
        <v>7.6200000000000004E-2</v>
      </c>
      <c r="J37" s="19">
        <v>3.8300000000000001E-2</v>
      </c>
      <c r="K37" s="20">
        <f t="shared" si="4"/>
        <v>3.7900000000000003E-2</v>
      </c>
      <c r="L37" s="6">
        <f t="shared" si="5"/>
        <v>17870.68782829896</v>
      </c>
      <c r="M37" s="7">
        <f t="shared" si="6"/>
        <v>8982.2486066122055</v>
      </c>
      <c r="N37" s="8">
        <f t="shared" si="7"/>
        <v>8888.4392216867527</v>
      </c>
    </row>
    <row r="38" spans="1:14" s="17" customFormat="1">
      <c r="A38" s="16">
        <v>44985</v>
      </c>
      <c r="B38" s="33">
        <f>'CC on investment BU 110'!B38+'CC on investment BU 117'!B38+'CC on investment BU 180'!B38</f>
        <v>3828072.8</v>
      </c>
      <c r="C38" s="33">
        <f>'NERCAMRT - Depreciation'!S78</f>
        <v>-143237.69169892473</v>
      </c>
      <c r="D38" s="33">
        <f t="shared" si="0"/>
        <v>3684835.1083010752</v>
      </c>
      <c r="E38" s="32">
        <f t="shared" si="1"/>
        <v>773815.37274322577</v>
      </c>
      <c r="F38" s="29">
        <f t="shared" si="2"/>
        <v>2911019.7355578495</v>
      </c>
      <c r="G38" s="1">
        <v>0.98499999999999999</v>
      </c>
      <c r="H38" s="2">
        <f t="shared" si="3"/>
        <v>2867354.4395244815</v>
      </c>
      <c r="I38" s="19">
        <v>7.6200000000000004E-2</v>
      </c>
      <c r="J38" s="19">
        <v>3.8300000000000001E-2</v>
      </c>
      <c r="K38" s="20">
        <f t="shared" si="4"/>
        <v>3.7900000000000003E-2</v>
      </c>
      <c r="L38" s="6">
        <f t="shared" si="5"/>
        <v>18207.700690980459</v>
      </c>
      <c r="M38" s="7">
        <f t="shared" si="6"/>
        <v>9151.6395861489709</v>
      </c>
      <c r="N38" s="8">
        <f t="shared" si="7"/>
        <v>9056.0611048314877</v>
      </c>
    </row>
    <row r="39" spans="1:14" s="17" customFormat="1">
      <c r="A39" s="16">
        <v>45016</v>
      </c>
      <c r="B39" s="33">
        <f>'CC on investment BU 110'!B39+'CC on investment BU 117'!B39+'CC on investment BU 180'!B39</f>
        <v>3843227.19</v>
      </c>
      <c r="C39" s="33">
        <f>'NERCAMRT - Depreciation'!S79</f>
        <v>-148872.67703225807</v>
      </c>
      <c r="D39" s="33">
        <f t="shared" si="0"/>
        <v>3694354.512967742</v>
      </c>
      <c r="E39" s="32">
        <f t="shared" si="1"/>
        <v>775814.44772322581</v>
      </c>
      <c r="F39" s="29">
        <f t="shared" si="2"/>
        <v>2918540.0652445164</v>
      </c>
      <c r="G39" s="1">
        <v>0.98499999999999999</v>
      </c>
      <c r="H39" s="2">
        <f t="shared" si="3"/>
        <v>2874761.9642658485</v>
      </c>
      <c r="I39" s="19">
        <v>7.6200000000000004E-2</v>
      </c>
      <c r="J39" s="19">
        <v>3.8300000000000001E-2</v>
      </c>
      <c r="K39" s="20">
        <f t="shared" si="4"/>
        <v>3.7900000000000003E-2</v>
      </c>
      <c r="L39" s="6">
        <f t="shared" si="5"/>
        <v>18254.738473088139</v>
      </c>
      <c r="M39" s="7">
        <f t="shared" si="6"/>
        <v>9175.2819359485002</v>
      </c>
      <c r="N39" s="8">
        <f t="shared" si="7"/>
        <v>9079.4565371396384</v>
      </c>
    </row>
    <row r="40" spans="1:14" s="17" customFormat="1">
      <c r="A40" s="16">
        <v>45046</v>
      </c>
      <c r="B40" s="33">
        <f>'CC on investment BU 110'!B40+'CC on investment BU 117'!B40+'CC on investment BU 180'!B40</f>
        <v>3854001.81</v>
      </c>
      <c r="C40" s="33">
        <f>'NERCAMRT - Depreciation'!S80</f>
        <v>-154507.66236559142</v>
      </c>
      <c r="D40" s="33">
        <f t="shared" si="0"/>
        <v>3699494.1476344084</v>
      </c>
      <c r="E40" s="32">
        <f t="shared" si="1"/>
        <v>776893.7710032257</v>
      </c>
      <c r="F40" s="29">
        <f t="shared" si="2"/>
        <v>2922600.3766311826</v>
      </c>
      <c r="G40" s="1">
        <v>0.98499999999999999</v>
      </c>
      <c r="H40" s="2">
        <f t="shared" si="3"/>
        <v>2878761.3709817147</v>
      </c>
      <c r="I40" s="19">
        <v>7.6200000000000004E-2</v>
      </c>
      <c r="J40" s="19">
        <v>3.8300000000000001E-2</v>
      </c>
      <c r="K40" s="20">
        <f t="shared" si="4"/>
        <v>3.7900000000000003E-2</v>
      </c>
      <c r="L40" s="108">
        <f t="shared" si="5"/>
        <v>18280.13470573389</v>
      </c>
      <c r="M40" s="7">
        <f t="shared" si="6"/>
        <v>9188.0467090499733</v>
      </c>
      <c r="N40" s="8">
        <f t="shared" si="7"/>
        <v>9092.0879966839166</v>
      </c>
    </row>
    <row r="41" spans="1:14" s="17" customFormat="1">
      <c r="A41" s="16">
        <v>45077</v>
      </c>
      <c r="B41" s="33">
        <f>'CC on investment BU 110'!B41+'CC on investment BU 117'!B41+'CC on investment BU 180'!B41</f>
        <v>3867498.0000000005</v>
      </c>
      <c r="C41" s="33">
        <f>'NERCAMRT - Depreciation'!S81</f>
        <v>-160142.64769892476</v>
      </c>
      <c r="D41" s="33">
        <f t="shared" si="0"/>
        <v>3707355.3523010756</v>
      </c>
      <c r="E41" s="32">
        <f t="shared" si="1"/>
        <v>778544.6239832259</v>
      </c>
      <c r="F41" s="29">
        <f t="shared" si="2"/>
        <v>2928810.7283178498</v>
      </c>
      <c r="G41" s="1">
        <v>0.98499999999999999</v>
      </c>
      <c r="H41" s="2">
        <f t="shared" si="3"/>
        <v>2884878.5673930822</v>
      </c>
      <c r="I41" s="19">
        <v>7.6200000000000004E-2</v>
      </c>
      <c r="J41" s="19">
        <v>3.8300000000000001E-2</v>
      </c>
      <c r="K41" s="20">
        <f t="shared" si="4"/>
        <v>3.7900000000000003E-2</v>
      </c>
      <c r="L41" s="108">
        <f t="shared" si="5"/>
        <v>18318.978902946074</v>
      </c>
      <c r="M41" s="7">
        <f t="shared" si="6"/>
        <v>9207.5707609295878</v>
      </c>
      <c r="N41" s="8">
        <f t="shared" si="7"/>
        <v>9111.4081420164857</v>
      </c>
    </row>
    <row r="42" spans="1:14" s="17" customFormat="1">
      <c r="A42" s="16">
        <v>45107</v>
      </c>
      <c r="B42" s="33">
        <f>'CC on investment BU 110'!B42+'CC on investment BU 117'!B42+'CC on investment BU 180'!B42</f>
        <v>3880928.24</v>
      </c>
      <c r="C42" s="33">
        <f>'NERCAMRT - Depreciation'!S82</f>
        <v>-165777.63303225811</v>
      </c>
      <c r="D42" s="33">
        <f t="shared" si="0"/>
        <v>3715150.6069677421</v>
      </c>
      <c r="E42" s="32">
        <f t="shared" si="1"/>
        <v>780181.62746322586</v>
      </c>
      <c r="F42" s="29">
        <f t="shared" si="2"/>
        <v>2934968.9795045163</v>
      </c>
      <c r="G42" s="1">
        <v>0.98499999999999999</v>
      </c>
      <c r="H42" s="2">
        <f t="shared" si="3"/>
        <v>2890944.4448119486</v>
      </c>
      <c r="I42" s="19">
        <v>7.6200000000000004E-2</v>
      </c>
      <c r="J42" s="19">
        <v>3.8300000000000001E-2</v>
      </c>
      <c r="K42" s="20">
        <f t="shared" si="4"/>
        <v>3.7900000000000003E-2</v>
      </c>
      <c r="L42" s="108">
        <f t="shared" si="5"/>
        <v>18357.497224555875</v>
      </c>
      <c r="M42" s="7">
        <f t="shared" si="6"/>
        <v>9226.9310196914685</v>
      </c>
      <c r="N42" s="8">
        <f t="shared" si="7"/>
        <v>9130.5662048644044</v>
      </c>
    </row>
    <row r="43" spans="1:14" s="17" customFormat="1">
      <c r="A43" s="16">
        <v>45138</v>
      </c>
      <c r="B43" s="33">
        <f>'CC on investment BU 110'!B43+'CC on investment BU 117'!B43+'CC on investment BU 180'!B43</f>
        <v>3890038.34</v>
      </c>
      <c r="C43" s="33">
        <f>'NERCAMRT - Depreciation'!S83</f>
        <v>-171412.61836559145</v>
      </c>
      <c r="D43" s="33">
        <f t="shared" si="0"/>
        <v>3718625.7216344085</v>
      </c>
      <c r="E43" s="32">
        <f t="shared" si="1"/>
        <v>780911.40154322574</v>
      </c>
      <c r="F43" s="29">
        <f t="shared" si="2"/>
        <v>2937714.3200911828</v>
      </c>
      <c r="G43" s="1">
        <v>0.98499999999999999</v>
      </c>
      <c r="H43" s="2">
        <f t="shared" si="3"/>
        <v>2893648.605289815</v>
      </c>
      <c r="I43" s="19">
        <v>7.6200000000000004E-2</v>
      </c>
      <c r="J43" s="19">
        <v>3.8300000000000001E-2</v>
      </c>
      <c r="K43" s="20">
        <f t="shared" si="4"/>
        <v>3.7900000000000003E-2</v>
      </c>
      <c r="L43" s="108">
        <f t="shared" si="5"/>
        <v>18374.668643590328</v>
      </c>
      <c r="M43" s="7">
        <f t="shared" si="6"/>
        <v>9235.5617985499939</v>
      </c>
      <c r="N43" s="8">
        <f t="shared" si="7"/>
        <v>9139.1068450403327</v>
      </c>
    </row>
    <row r="44" spans="1:14" s="17" customFormat="1">
      <c r="A44" s="16">
        <v>45169</v>
      </c>
      <c r="B44" s="33">
        <f>'CC on investment BU 110'!B44+'CC on investment BU 117'!B44+'CC on investment BU 180'!B44</f>
        <v>3904573.7</v>
      </c>
      <c r="C44" s="33">
        <f>'NERCAMRT - Depreciation'!S84</f>
        <v>-177047.6036989248</v>
      </c>
      <c r="D44" s="33">
        <f t="shared" si="0"/>
        <v>3727526.0963010755</v>
      </c>
      <c r="E44" s="32">
        <f t="shared" si="1"/>
        <v>782780.48022322578</v>
      </c>
      <c r="F44" s="29">
        <f t="shared" si="2"/>
        <v>2944745.6160778496</v>
      </c>
      <c r="G44" s="1">
        <v>0.98499999999999999</v>
      </c>
      <c r="H44" s="2">
        <f t="shared" si="3"/>
        <v>2900574.4318366819</v>
      </c>
      <c r="I44" s="19">
        <v>7.6200000000000004E-2</v>
      </c>
      <c r="J44" s="19">
        <v>3.8300000000000001E-2</v>
      </c>
      <c r="K44" s="20">
        <f t="shared" si="4"/>
        <v>3.7900000000000003E-2</v>
      </c>
      <c r="L44" s="108">
        <f t="shared" si="5"/>
        <v>18418.64764216293</v>
      </c>
      <c r="M44" s="7">
        <f t="shared" si="6"/>
        <v>9257.6667282787439</v>
      </c>
      <c r="N44" s="8">
        <f t="shared" si="7"/>
        <v>9160.9809138841883</v>
      </c>
    </row>
    <row r="45" spans="1:14" s="17" customFormat="1">
      <c r="A45" s="16">
        <v>45199</v>
      </c>
      <c r="B45" s="33">
        <f>'CC on investment BU 110'!B45+'CC on investment BU 117'!B45+'CC on investment BU 180'!B45</f>
        <v>3917856.29</v>
      </c>
      <c r="C45" s="33">
        <f>'NERCAMRT - Depreciation'!S85</f>
        <v>-182682.58903225814</v>
      </c>
      <c r="D45" s="33">
        <f t="shared" si="0"/>
        <v>3735173.7009677421</v>
      </c>
      <c r="E45" s="32">
        <f t="shared" si="1"/>
        <v>784386.47720322583</v>
      </c>
      <c r="F45" s="29">
        <f t="shared" si="2"/>
        <v>2950787.2237645164</v>
      </c>
      <c r="G45" s="1">
        <v>0.98499999999999999</v>
      </c>
      <c r="H45" s="2">
        <f t="shared" si="3"/>
        <v>2906525.4154080488</v>
      </c>
      <c r="I45" s="19">
        <v>7.6200000000000004E-2</v>
      </c>
      <c r="J45" s="19">
        <v>3.8300000000000001E-2</v>
      </c>
      <c r="K45" s="20">
        <f t="shared" si="4"/>
        <v>3.7900000000000003E-2</v>
      </c>
      <c r="L45" s="108">
        <f t="shared" si="5"/>
        <v>18456.43638784111</v>
      </c>
      <c r="M45" s="7">
        <f t="shared" si="6"/>
        <v>9276.6602841773547</v>
      </c>
      <c r="N45" s="8">
        <f t="shared" si="7"/>
        <v>9179.7761036637548</v>
      </c>
    </row>
    <row r="46" spans="1:14" s="17" customFormat="1">
      <c r="A46" s="16">
        <v>45230</v>
      </c>
      <c r="B46" s="33">
        <f>'CC on investment BU 110'!B46+'CC on investment BU 117'!B46+'CC on investment BU 180'!B46</f>
        <v>3932984.41</v>
      </c>
      <c r="C46" s="33">
        <f>'NERCAMRT - Depreciation'!S86</f>
        <v>-188317.57436559148</v>
      </c>
      <c r="D46" s="33">
        <f t="shared" si="0"/>
        <v>3744666.8356344085</v>
      </c>
      <c r="E46" s="32">
        <f t="shared" si="1"/>
        <v>786380.03548322571</v>
      </c>
      <c r="F46" s="29">
        <f t="shared" si="2"/>
        <v>2958286.8001511828</v>
      </c>
      <c r="G46" s="1">
        <v>0.98499999999999999</v>
      </c>
      <c r="H46" s="2">
        <f t="shared" si="3"/>
        <v>2913912.4981489149</v>
      </c>
      <c r="I46" s="19">
        <v>7.6200000000000004E-2</v>
      </c>
      <c r="J46" s="19">
        <v>3.8300000000000001E-2</v>
      </c>
      <c r="K46" s="20">
        <f t="shared" si="4"/>
        <v>3.7900000000000003E-2</v>
      </c>
      <c r="L46" s="108">
        <f t="shared" si="5"/>
        <v>18503.344363245611</v>
      </c>
      <c r="M46" s="7">
        <f t="shared" si="6"/>
        <v>9300.2373899252871</v>
      </c>
      <c r="N46" s="8">
        <f t="shared" si="7"/>
        <v>9203.106973320324</v>
      </c>
    </row>
    <row r="47" spans="1:14" s="17" customFormat="1">
      <c r="A47" s="16">
        <v>45260</v>
      </c>
      <c r="B47" s="33">
        <f>'CC on investment BU 110'!B47+'CC on investment BU 117'!B47+'CC on investment BU 180'!B47</f>
        <v>3924936.7700000005</v>
      </c>
      <c r="C47" s="33">
        <f>'NERCAMRT - Depreciation'!S87</f>
        <v>-193952.55969892483</v>
      </c>
      <c r="D47" s="33">
        <f t="shared" si="0"/>
        <v>3730984.2103010756</v>
      </c>
      <c r="E47" s="32">
        <f t="shared" si="1"/>
        <v>783506.68416322581</v>
      </c>
      <c r="F47" s="29">
        <f t="shared" si="2"/>
        <v>2947477.5261378498</v>
      </c>
      <c r="G47" s="1">
        <v>0.98499999999999999</v>
      </c>
      <c r="H47" s="2">
        <f t="shared" si="3"/>
        <v>2903265.363245782</v>
      </c>
      <c r="I47" s="19">
        <v>7.6200000000000004E-2</v>
      </c>
      <c r="J47" s="19">
        <v>3.8300000000000001E-2</v>
      </c>
      <c r="K47" s="20">
        <f t="shared" si="4"/>
        <v>3.7900000000000003E-2</v>
      </c>
      <c r="L47" s="108">
        <f t="shared" si="5"/>
        <v>18435.735056610716</v>
      </c>
      <c r="M47" s="7">
        <f t="shared" si="6"/>
        <v>9266.2552843594549</v>
      </c>
      <c r="N47" s="8">
        <f t="shared" si="7"/>
        <v>9169.4797722512612</v>
      </c>
    </row>
    <row r="48" spans="1:14" s="17" customFormat="1">
      <c r="A48" s="16">
        <v>45291</v>
      </c>
      <c r="B48" s="33">
        <f>'CC on investment BU 110'!B48+'CC on investment BU 117'!B48+'CC on investment BU 180'!B48</f>
        <v>3949431</v>
      </c>
      <c r="C48" s="33">
        <f>'NERCAMRT - Depreciation'!S88</f>
        <v>-199587.54503225817</v>
      </c>
      <c r="D48" s="33">
        <f t="shared" si="0"/>
        <v>3749843.4549677419</v>
      </c>
      <c r="E48" s="32">
        <f t="shared" si="1"/>
        <v>787467.12554322579</v>
      </c>
      <c r="F48" s="111">
        <f t="shared" si="2"/>
        <v>2962376.3294245163</v>
      </c>
      <c r="G48" s="17">
        <v>0.98499999999999999</v>
      </c>
      <c r="H48" s="32">
        <f t="shared" si="3"/>
        <v>2917940.6844831486</v>
      </c>
      <c r="I48" s="20">
        <v>7.6200000000000004E-2</v>
      </c>
      <c r="J48" s="20">
        <v>3.8300000000000001E-2</v>
      </c>
      <c r="K48" s="20">
        <f t="shared" si="4"/>
        <v>3.7900000000000003E-2</v>
      </c>
      <c r="L48" s="108">
        <f t="shared" si="5"/>
        <v>18528.923346467996</v>
      </c>
      <c r="M48" s="7">
        <f t="shared" si="6"/>
        <v>9313.0940179753834</v>
      </c>
      <c r="N48" s="8">
        <f t="shared" si="7"/>
        <v>9215.8293284926112</v>
      </c>
    </row>
    <row r="49" spans="1:18" s="17" customFormat="1">
      <c r="A49" s="100">
        <v>45322</v>
      </c>
      <c r="B49" s="97">
        <f>'CC on investment BU 110'!B49+'CC on investment BU 117'!B49+'CC on investment BU 180'!B49</f>
        <v>3961880.38</v>
      </c>
      <c r="C49" s="97">
        <f>'NERCAMRT - Depreciation'!S90</f>
        <v>-219536.23109677431</v>
      </c>
      <c r="D49" s="97">
        <f t="shared" ref="D49:D60" si="8">B49+C49</f>
        <v>3742344.1489032255</v>
      </c>
      <c r="E49" s="101">
        <f t="shared" ref="E49:E60" si="9">(D49*$E$7)</f>
        <v>785892.27126967732</v>
      </c>
      <c r="F49" s="102">
        <f t="shared" ref="F49:F60" si="10">+D49-E49</f>
        <v>2956451.8776335483</v>
      </c>
      <c r="G49" s="98">
        <f>(0.985*(15/31))+(0.986*(16/31))</f>
        <v>0.98551612903225805</v>
      </c>
      <c r="H49" s="101">
        <f t="shared" ref="H49:H60" si="11">+F49*G49</f>
        <v>2913631.0101155657</v>
      </c>
      <c r="I49" s="99">
        <f>(0.0762*(15/31))+(0.0821*(16/31))</f>
        <v>7.924516129032258E-2</v>
      </c>
      <c r="J49" s="99">
        <f>(0.0383*(15/31))+(0.0478*(16/31))</f>
        <v>4.3203225806451612E-2</v>
      </c>
      <c r="K49" s="99">
        <f t="shared" ref="K49:K50" si="12">I49-J49</f>
        <v>3.6041935483870968E-2</v>
      </c>
      <c r="L49" s="108">
        <f t="shared" ref="L49:L60" si="13">(H49*I49)/12</f>
        <v>19240.929944757791</v>
      </c>
      <c r="M49" s="7">
        <f t="shared" ref="M49:M60" si="14">(H49*J49)/12</f>
        <v>10489.85487055854</v>
      </c>
      <c r="N49" s="8">
        <f t="shared" ref="N49:N60" si="15">(H49*K49)/12</f>
        <v>8751.0750741992506</v>
      </c>
    </row>
    <row r="50" spans="1:18" s="17" customFormat="1">
      <c r="A50" s="16">
        <v>45351</v>
      </c>
      <c r="B50" s="33">
        <f>'CC on investment BU 110'!B50+'CC on investment BU 117'!B50+'CC on investment BU 180'!B50</f>
        <v>3964847.88</v>
      </c>
      <c r="C50" s="33">
        <f>'NERCAMRT - Depreciation'!S91</f>
        <v>-252904.01159677433</v>
      </c>
      <c r="D50" s="33">
        <f t="shared" si="8"/>
        <v>3711943.8684032257</v>
      </c>
      <c r="E50" s="32">
        <f>(D50*$E$7)</f>
        <v>779508.21236467734</v>
      </c>
      <c r="F50" s="29">
        <f t="shared" si="10"/>
        <v>2932435.6560385483</v>
      </c>
      <c r="G50" s="17">
        <v>0.98599999999999999</v>
      </c>
      <c r="H50" s="32">
        <f t="shared" si="11"/>
        <v>2891381.5568540087</v>
      </c>
      <c r="I50" s="20">
        <v>8.2100000000000006E-2</v>
      </c>
      <c r="J50" s="20">
        <v>4.7800000000000002E-2</v>
      </c>
      <c r="K50" s="20">
        <f t="shared" si="12"/>
        <v>3.4300000000000004E-2</v>
      </c>
      <c r="L50" s="108">
        <f t="shared" si="13"/>
        <v>19781.868818142844</v>
      </c>
      <c r="M50" s="7">
        <f t="shared" si="14"/>
        <v>11517.336534801803</v>
      </c>
      <c r="N50" s="8">
        <f t="shared" si="15"/>
        <v>8264.5322833410428</v>
      </c>
    </row>
    <row r="51" spans="1:18" s="17" customFormat="1">
      <c r="A51" s="16">
        <v>45382</v>
      </c>
      <c r="B51" s="33">
        <f>'CC on investment BU 110'!B51+'CC on investment BU 117'!B51+'CC on investment BU 180'!B51</f>
        <v>3967436.2800000003</v>
      </c>
      <c r="C51" s="33">
        <f>'NERCAMRT - Depreciation'!S92</f>
        <v>-286271.79209677433</v>
      </c>
      <c r="D51" s="33">
        <f t="shared" si="8"/>
        <v>3681164.4879032262</v>
      </c>
      <c r="E51" s="32">
        <f t="shared" si="9"/>
        <v>773044.54245967744</v>
      </c>
      <c r="F51" s="29">
        <f t="shared" si="10"/>
        <v>2908119.9454435487</v>
      </c>
      <c r="G51" s="17">
        <v>0.98599999999999999</v>
      </c>
      <c r="H51" s="32">
        <f t="shared" si="11"/>
        <v>2867406.2662073392</v>
      </c>
      <c r="I51" s="20">
        <v>8.2100000000000006E-2</v>
      </c>
      <c r="J51" s="20">
        <v>4.7800000000000002E-2</v>
      </c>
      <c r="K51" s="20">
        <f t="shared" ref="K51:K60" si="16">I51-J51</f>
        <v>3.4300000000000004E-2</v>
      </c>
      <c r="L51" s="108">
        <f t="shared" si="13"/>
        <v>19617.837871301879</v>
      </c>
      <c r="M51" s="7">
        <f t="shared" si="14"/>
        <v>11421.834960392569</v>
      </c>
      <c r="N51" s="8">
        <f t="shared" si="15"/>
        <v>8196.002910909312</v>
      </c>
    </row>
    <row r="52" spans="1:18" s="17" customFormat="1">
      <c r="A52" s="16">
        <v>45412</v>
      </c>
      <c r="B52" s="33">
        <f>'CC on investment BU 110'!B52+'CC on investment BU 117'!B52+'CC on investment BU 180'!B52</f>
        <v>3970441.75</v>
      </c>
      <c r="C52" s="33">
        <f>'NERCAMRT - Depreciation'!S93</f>
        <v>-319639.57259677432</v>
      </c>
      <c r="D52" s="33">
        <f t="shared" si="8"/>
        <v>3650802.1774032256</v>
      </c>
      <c r="E52" s="32">
        <f t="shared" si="9"/>
        <v>766668.45725467731</v>
      </c>
      <c r="F52" s="29">
        <f t="shared" si="10"/>
        <v>2884133.7201485485</v>
      </c>
      <c r="G52" s="17">
        <v>0.98599999999999999</v>
      </c>
      <c r="H52" s="32">
        <f t="shared" si="11"/>
        <v>2843755.8480664687</v>
      </c>
      <c r="I52" s="20">
        <v>8.2100000000000006E-2</v>
      </c>
      <c r="J52" s="20">
        <v>4.7800000000000002E-2</v>
      </c>
      <c r="K52" s="20">
        <f t="shared" si="16"/>
        <v>3.4300000000000004E-2</v>
      </c>
      <c r="L52" s="108">
        <f t="shared" si="13"/>
        <v>19456.029593854761</v>
      </c>
      <c r="M52" s="7">
        <f t="shared" si="14"/>
        <v>11327.627461464768</v>
      </c>
      <c r="N52" s="8">
        <f t="shared" si="15"/>
        <v>8128.4021323899906</v>
      </c>
    </row>
    <row r="53" spans="1:18" s="17" customFormat="1">
      <c r="A53" s="16">
        <v>45443</v>
      </c>
      <c r="B53" s="33">
        <f>'CC on investment BU 110'!B53+'CC on investment BU 117'!B53+'CC on investment BU 180'!B53</f>
        <v>3969878.4400000004</v>
      </c>
      <c r="C53" s="33">
        <f>'NERCAMRT - Depreciation'!S94</f>
        <v>-353007.35309677431</v>
      </c>
      <c r="D53" s="33">
        <f t="shared" si="8"/>
        <v>3616871.0869032261</v>
      </c>
      <c r="E53" s="32">
        <f t="shared" si="9"/>
        <v>759542.92824967741</v>
      </c>
      <c r="F53" s="29">
        <f t="shared" si="10"/>
        <v>2857328.1586535489</v>
      </c>
      <c r="G53" s="17">
        <v>0.98599999999999999</v>
      </c>
      <c r="H53" s="32">
        <f t="shared" si="11"/>
        <v>2817325.5644323993</v>
      </c>
      <c r="I53" s="20">
        <v>8.2100000000000006E-2</v>
      </c>
      <c r="J53" s="20">
        <v>4.7800000000000002E-2</v>
      </c>
      <c r="K53" s="20">
        <f t="shared" si="16"/>
        <v>3.4300000000000004E-2</v>
      </c>
      <c r="L53" s="108">
        <f t="shared" si="13"/>
        <v>19275.202403325002</v>
      </c>
      <c r="M53" s="7">
        <f t="shared" si="14"/>
        <v>11222.346831655725</v>
      </c>
      <c r="N53" s="8">
        <f t="shared" si="15"/>
        <v>8052.8555716692754</v>
      </c>
    </row>
    <row r="54" spans="1:18" s="17" customFormat="1">
      <c r="A54" s="16">
        <v>45473</v>
      </c>
      <c r="B54" s="33">
        <f>'CC on investment BU 110'!B54+'CC on investment BU 117'!B54+'CC on investment BU 180'!B54</f>
        <v>3971097.75</v>
      </c>
      <c r="C54" s="33">
        <f>'NERCAMRT - Depreciation'!S95</f>
        <v>-386375.13359677431</v>
      </c>
      <c r="D54" s="33">
        <f t="shared" si="8"/>
        <v>3584722.6164032258</v>
      </c>
      <c r="E54" s="32">
        <f t="shared" si="9"/>
        <v>752791.74944467738</v>
      </c>
      <c r="F54" s="29">
        <f t="shared" si="10"/>
        <v>2831930.8669585483</v>
      </c>
      <c r="G54" s="17">
        <v>0.98599999999999999</v>
      </c>
      <c r="H54" s="32">
        <f t="shared" si="11"/>
        <v>2792283.8348211288</v>
      </c>
      <c r="I54" s="20">
        <v>8.2100000000000006E-2</v>
      </c>
      <c r="J54" s="20">
        <v>4.7800000000000002E-2</v>
      </c>
      <c r="K54" s="20">
        <f t="shared" si="16"/>
        <v>3.4300000000000004E-2</v>
      </c>
      <c r="L54" s="108">
        <f t="shared" si="13"/>
        <v>19103.875236567892</v>
      </c>
      <c r="M54" s="7">
        <f t="shared" si="14"/>
        <v>11122.597275370828</v>
      </c>
      <c r="N54" s="8">
        <f t="shared" si="15"/>
        <v>7981.2779611970609</v>
      </c>
    </row>
    <row r="55" spans="1:18" s="17" customFormat="1">
      <c r="A55" s="16">
        <v>45504</v>
      </c>
      <c r="B55" s="33">
        <f>'CC on investment BU 110'!B55+'CC on investment BU 117'!B55+'CC on investment BU 180'!B55</f>
        <v>3971835.26</v>
      </c>
      <c r="C55" s="33">
        <f>'NERCAMRT - Depreciation'!S96</f>
        <v>-419742.9140967743</v>
      </c>
      <c r="D55" s="33">
        <f t="shared" si="8"/>
        <v>3552092.3459032252</v>
      </c>
      <c r="E55" s="32">
        <f t="shared" si="9"/>
        <v>745939.39263967727</v>
      </c>
      <c r="F55" s="29">
        <f t="shared" si="10"/>
        <v>2806152.9532635482</v>
      </c>
      <c r="G55" s="17">
        <v>0.98599999999999999</v>
      </c>
      <c r="H55" s="32">
        <f t="shared" si="11"/>
        <v>2766866.8119178587</v>
      </c>
      <c r="I55" s="20">
        <v>8.2100000000000006E-2</v>
      </c>
      <c r="J55" s="20">
        <v>4.7800000000000002E-2</v>
      </c>
      <c r="K55" s="20">
        <f t="shared" si="16"/>
        <v>3.4300000000000004E-2</v>
      </c>
      <c r="L55" s="108">
        <f t="shared" si="13"/>
        <v>18929.980438204682</v>
      </c>
      <c r="M55" s="7">
        <f t="shared" si="14"/>
        <v>11021.352800806138</v>
      </c>
      <c r="N55" s="8">
        <f t="shared" si="15"/>
        <v>7908.6276373985465</v>
      </c>
    </row>
    <row r="56" spans="1:18" s="17" customFormat="1">
      <c r="A56" s="16">
        <v>45535</v>
      </c>
      <c r="B56" s="33">
        <f>'CC on investment BU 110'!B56+'CC on investment BU 117'!B56+'CC on investment BU 180'!B56</f>
        <v>3972081.9899999998</v>
      </c>
      <c r="C56" s="33">
        <f>'NERCAMRT - Depreciation'!S97</f>
        <v>-453110.69459677429</v>
      </c>
      <c r="D56" s="33">
        <f t="shared" si="8"/>
        <v>3518971.2954032253</v>
      </c>
      <c r="E56" s="32">
        <f t="shared" si="9"/>
        <v>738983.97203467728</v>
      </c>
      <c r="F56" s="29">
        <f t="shared" si="10"/>
        <v>2779987.3233685479</v>
      </c>
      <c r="G56" s="17">
        <v>0.98599999999999999</v>
      </c>
      <c r="H56" s="32">
        <f t="shared" si="11"/>
        <v>2741067.500841388</v>
      </c>
      <c r="I56" s="20">
        <v>8.2100000000000006E-2</v>
      </c>
      <c r="J56" s="20">
        <v>4.7800000000000002E-2</v>
      </c>
      <c r="K56" s="20">
        <f t="shared" si="16"/>
        <v>3.4300000000000004E-2</v>
      </c>
      <c r="L56" s="108">
        <f t="shared" si="13"/>
        <v>18753.47015158983</v>
      </c>
      <c r="M56" s="7">
        <f t="shared" si="14"/>
        <v>10918.585545018197</v>
      </c>
      <c r="N56" s="8">
        <f t="shared" si="15"/>
        <v>7834.8846065716352</v>
      </c>
    </row>
    <row r="57" spans="1:18" s="17" customFormat="1">
      <c r="A57" s="16">
        <v>45565</v>
      </c>
      <c r="B57" s="33">
        <f>'CC on investment BU 110'!B57+'CC on investment BU 117'!B57+'CC on investment BU 180'!B57</f>
        <v>3972244.02</v>
      </c>
      <c r="C57" s="33">
        <f>'NERCAMRT - Depreciation'!S98</f>
        <v>-486478.47509677429</v>
      </c>
      <c r="D57" s="33">
        <f t="shared" si="8"/>
        <v>3485765.5449032257</v>
      </c>
      <c r="E57" s="32">
        <f t="shared" si="9"/>
        <v>732010.76442967739</v>
      </c>
      <c r="F57" s="29">
        <f t="shared" si="10"/>
        <v>2753754.7804735485</v>
      </c>
      <c r="G57" s="17">
        <v>0.98599999999999999</v>
      </c>
      <c r="H57" s="32">
        <f t="shared" si="11"/>
        <v>2715202.2135469187</v>
      </c>
      <c r="I57" s="20">
        <v>8.2100000000000006E-2</v>
      </c>
      <c r="J57" s="20">
        <v>4.7800000000000002E-2</v>
      </c>
      <c r="K57" s="20">
        <f t="shared" si="16"/>
        <v>3.4300000000000004E-2</v>
      </c>
      <c r="L57" s="108">
        <f t="shared" si="13"/>
        <v>18576.508477683503</v>
      </c>
      <c r="M57" s="7">
        <f t="shared" si="14"/>
        <v>10815.555483961894</v>
      </c>
      <c r="N57" s="8">
        <f t="shared" si="15"/>
        <v>7760.9529937216103</v>
      </c>
    </row>
    <row r="58" spans="1:18" s="17" customFormat="1">
      <c r="A58" s="16">
        <v>45596</v>
      </c>
      <c r="B58" s="33">
        <f>'CC on investment BU 110'!B58+'CC on investment BU 117'!B58+'CC on investment BU 180'!B58</f>
        <v>3972302.58</v>
      </c>
      <c r="C58" s="33">
        <f>'NERCAMRT - Depreciation'!S99</f>
        <v>-519846.25559677428</v>
      </c>
      <c r="D58" s="33">
        <f t="shared" si="8"/>
        <v>3452456.3244032259</v>
      </c>
      <c r="E58" s="32">
        <f t="shared" si="9"/>
        <v>725015.82812467741</v>
      </c>
      <c r="F58" s="29">
        <f t="shared" si="10"/>
        <v>2727440.4962785486</v>
      </c>
      <c r="G58" s="17">
        <v>0.98599999999999999</v>
      </c>
      <c r="H58" s="32">
        <f t="shared" si="11"/>
        <v>2689256.3293306488</v>
      </c>
      <c r="I58" s="20">
        <v>8.2100000000000006E-2</v>
      </c>
      <c r="J58" s="20">
        <v>4.7800000000000002E-2</v>
      </c>
      <c r="K58" s="20">
        <f t="shared" si="16"/>
        <v>3.4300000000000004E-2</v>
      </c>
      <c r="L58" s="108">
        <f t="shared" si="13"/>
        <v>18398.995386503859</v>
      </c>
      <c r="M58" s="7">
        <f t="shared" si="14"/>
        <v>10712.204378500419</v>
      </c>
      <c r="N58" s="8">
        <f t="shared" si="15"/>
        <v>7686.791008003438</v>
      </c>
    </row>
    <row r="59" spans="1:18" s="17" customFormat="1">
      <c r="A59" s="16">
        <v>45626</v>
      </c>
      <c r="B59" s="33">
        <f>'CC on investment BU 110'!B59+'CC on investment BU 117'!B59+'CC on investment BU 180'!B59</f>
        <v>3972302.3600000003</v>
      </c>
      <c r="C59" s="33">
        <f>'NERCAMRT - Depreciation'!S100</f>
        <v>-553214.03609677427</v>
      </c>
      <c r="D59" s="33">
        <f t="shared" si="8"/>
        <v>3419088.3239032263</v>
      </c>
      <c r="E59" s="32">
        <f t="shared" si="9"/>
        <v>718008.54801967752</v>
      </c>
      <c r="F59" s="29">
        <f t="shared" si="10"/>
        <v>2701079.7758835489</v>
      </c>
      <c r="G59" s="17">
        <v>0.98599999999999999</v>
      </c>
      <c r="H59" s="32">
        <f t="shared" si="11"/>
        <v>2663264.6590211792</v>
      </c>
      <c r="I59" s="20">
        <v>8.2100000000000006E-2</v>
      </c>
      <c r="J59" s="20">
        <v>4.7800000000000002E-2</v>
      </c>
      <c r="K59" s="20">
        <f t="shared" si="16"/>
        <v>3.4300000000000004E-2</v>
      </c>
      <c r="L59" s="108">
        <f t="shared" si="13"/>
        <v>18221.169042136567</v>
      </c>
      <c r="M59" s="7">
        <f t="shared" si="14"/>
        <v>10608.670891767697</v>
      </c>
      <c r="N59" s="8">
        <f t="shared" si="15"/>
        <v>7612.4981503688714</v>
      </c>
    </row>
    <row r="60" spans="1:18" s="17" customFormat="1">
      <c r="A60" s="16">
        <v>45657</v>
      </c>
      <c r="B60" s="33">
        <f>'CC on investment BU 110'!B60+'CC on investment BU 117'!B60+'CC on investment BU 180'!B60</f>
        <v>3972324.2199999997</v>
      </c>
      <c r="C60" s="33">
        <f>'NERCAMRT - Depreciation'!S101</f>
        <v>-586581.81659677427</v>
      </c>
      <c r="D60" s="33">
        <f t="shared" si="8"/>
        <v>3385742.4034032254</v>
      </c>
      <c r="E60" s="32">
        <f t="shared" si="9"/>
        <v>711005.90471467725</v>
      </c>
      <c r="F60" s="29">
        <f t="shared" si="10"/>
        <v>2674736.4986885479</v>
      </c>
      <c r="G60" s="17">
        <v>0.98599999999999999</v>
      </c>
      <c r="H60" s="32">
        <f t="shared" si="11"/>
        <v>2637290.1877069082</v>
      </c>
      <c r="I60" s="20">
        <v>8.2100000000000006E-2</v>
      </c>
      <c r="J60" s="20">
        <v>4.7800000000000002E-2</v>
      </c>
      <c r="K60" s="20">
        <f t="shared" si="16"/>
        <v>3.4300000000000004E-2</v>
      </c>
      <c r="L60" s="108">
        <f t="shared" si="13"/>
        <v>18043.460367561431</v>
      </c>
      <c r="M60" s="7">
        <f t="shared" si="14"/>
        <v>10505.205914365852</v>
      </c>
      <c r="N60" s="8">
        <f t="shared" si="15"/>
        <v>7538.25445319558</v>
      </c>
      <c r="O60" s="109" t="s">
        <v>70</v>
      </c>
    </row>
    <row r="61" spans="1:18">
      <c r="A61" s="16"/>
      <c r="B61" s="38"/>
      <c r="C61" s="38"/>
      <c r="D61" s="38"/>
      <c r="E61" s="4"/>
      <c r="F61" s="4"/>
      <c r="K61" s="5" t="s">
        <v>12</v>
      </c>
      <c r="L61" s="15">
        <f>SUM(L12:L60)</f>
        <v>809208.75637558394</v>
      </c>
      <c r="M61" s="15">
        <f t="shared" ref="M61:N61" si="17">SUM(M12:M60)</f>
        <v>424203.7632411404</v>
      </c>
      <c r="N61" s="15">
        <f t="shared" si="17"/>
        <v>385004.9931344433</v>
      </c>
      <c r="O61" s="110">
        <f>SUM(L40:L60)</f>
        <v>393073.69400478457</v>
      </c>
    </row>
    <row r="63" spans="1:18">
      <c r="L63" s="35"/>
      <c r="M63" s="35"/>
      <c r="N63" s="35"/>
    </row>
    <row r="64" spans="1:18" s="17" customFormat="1">
      <c r="A64" s="1"/>
      <c r="B64" s="33"/>
      <c r="C64" s="33"/>
      <c r="D64" s="33"/>
      <c r="E64" s="1"/>
      <c r="F64" s="1"/>
      <c r="G64" s="31"/>
      <c r="H64" s="31"/>
      <c r="I64" s="31"/>
      <c r="J64" s="3"/>
      <c r="K64" s="3"/>
      <c r="L64" s="35"/>
      <c r="M64" s="35"/>
      <c r="N64" s="35"/>
      <c r="O64" s="1"/>
      <c r="P64" s="1"/>
      <c r="Q64" s="1"/>
      <c r="R64" s="1"/>
    </row>
    <row r="65" spans="1:18">
      <c r="L65" s="35"/>
      <c r="M65" s="35"/>
      <c r="N65" s="35"/>
    </row>
    <row r="66" spans="1:18">
      <c r="L66" s="35"/>
      <c r="M66" s="35"/>
      <c r="N66" s="35"/>
    </row>
    <row r="75" spans="1:18" s="17" customFormat="1">
      <c r="A75" s="1"/>
      <c r="B75" s="33"/>
      <c r="C75" s="33"/>
      <c r="D75" s="33"/>
      <c r="E75" s="1"/>
      <c r="F75" s="1"/>
      <c r="G75" s="1"/>
      <c r="H75" s="1"/>
      <c r="I75" s="3"/>
      <c r="J75" s="3"/>
      <c r="K75" s="3"/>
      <c r="L75" s="105"/>
      <c r="M75" s="105"/>
      <c r="N75" s="105"/>
      <c r="O75" s="1"/>
      <c r="P75" s="1"/>
      <c r="Q75" s="1"/>
      <c r="R75" s="31"/>
    </row>
  </sheetData>
  <conditionalFormatting sqref="B12:B60">
    <cfRule type="cellIs" dxfId="3" priority="1" stopIfTrue="1" operator="equal">
      <formula>0</formula>
    </cfRule>
  </conditionalFormatting>
  <pageMargins left="0.27" right="0.25" top="0.42" bottom="0.42" header="0.3" footer="0.3"/>
  <pageSetup scale="5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75"/>
  <sheetViews>
    <sheetView zoomScale="80" zoomScaleNormal="80" workbookViewId="0">
      <pane ySplit="10" topLeftCell="A11" activePane="bottomLeft" state="frozen"/>
      <selection activeCell="O63" sqref="O63"/>
      <selection pane="bottomLeft" activeCell="N60" sqref="N60"/>
    </sheetView>
  </sheetViews>
  <sheetFormatPr defaultColWidth="9.1796875" defaultRowHeight="12.5"/>
  <cols>
    <col min="1" max="1" width="22.26953125" style="1" customWidth="1"/>
    <col min="2" max="2" width="20.1796875" style="33" customWidth="1"/>
    <col min="3" max="3" width="28.1796875" style="33" customWidth="1"/>
    <col min="4" max="4" width="21" style="33" bestFit="1" customWidth="1"/>
    <col min="5" max="5" width="18.26953125" style="1" customWidth="1"/>
    <col min="6" max="6" width="13.81640625" style="1" customWidth="1"/>
    <col min="7" max="7" width="11.453125" style="1" customWidth="1"/>
    <col min="8" max="8" width="13.1796875" style="1" customWidth="1"/>
    <col min="9" max="9" width="12" style="3" customWidth="1"/>
    <col min="10" max="10" width="11.1796875" style="3" customWidth="1"/>
    <col min="11" max="11" width="12.81640625" style="3" customWidth="1"/>
    <col min="12" max="14" width="15" style="18" customWidth="1"/>
    <col min="15" max="15" width="10.54296875" style="1" customWidth="1"/>
    <col min="16" max="16" width="12" style="1" bestFit="1" customWidth="1"/>
    <col min="17" max="17" width="11" style="1" bestFit="1" customWidth="1"/>
    <col min="18" max="18" width="12.26953125" style="1" customWidth="1"/>
    <col min="19" max="21" width="9.1796875" style="17"/>
    <col min="22" max="16384" width="9.1796875" style="1"/>
  </cols>
  <sheetData>
    <row r="1" spans="1:18" ht="20">
      <c r="A1" s="30" t="s">
        <v>28</v>
      </c>
      <c r="L1" s="3"/>
      <c r="M1" s="3"/>
      <c r="N1" s="3"/>
      <c r="O1" s="3"/>
      <c r="R1" s="17"/>
    </row>
    <row r="2" spans="1:18">
      <c r="A2" s="28" t="s">
        <v>25</v>
      </c>
      <c r="L2" s="3"/>
      <c r="M2" s="3"/>
      <c r="N2" s="3"/>
      <c r="O2" s="3"/>
      <c r="P2" s="35"/>
      <c r="Q2" s="35"/>
      <c r="R2" s="34"/>
    </row>
    <row r="3" spans="1:18">
      <c r="A3" s="28" t="s">
        <v>26</v>
      </c>
      <c r="L3" s="3"/>
      <c r="M3" s="3"/>
      <c r="N3" s="3"/>
      <c r="O3" s="3"/>
    </row>
    <row r="4" spans="1:18">
      <c r="A4" s="28" t="s">
        <v>31</v>
      </c>
      <c r="L4" s="3"/>
      <c r="M4" s="3"/>
      <c r="N4" s="3"/>
      <c r="O4" s="3"/>
    </row>
    <row r="5" spans="1:18">
      <c r="A5" s="28" t="s">
        <v>32</v>
      </c>
      <c r="L5" s="3"/>
      <c r="M5" s="3"/>
      <c r="N5" s="3"/>
      <c r="O5" s="3"/>
    </row>
    <row r="6" spans="1:18" ht="13" thickBot="1">
      <c r="A6" s="28" t="str">
        <f>'CC on investment'!A6</f>
        <v>KPSC Order dated January 19, 2024 in Case No. 2023-00159</v>
      </c>
      <c r="L6" s="3"/>
      <c r="M6" s="3"/>
      <c r="N6" s="3"/>
      <c r="O6" s="3"/>
    </row>
    <row r="7" spans="1:18" ht="13" thickBot="1">
      <c r="A7" s="3"/>
      <c r="B7" s="36" t="s">
        <v>36</v>
      </c>
      <c r="C7" s="36"/>
      <c r="D7" s="36"/>
      <c r="E7" s="39">
        <v>0.21</v>
      </c>
      <c r="F7" s="3"/>
      <c r="G7" s="3"/>
      <c r="H7" s="3"/>
    </row>
    <row r="8" spans="1:18">
      <c r="A8" s="3"/>
      <c r="B8" s="36" t="s">
        <v>0</v>
      </c>
      <c r="C8" s="36" t="str">
        <f>'CC on investment'!C8</f>
        <v>Less: Deferred Depreciation</v>
      </c>
      <c r="D8" s="36" t="s">
        <v>37</v>
      </c>
      <c r="E8" s="3" t="s">
        <v>16</v>
      </c>
      <c r="F8" s="3" t="s">
        <v>19</v>
      </c>
      <c r="G8" s="3" t="s">
        <v>15</v>
      </c>
      <c r="H8" s="3" t="s">
        <v>15</v>
      </c>
      <c r="I8" s="3" t="s">
        <v>4</v>
      </c>
      <c r="J8" s="3" t="s">
        <v>6</v>
      </c>
      <c r="K8" s="3" t="s">
        <v>7</v>
      </c>
      <c r="L8" s="9" t="s">
        <v>4</v>
      </c>
      <c r="M8" s="10" t="s">
        <v>6</v>
      </c>
      <c r="N8" s="11" t="s">
        <v>7</v>
      </c>
    </row>
    <row r="9" spans="1:18">
      <c r="A9" s="3"/>
      <c r="B9" s="36" t="s">
        <v>13</v>
      </c>
      <c r="C9" s="36" t="str">
        <f>'CC on investment'!C9</f>
        <v xml:space="preserve"> Balance Approved For Recovery </v>
      </c>
      <c r="D9" s="42" t="s">
        <v>36</v>
      </c>
      <c r="E9" s="3" t="s">
        <v>17</v>
      </c>
      <c r="F9" s="3" t="s">
        <v>21</v>
      </c>
      <c r="G9" s="3" t="s">
        <v>1</v>
      </c>
      <c r="H9" s="3" t="s">
        <v>22</v>
      </c>
      <c r="I9" s="3" t="s">
        <v>5</v>
      </c>
      <c r="J9" s="3" t="s">
        <v>5</v>
      </c>
      <c r="K9" s="3" t="s">
        <v>5</v>
      </c>
      <c r="L9" s="12" t="s">
        <v>8</v>
      </c>
      <c r="M9" s="13" t="s">
        <v>9</v>
      </c>
      <c r="N9" s="14" t="s">
        <v>9</v>
      </c>
    </row>
    <row r="10" spans="1:18" ht="25">
      <c r="A10" s="3"/>
      <c r="B10" s="36" t="s">
        <v>14</v>
      </c>
      <c r="C10" s="103" t="str">
        <f>'CC on investment'!C10</f>
        <v>(Case Nos. 2020-00174 
&amp; 2023-00159)</v>
      </c>
      <c r="D10" s="36" t="s">
        <v>38</v>
      </c>
      <c r="E10" s="3" t="s">
        <v>18</v>
      </c>
      <c r="F10" s="3" t="s">
        <v>20</v>
      </c>
      <c r="G10" s="3" t="s">
        <v>2</v>
      </c>
      <c r="H10" s="3" t="s">
        <v>3</v>
      </c>
      <c r="L10" s="25">
        <v>1823537</v>
      </c>
      <c r="M10" s="26">
        <v>4310001</v>
      </c>
      <c r="N10" s="27">
        <v>1823536</v>
      </c>
    </row>
    <row r="11" spans="1:18">
      <c r="A11" s="3"/>
      <c r="B11" s="37" t="s">
        <v>23</v>
      </c>
      <c r="C11" s="37"/>
      <c r="D11" s="37"/>
      <c r="E11" s="21" t="s">
        <v>10</v>
      </c>
      <c r="F11" s="22" t="s">
        <v>27</v>
      </c>
      <c r="G11" s="23" t="s">
        <v>11</v>
      </c>
      <c r="H11" s="24" t="s">
        <v>24</v>
      </c>
      <c r="L11" s="12"/>
      <c r="M11" s="13"/>
      <c r="N11" s="14"/>
    </row>
    <row r="12" spans="1:18" s="17" customFormat="1">
      <c r="A12" s="40" t="s">
        <v>34</v>
      </c>
      <c r="B12" s="33">
        <v>521475.15</v>
      </c>
      <c r="C12" s="33"/>
      <c r="D12" s="33"/>
      <c r="E12" s="32">
        <f>(B12*$E$7)</f>
        <v>109509.7815</v>
      </c>
      <c r="F12" s="29">
        <f>+B12-E12</f>
        <v>411965.36850000004</v>
      </c>
      <c r="G12" s="1">
        <v>0.98499999999999999</v>
      </c>
      <c r="H12" s="2">
        <f>+F12*G12</f>
        <v>405785.88797250006</v>
      </c>
      <c r="I12" s="19">
        <v>7.8799999999999995E-2</v>
      </c>
      <c r="J12" s="19">
        <v>4.1200000000000001E-2</v>
      </c>
      <c r="K12" s="20">
        <f>I12-J12</f>
        <v>3.7599999999999995E-2</v>
      </c>
      <c r="L12" s="6">
        <f>((H12*I12)/12)*(13/31)</f>
        <v>1117.4383431156696</v>
      </c>
      <c r="M12" s="7">
        <f>((H12*J12)/12)*(13/31)</f>
        <v>584.24441289804042</v>
      </c>
      <c r="N12" s="7">
        <f>((H12*K12)/12)*(13/31)</f>
        <v>533.19393021762903</v>
      </c>
    </row>
    <row r="13" spans="1:18" s="17" customFormat="1" ht="14.5">
      <c r="A13" s="40" t="s">
        <v>35</v>
      </c>
      <c r="B13" s="33">
        <f>B12</f>
        <v>521475.15</v>
      </c>
      <c r="C13" s="41">
        <f>'NERCAMRT - Depreciation'!P51</f>
        <v>-712.09687634408601</v>
      </c>
      <c r="D13" s="41">
        <f>B13-C13</f>
        <v>522187.24687634408</v>
      </c>
      <c r="E13" s="32">
        <f>(D13*$E$7)</f>
        <v>109659.32184403225</v>
      </c>
      <c r="F13" s="2">
        <f>+D13-E13</f>
        <v>412527.92503231182</v>
      </c>
      <c r="G13" s="1">
        <v>0.98499999999999999</v>
      </c>
      <c r="H13" s="2">
        <f>+F13*G13</f>
        <v>406340.00615682715</v>
      </c>
      <c r="I13" s="19">
        <v>7.6200000000000004E-2</v>
      </c>
      <c r="J13" s="19">
        <v>3.8300000000000001E-2</v>
      </c>
      <c r="K13" s="20">
        <f>I13-J13</f>
        <v>3.7900000000000003E-2</v>
      </c>
      <c r="L13" s="6">
        <f>((H13*I13)/12)*(18/31)</f>
        <v>1498.2149259266241</v>
      </c>
      <c r="M13" s="7">
        <f>((H13*J13)/12)*(18/31)</f>
        <v>753.03978560353937</v>
      </c>
      <c r="N13" s="7">
        <f>((H13*K13)/12)*(18/31)</f>
        <v>745.17514032308475</v>
      </c>
    </row>
    <row r="14" spans="1:18" s="17" customFormat="1" ht="14.5">
      <c r="A14" s="16">
        <v>44255</v>
      </c>
      <c r="B14" s="33">
        <v>556636.6</v>
      </c>
      <c r="C14" s="41">
        <f>'NERCAMRT - Depreciation'!P52</f>
        <v>-2410.1740430107529</v>
      </c>
      <c r="D14" s="41">
        <f>B14+C14</f>
        <v>554226.42595698917</v>
      </c>
      <c r="E14" s="32">
        <f>(D14*$E$7)</f>
        <v>116387.54945096772</v>
      </c>
      <c r="F14" s="2">
        <f>+D14-E14</f>
        <v>437838.87650602148</v>
      </c>
      <c r="G14" s="1">
        <v>0.98499999999999999</v>
      </c>
      <c r="H14" s="2">
        <f>+F14*G14</f>
        <v>431271.29335843114</v>
      </c>
      <c r="I14" s="19">
        <v>7.6200000000000004E-2</v>
      </c>
      <c r="J14" s="19">
        <v>3.8300000000000001E-2</v>
      </c>
      <c r="K14" s="20">
        <f>I14-J14</f>
        <v>3.7900000000000003E-2</v>
      </c>
      <c r="L14" s="6">
        <f>(H14*I14)/12</f>
        <v>2738.5727128260382</v>
      </c>
      <c r="M14" s="7">
        <f>(H14*J14)/12</f>
        <v>1376.474211302326</v>
      </c>
      <c r="N14" s="8">
        <f>(H14*K14)/12</f>
        <v>1362.0985015237118</v>
      </c>
    </row>
    <row r="15" spans="1:18" s="17" customFormat="1" ht="14.5">
      <c r="A15" s="16">
        <v>44286</v>
      </c>
      <c r="B15" s="33">
        <v>636160.87</v>
      </c>
      <c r="C15" s="41">
        <f>'NERCAMRT - Depreciation'!P53</f>
        <v>-4108.2512096774199</v>
      </c>
      <c r="D15" s="41">
        <f t="shared" ref="D15:D48" si="0">B15+C15</f>
        <v>632052.61879032257</v>
      </c>
      <c r="E15" s="32">
        <f t="shared" ref="E15:E48" si="1">(D15*$E$7)</f>
        <v>132731.04994596774</v>
      </c>
      <c r="F15" s="2">
        <f t="shared" ref="F15:F48" si="2">+D15-E15</f>
        <v>499321.56884435483</v>
      </c>
      <c r="G15" s="1">
        <v>0.98499999999999999</v>
      </c>
      <c r="H15" s="2">
        <f t="shared" ref="H15:H48" si="3">+F15*G15</f>
        <v>491831.7453116895</v>
      </c>
      <c r="I15" s="19">
        <v>7.6200000000000004E-2</v>
      </c>
      <c r="J15" s="19">
        <v>3.8300000000000001E-2</v>
      </c>
      <c r="K15" s="20">
        <f t="shared" ref="K15:K60" si="4">I15-J15</f>
        <v>3.7900000000000003E-2</v>
      </c>
      <c r="L15" s="6">
        <f t="shared" ref="L15:L48" si="5">(H15*I15)/12</f>
        <v>3123.1315827292287</v>
      </c>
      <c r="M15" s="7">
        <f t="shared" ref="M15:M48" si="6">(H15*J15)/12</f>
        <v>1569.7629871198089</v>
      </c>
      <c r="N15" s="8">
        <f t="shared" ref="N15:N48" si="7">(H15*K15)/12</f>
        <v>1553.3685956094196</v>
      </c>
    </row>
    <row r="16" spans="1:18" s="17" customFormat="1" ht="14.5">
      <c r="A16" s="16">
        <v>44316</v>
      </c>
      <c r="B16" s="33">
        <v>655468.68000000005</v>
      </c>
      <c r="C16" s="41">
        <f>'NERCAMRT - Depreciation'!P54</f>
        <v>-5806.3283763440868</v>
      </c>
      <c r="D16" s="41">
        <f t="shared" si="0"/>
        <v>649662.351623656</v>
      </c>
      <c r="E16" s="32">
        <f t="shared" si="1"/>
        <v>136429.09384096775</v>
      </c>
      <c r="F16" s="2">
        <f t="shared" si="2"/>
        <v>513233.25778268825</v>
      </c>
      <c r="G16" s="1">
        <v>0.98499999999999999</v>
      </c>
      <c r="H16" s="2">
        <f t="shared" si="3"/>
        <v>505534.75891594792</v>
      </c>
      <c r="I16" s="19">
        <v>7.6200000000000004E-2</v>
      </c>
      <c r="J16" s="19">
        <v>3.8300000000000001E-2</v>
      </c>
      <c r="K16" s="20">
        <f t="shared" si="4"/>
        <v>3.7900000000000003E-2</v>
      </c>
      <c r="L16" s="6">
        <f t="shared" si="5"/>
        <v>3210.1457191162694</v>
      </c>
      <c r="M16" s="7">
        <f t="shared" si="6"/>
        <v>1613.4984388734003</v>
      </c>
      <c r="N16" s="8">
        <f t="shared" si="7"/>
        <v>1596.6472802428689</v>
      </c>
    </row>
    <row r="17" spans="1:16" s="17" customFormat="1" ht="14.5">
      <c r="A17" s="16">
        <v>44347</v>
      </c>
      <c r="B17" s="33">
        <v>664730.42000000004</v>
      </c>
      <c r="C17" s="41">
        <f>'NERCAMRT - Depreciation'!P55</f>
        <v>-7504.4055430107537</v>
      </c>
      <c r="D17" s="41">
        <f t="shared" si="0"/>
        <v>657226.01445698924</v>
      </c>
      <c r="E17" s="32">
        <f t="shared" si="1"/>
        <v>138017.46303596772</v>
      </c>
      <c r="F17" s="2">
        <f t="shared" si="2"/>
        <v>519208.55142102152</v>
      </c>
      <c r="G17" s="1">
        <v>0.98499999999999999</v>
      </c>
      <c r="H17" s="2">
        <f t="shared" si="3"/>
        <v>511420.42314970621</v>
      </c>
      <c r="I17" s="19">
        <v>7.6200000000000004E-2</v>
      </c>
      <c r="J17" s="19">
        <v>3.8300000000000001E-2</v>
      </c>
      <c r="K17" s="20">
        <f t="shared" si="4"/>
        <v>3.7900000000000003E-2</v>
      </c>
      <c r="L17" s="6">
        <f t="shared" si="5"/>
        <v>3247.5196870006348</v>
      </c>
      <c r="M17" s="7">
        <f t="shared" si="6"/>
        <v>1632.2835172194791</v>
      </c>
      <c r="N17" s="8">
        <f t="shared" si="7"/>
        <v>1615.2361697811557</v>
      </c>
    </row>
    <row r="18" spans="1:16" s="17" customFormat="1" ht="14.5">
      <c r="A18" s="16">
        <v>44377</v>
      </c>
      <c r="B18" s="33">
        <v>674519.8</v>
      </c>
      <c r="C18" s="41">
        <f>'NERCAMRT - Depreciation'!P56</f>
        <v>-9202.4827096774206</v>
      </c>
      <c r="D18" s="41">
        <f t="shared" si="0"/>
        <v>665317.31729032262</v>
      </c>
      <c r="E18" s="32">
        <f t="shared" si="1"/>
        <v>139716.63663096775</v>
      </c>
      <c r="F18" s="2">
        <f t="shared" si="2"/>
        <v>525600.6806593549</v>
      </c>
      <c r="G18" s="1">
        <v>0.98499999999999999</v>
      </c>
      <c r="H18" s="2">
        <f t="shared" si="3"/>
        <v>517716.67044946458</v>
      </c>
      <c r="I18" s="19">
        <v>7.6200000000000004E-2</v>
      </c>
      <c r="J18" s="19">
        <v>3.8300000000000001E-2</v>
      </c>
      <c r="K18" s="20">
        <f t="shared" si="4"/>
        <v>3.7900000000000003E-2</v>
      </c>
      <c r="L18" s="6">
        <f t="shared" si="5"/>
        <v>3287.5008573541004</v>
      </c>
      <c r="M18" s="7">
        <f t="shared" si="6"/>
        <v>1652.3790398512076</v>
      </c>
      <c r="N18" s="8">
        <f t="shared" si="7"/>
        <v>1635.1218175028926</v>
      </c>
    </row>
    <row r="19" spans="1:16" s="17" customFormat="1" ht="14.5">
      <c r="A19" s="16">
        <v>44408</v>
      </c>
      <c r="B19" s="33">
        <v>723456.11</v>
      </c>
      <c r="C19" s="41">
        <f>'NERCAMRT - Depreciation'!P57</f>
        <v>-10900.559876344087</v>
      </c>
      <c r="D19" s="41">
        <f t="shared" si="0"/>
        <v>712555.55012365594</v>
      </c>
      <c r="E19" s="32">
        <f t="shared" si="1"/>
        <v>149636.66552596775</v>
      </c>
      <c r="F19" s="2">
        <f t="shared" si="2"/>
        <v>562918.88459768821</v>
      </c>
      <c r="G19" s="1">
        <v>0.98499999999999999</v>
      </c>
      <c r="H19" s="2">
        <f t="shared" si="3"/>
        <v>554475.1013287229</v>
      </c>
      <c r="I19" s="19">
        <v>7.6200000000000004E-2</v>
      </c>
      <c r="J19" s="19">
        <v>3.8300000000000001E-2</v>
      </c>
      <c r="K19" s="20">
        <f t="shared" si="4"/>
        <v>3.7900000000000003E-2</v>
      </c>
      <c r="L19" s="6">
        <f t="shared" si="5"/>
        <v>3520.9168934373906</v>
      </c>
      <c r="M19" s="7">
        <f t="shared" si="6"/>
        <v>1769.6996984075074</v>
      </c>
      <c r="N19" s="8">
        <f t="shared" si="7"/>
        <v>1751.2171950298834</v>
      </c>
    </row>
    <row r="20" spans="1:16" s="17" customFormat="1" ht="14.5">
      <c r="A20" s="16">
        <v>44439</v>
      </c>
      <c r="B20" s="33">
        <v>732028.98</v>
      </c>
      <c r="C20" s="41">
        <f>'NERCAMRT - Depreciation'!P58</f>
        <v>-12598.637043010753</v>
      </c>
      <c r="D20" s="41">
        <f t="shared" si="0"/>
        <v>719430.34295698919</v>
      </c>
      <c r="E20" s="32">
        <f t="shared" si="1"/>
        <v>151080.37202096771</v>
      </c>
      <c r="F20" s="2">
        <f t="shared" si="2"/>
        <v>568349.97093602153</v>
      </c>
      <c r="G20" s="1">
        <v>0.98499999999999999</v>
      </c>
      <c r="H20" s="2">
        <f t="shared" si="3"/>
        <v>559824.7213719812</v>
      </c>
      <c r="I20" s="19">
        <v>7.6200000000000004E-2</v>
      </c>
      <c r="J20" s="19">
        <v>3.8300000000000001E-2</v>
      </c>
      <c r="K20" s="20">
        <f t="shared" si="4"/>
        <v>3.7900000000000003E-2</v>
      </c>
      <c r="L20" s="6">
        <f t="shared" si="5"/>
        <v>3554.8869807120809</v>
      </c>
      <c r="M20" s="7">
        <f t="shared" si="6"/>
        <v>1786.7739023789065</v>
      </c>
      <c r="N20" s="8">
        <f t="shared" si="7"/>
        <v>1768.1130783331739</v>
      </c>
    </row>
    <row r="21" spans="1:16" s="17" customFormat="1" ht="14.5">
      <c r="A21" s="16">
        <v>44469</v>
      </c>
      <c r="B21" s="33">
        <v>739713.12</v>
      </c>
      <c r="C21" s="41">
        <f>'NERCAMRT - Depreciation'!P59</f>
        <v>-14296.714209677419</v>
      </c>
      <c r="D21" s="41">
        <f t="shared" si="0"/>
        <v>725416.40579032258</v>
      </c>
      <c r="E21" s="32">
        <f t="shared" si="1"/>
        <v>152337.44521596775</v>
      </c>
      <c r="F21" s="2">
        <f t="shared" si="2"/>
        <v>573078.96057435486</v>
      </c>
      <c r="G21" s="1">
        <v>0.98499999999999999</v>
      </c>
      <c r="H21" s="2">
        <f t="shared" si="3"/>
        <v>564482.77616573952</v>
      </c>
      <c r="I21" s="19">
        <v>7.6200000000000004E-2</v>
      </c>
      <c r="J21" s="19">
        <v>3.8300000000000001E-2</v>
      </c>
      <c r="K21" s="20">
        <f t="shared" si="4"/>
        <v>3.7900000000000003E-2</v>
      </c>
      <c r="L21" s="6">
        <f t="shared" si="5"/>
        <v>3584.465628652446</v>
      </c>
      <c r="M21" s="7">
        <f t="shared" si="6"/>
        <v>1801.6408605956519</v>
      </c>
      <c r="N21" s="8">
        <f t="shared" si="7"/>
        <v>1782.824768056794</v>
      </c>
    </row>
    <row r="22" spans="1:16" s="17" customFormat="1" ht="14.5">
      <c r="A22" s="16">
        <v>44500</v>
      </c>
      <c r="B22" s="33">
        <v>759584.56</v>
      </c>
      <c r="C22" s="41">
        <f>'NERCAMRT - Depreciation'!P60</f>
        <v>-15994.791376344085</v>
      </c>
      <c r="D22" s="41">
        <f t="shared" si="0"/>
        <v>743589.76862365601</v>
      </c>
      <c r="E22" s="32">
        <f t="shared" si="1"/>
        <v>156153.85141096776</v>
      </c>
      <c r="F22" s="2">
        <f t="shared" si="2"/>
        <v>587435.91721268825</v>
      </c>
      <c r="G22" s="1">
        <v>0.98499999999999999</v>
      </c>
      <c r="H22" s="2">
        <f t="shared" si="3"/>
        <v>578624.3784544979</v>
      </c>
      <c r="I22" s="19">
        <v>7.6200000000000004E-2</v>
      </c>
      <c r="J22" s="19">
        <v>3.8300000000000001E-2</v>
      </c>
      <c r="K22" s="20">
        <f t="shared" si="4"/>
        <v>3.7900000000000003E-2</v>
      </c>
      <c r="L22" s="6">
        <f t="shared" si="5"/>
        <v>3674.2648031860622</v>
      </c>
      <c r="M22" s="7">
        <f t="shared" si="6"/>
        <v>1846.7761412339394</v>
      </c>
      <c r="N22" s="8">
        <f t="shared" si="7"/>
        <v>1827.4886619521228</v>
      </c>
    </row>
    <row r="23" spans="1:16" s="17" customFormat="1" ht="14.5">
      <c r="A23" s="16">
        <v>44530</v>
      </c>
      <c r="B23" s="33">
        <v>770281.66</v>
      </c>
      <c r="C23" s="41">
        <f>'NERCAMRT - Depreciation'!P61</f>
        <v>-17692.868543010751</v>
      </c>
      <c r="D23" s="41">
        <f t="shared" si="0"/>
        <v>752588.79145698925</v>
      </c>
      <c r="E23" s="32">
        <f t="shared" si="1"/>
        <v>158043.64620596773</v>
      </c>
      <c r="F23" s="2">
        <f t="shared" si="2"/>
        <v>594545.14525102149</v>
      </c>
      <c r="G23" s="1">
        <v>0.98499999999999999</v>
      </c>
      <c r="H23" s="2">
        <f t="shared" si="3"/>
        <v>585626.96807225619</v>
      </c>
      <c r="I23" s="19">
        <v>7.6200000000000004E-2</v>
      </c>
      <c r="J23" s="19">
        <v>3.8300000000000001E-2</v>
      </c>
      <c r="K23" s="20">
        <f t="shared" si="4"/>
        <v>3.7900000000000003E-2</v>
      </c>
      <c r="L23" s="6">
        <f t="shared" si="5"/>
        <v>3718.7312472588269</v>
      </c>
      <c r="M23" s="7">
        <f t="shared" si="6"/>
        <v>1869.1260730972845</v>
      </c>
      <c r="N23" s="8">
        <f t="shared" si="7"/>
        <v>1849.6051741615427</v>
      </c>
    </row>
    <row r="24" spans="1:16" s="17" customFormat="1" ht="14.5">
      <c r="A24" s="16">
        <v>44561</v>
      </c>
      <c r="B24" s="33">
        <v>787911.69</v>
      </c>
      <c r="C24" s="41">
        <f>'NERCAMRT - Depreciation'!P62</f>
        <v>-19390.945709677417</v>
      </c>
      <c r="D24" s="41">
        <f t="shared" si="0"/>
        <v>768520.74429032253</v>
      </c>
      <c r="E24" s="32">
        <f t="shared" si="1"/>
        <v>161389.35630096772</v>
      </c>
      <c r="F24" s="2">
        <f t="shared" si="2"/>
        <v>607131.38798935479</v>
      </c>
      <c r="G24" s="1">
        <v>0.98499999999999999</v>
      </c>
      <c r="H24" s="2">
        <f t="shared" si="3"/>
        <v>598024.41716951446</v>
      </c>
      <c r="I24" s="19">
        <v>7.6200000000000004E-2</v>
      </c>
      <c r="J24" s="19">
        <v>3.8300000000000001E-2</v>
      </c>
      <c r="K24" s="20">
        <f t="shared" si="4"/>
        <v>3.7900000000000003E-2</v>
      </c>
      <c r="L24" s="6">
        <f t="shared" si="5"/>
        <v>3797.4550490264169</v>
      </c>
      <c r="M24" s="7">
        <f t="shared" si="6"/>
        <v>1908.6945981327005</v>
      </c>
      <c r="N24" s="8">
        <f t="shared" si="7"/>
        <v>1888.7604508937166</v>
      </c>
    </row>
    <row r="25" spans="1:16" s="17" customFormat="1" ht="14.5">
      <c r="A25" s="16">
        <v>44592</v>
      </c>
      <c r="B25" s="33">
        <v>833967.65999999968</v>
      </c>
      <c r="C25" s="41">
        <f>'NERCAMRT - Depreciation'!P64</f>
        <v>-21089.022876344083</v>
      </c>
      <c r="D25" s="41">
        <f t="shared" si="0"/>
        <v>812878.63712365564</v>
      </c>
      <c r="E25" s="32">
        <f t="shared" si="1"/>
        <v>170704.51379596768</v>
      </c>
      <c r="F25" s="2">
        <f t="shared" si="2"/>
        <v>642174.12332768796</v>
      </c>
      <c r="G25" s="1">
        <v>0.98499999999999999</v>
      </c>
      <c r="H25" s="2">
        <f t="shared" si="3"/>
        <v>632541.51147777261</v>
      </c>
      <c r="I25" s="19">
        <v>7.6200000000000004E-2</v>
      </c>
      <c r="J25" s="19">
        <v>3.8300000000000001E-2</v>
      </c>
      <c r="K25" s="20">
        <f t="shared" si="4"/>
        <v>3.7900000000000003E-2</v>
      </c>
      <c r="L25" s="6">
        <f t="shared" si="5"/>
        <v>4016.6385978838566</v>
      </c>
      <c r="M25" s="7">
        <f t="shared" si="6"/>
        <v>2018.8616574665575</v>
      </c>
      <c r="N25" s="8">
        <f t="shared" si="7"/>
        <v>1997.7769404172986</v>
      </c>
      <c r="O25" s="76"/>
    </row>
    <row r="26" spans="1:16" s="17" customFormat="1" ht="14.5">
      <c r="A26" s="16">
        <v>44620</v>
      </c>
      <c r="B26" s="33">
        <v>904671.94999999984</v>
      </c>
      <c r="C26" s="41">
        <f>'NERCAMRT - Depreciation'!P65</f>
        <v>-22787.100043010749</v>
      </c>
      <c r="D26" s="41">
        <f t="shared" si="0"/>
        <v>881884.84995698906</v>
      </c>
      <c r="E26" s="32">
        <f t="shared" si="1"/>
        <v>185195.81849096771</v>
      </c>
      <c r="F26" s="2">
        <f t="shared" si="2"/>
        <v>696689.03146602132</v>
      </c>
      <c r="G26" s="1">
        <v>0.98499999999999999</v>
      </c>
      <c r="H26" s="2">
        <f t="shared" si="3"/>
        <v>686238.69599403103</v>
      </c>
      <c r="I26" s="19">
        <v>7.6200000000000004E-2</v>
      </c>
      <c r="J26" s="19">
        <v>3.8300000000000001E-2</v>
      </c>
      <c r="K26" s="20">
        <f t="shared" si="4"/>
        <v>3.7900000000000003E-2</v>
      </c>
      <c r="L26" s="6">
        <f t="shared" si="5"/>
        <v>4357.6157195620972</v>
      </c>
      <c r="M26" s="7">
        <f t="shared" si="6"/>
        <v>2190.2451713809492</v>
      </c>
      <c r="N26" s="8">
        <f t="shared" si="7"/>
        <v>2167.370548181148</v>
      </c>
      <c r="O26" s="33"/>
      <c r="P26" s="33"/>
    </row>
    <row r="27" spans="1:16" s="17" customFormat="1" ht="14.5">
      <c r="A27" s="16">
        <v>44651</v>
      </c>
      <c r="B27" s="33">
        <v>906500.17999999982</v>
      </c>
      <c r="C27" s="41">
        <f>'NERCAMRT - Depreciation'!P66</f>
        <v>-24485.177209677415</v>
      </c>
      <c r="D27" s="41">
        <f t="shared" si="0"/>
        <v>882015.00279032241</v>
      </c>
      <c r="E27" s="32">
        <f t="shared" si="1"/>
        <v>185223.1505859677</v>
      </c>
      <c r="F27" s="2">
        <f t="shared" si="2"/>
        <v>696791.85220435471</v>
      </c>
      <c r="G27" s="1">
        <v>0.98499999999999999</v>
      </c>
      <c r="H27" s="2">
        <f t="shared" si="3"/>
        <v>686339.9744212894</v>
      </c>
      <c r="I27" s="19">
        <v>7.6200000000000004E-2</v>
      </c>
      <c r="J27" s="19">
        <v>3.8300000000000001E-2</v>
      </c>
      <c r="K27" s="20">
        <f t="shared" si="4"/>
        <v>3.7900000000000003E-2</v>
      </c>
      <c r="L27" s="6">
        <f t="shared" si="5"/>
        <v>4358.2588375751884</v>
      </c>
      <c r="M27" s="7">
        <f t="shared" si="6"/>
        <v>2190.5684183612821</v>
      </c>
      <c r="N27" s="8">
        <f t="shared" si="7"/>
        <v>2167.6904192139059</v>
      </c>
    </row>
    <row r="28" spans="1:16" s="17" customFormat="1" ht="14.5">
      <c r="A28" s="16">
        <v>44681</v>
      </c>
      <c r="B28" s="33">
        <v>915769.95</v>
      </c>
      <c r="C28" s="41">
        <f>'NERCAMRT - Depreciation'!P67</f>
        <v>-26183.254376344081</v>
      </c>
      <c r="D28" s="41">
        <f t="shared" si="0"/>
        <v>889586.69562365592</v>
      </c>
      <c r="E28" s="32">
        <f t="shared" si="1"/>
        <v>186813.20608096774</v>
      </c>
      <c r="F28" s="2">
        <f t="shared" si="2"/>
        <v>702773.48954268824</v>
      </c>
      <c r="G28" s="1">
        <v>0.98499999999999999</v>
      </c>
      <c r="H28" s="2">
        <f t="shared" si="3"/>
        <v>692231.88719954796</v>
      </c>
      <c r="I28" s="19">
        <v>7.6200000000000004E-2</v>
      </c>
      <c r="J28" s="19">
        <v>3.8300000000000001E-2</v>
      </c>
      <c r="K28" s="20">
        <f t="shared" si="4"/>
        <v>3.7900000000000003E-2</v>
      </c>
      <c r="L28" s="6">
        <f t="shared" si="5"/>
        <v>4395.6724837171296</v>
      </c>
      <c r="M28" s="7">
        <f t="shared" si="6"/>
        <v>2209.3734399785571</v>
      </c>
      <c r="N28" s="8">
        <f t="shared" si="7"/>
        <v>2186.2990437385724</v>
      </c>
    </row>
    <row r="29" spans="1:16" s="17" customFormat="1" ht="14.5">
      <c r="A29" s="16">
        <v>44712</v>
      </c>
      <c r="B29" s="33">
        <v>919275.76</v>
      </c>
      <c r="C29" s="41">
        <f>'NERCAMRT - Depreciation'!P68</f>
        <v>-27881.331543010747</v>
      </c>
      <c r="D29" s="41">
        <f t="shared" si="0"/>
        <v>891394.42845698923</v>
      </c>
      <c r="E29" s="32">
        <f t="shared" si="1"/>
        <v>187192.82997596773</v>
      </c>
      <c r="F29" s="2">
        <f t="shared" si="2"/>
        <v>704201.59848102147</v>
      </c>
      <c r="G29" s="1">
        <v>0.98499999999999999</v>
      </c>
      <c r="H29" s="2">
        <f t="shared" si="3"/>
        <v>693638.57450380619</v>
      </c>
      <c r="I29" s="19">
        <v>7.6200000000000004E-2</v>
      </c>
      <c r="J29" s="19">
        <v>3.8300000000000001E-2</v>
      </c>
      <c r="K29" s="20">
        <f t="shared" si="4"/>
        <v>3.7900000000000003E-2</v>
      </c>
      <c r="L29" s="6">
        <f t="shared" si="5"/>
        <v>4404.6049480991696</v>
      </c>
      <c r="M29" s="7">
        <f t="shared" si="6"/>
        <v>2213.8631169579817</v>
      </c>
      <c r="N29" s="8">
        <f t="shared" si="7"/>
        <v>2190.741831141188</v>
      </c>
    </row>
    <row r="30" spans="1:16" s="17" customFormat="1" ht="14.5">
      <c r="A30" s="16">
        <v>44742</v>
      </c>
      <c r="B30" s="33">
        <v>923528.97</v>
      </c>
      <c r="C30" s="41">
        <f>'NERCAMRT - Depreciation'!P69</f>
        <v>-29579.408709677413</v>
      </c>
      <c r="D30" s="41">
        <f t="shared" si="0"/>
        <v>893949.56129032257</v>
      </c>
      <c r="E30" s="32">
        <f t="shared" si="1"/>
        <v>187729.40787096773</v>
      </c>
      <c r="F30" s="2">
        <f t="shared" si="2"/>
        <v>706220.15341935481</v>
      </c>
      <c r="G30" s="1">
        <v>0.98499999999999999</v>
      </c>
      <c r="H30" s="2">
        <f t="shared" si="3"/>
        <v>695626.85111806449</v>
      </c>
      <c r="I30" s="19">
        <v>7.6200000000000004E-2</v>
      </c>
      <c r="J30" s="19">
        <v>3.8300000000000001E-2</v>
      </c>
      <c r="K30" s="20">
        <f t="shared" si="4"/>
        <v>3.7900000000000003E-2</v>
      </c>
      <c r="L30" s="6">
        <f t="shared" si="5"/>
        <v>4417.23050459971</v>
      </c>
      <c r="M30" s="7">
        <f t="shared" si="6"/>
        <v>2220.2090331518225</v>
      </c>
      <c r="N30" s="8">
        <f t="shared" si="7"/>
        <v>2197.0214714478871</v>
      </c>
    </row>
    <row r="31" spans="1:16" s="17" customFormat="1" ht="14.5">
      <c r="A31" s="16">
        <v>44773</v>
      </c>
      <c r="B31" s="33">
        <v>936022.72</v>
      </c>
      <c r="C31" s="41">
        <f>'NERCAMRT - Depreciation'!P70</f>
        <v>-31277.485876344079</v>
      </c>
      <c r="D31" s="41">
        <f t="shared" si="0"/>
        <v>904745.23412365594</v>
      </c>
      <c r="E31" s="32">
        <f t="shared" si="1"/>
        <v>189996.49916596775</v>
      </c>
      <c r="F31" s="2">
        <f t="shared" si="2"/>
        <v>714748.73495768826</v>
      </c>
      <c r="G31" s="1">
        <v>0.98499999999999999</v>
      </c>
      <c r="H31" s="2">
        <f t="shared" si="3"/>
        <v>704027.50393332297</v>
      </c>
      <c r="I31" s="19">
        <v>7.6200000000000004E-2</v>
      </c>
      <c r="J31" s="19">
        <v>3.8300000000000001E-2</v>
      </c>
      <c r="K31" s="20">
        <f t="shared" si="4"/>
        <v>3.7900000000000003E-2</v>
      </c>
      <c r="L31" s="6">
        <f t="shared" si="5"/>
        <v>4470.574649976601</v>
      </c>
      <c r="M31" s="7">
        <f t="shared" si="6"/>
        <v>2247.0211167205225</v>
      </c>
      <c r="N31" s="8">
        <f t="shared" si="7"/>
        <v>2223.5535332560785</v>
      </c>
    </row>
    <row r="32" spans="1:16" s="17" customFormat="1" ht="14.5">
      <c r="A32" s="16">
        <v>44804</v>
      </c>
      <c r="B32" s="33">
        <v>941791.04</v>
      </c>
      <c r="C32" s="41">
        <f>'NERCAMRT - Depreciation'!P71</f>
        <v>-32975.563043010749</v>
      </c>
      <c r="D32" s="41">
        <f t="shared" si="0"/>
        <v>908815.47695698927</v>
      </c>
      <c r="E32" s="32">
        <f t="shared" si="1"/>
        <v>190851.25016096773</v>
      </c>
      <c r="F32" s="2">
        <f t="shared" si="2"/>
        <v>717964.22679602157</v>
      </c>
      <c r="G32" s="1">
        <v>0.98499999999999999</v>
      </c>
      <c r="H32" s="2">
        <f t="shared" si="3"/>
        <v>707194.76339408127</v>
      </c>
      <c r="I32" s="19">
        <v>7.6200000000000004E-2</v>
      </c>
      <c r="J32" s="19">
        <v>3.8300000000000001E-2</v>
      </c>
      <c r="K32" s="20">
        <f t="shared" si="4"/>
        <v>3.7900000000000003E-2</v>
      </c>
      <c r="L32" s="6">
        <f t="shared" si="5"/>
        <v>4490.6867475524168</v>
      </c>
      <c r="M32" s="7">
        <f t="shared" si="6"/>
        <v>2257.1299531661093</v>
      </c>
      <c r="N32" s="8">
        <f t="shared" si="7"/>
        <v>2233.5567943863066</v>
      </c>
    </row>
    <row r="33" spans="1:14" s="17" customFormat="1" ht="14.5">
      <c r="A33" s="16">
        <v>44834</v>
      </c>
      <c r="B33" s="33">
        <v>949116.46</v>
      </c>
      <c r="C33" s="41">
        <f>'NERCAMRT - Depreciation'!P72</f>
        <v>-34673.640209677418</v>
      </c>
      <c r="D33" s="41">
        <f t="shared" si="0"/>
        <v>914442.81979032257</v>
      </c>
      <c r="E33" s="32">
        <f t="shared" si="1"/>
        <v>192032.99215596775</v>
      </c>
      <c r="F33" s="2">
        <f t="shared" si="2"/>
        <v>722409.82763435482</v>
      </c>
      <c r="G33" s="1">
        <v>0.98499999999999999</v>
      </c>
      <c r="H33" s="2">
        <f t="shared" si="3"/>
        <v>711573.68021983944</v>
      </c>
      <c r="I33" s="19">
        <v>7.6200000000000004E-2</v>
      </c>
      <c r="J33" s="19">
        <v>3.8300000000000001E-2</v>
      </c>
      <c r="K33" s="20">
        <f t="shared" si="4"/>
        <v>3.7900000000000003E-2</v>
      </c>
      <c r="L33" s="6">
        <f t="shared" si="5"/>
        <v>4518.492869395981</v>
      </c>
      <c r="M33" s="7">
        <f t="shared" si="6"/>
        <v>2271.1059960349876</v>
      </c>
      <c r="N33" s="8">
        <f t="shared" si="7"/>
        <v>2247.3868733609929</v>
      </c>
    </row>
    <row r="34" spans="1:14" s="17" customFormat="1" ht="14.5">
      <c r="A34" s="16">
        <v>44865</v>
      </c>
      <c r="B34" s="33">
        <v>958060.03</v>
      </c>
      <c r="C34" s="41">
        <f>'NERCAMRT - Depreciation'!P73</f>
        <v>-36371.717376344088</v>
      </c>
      <c r="D34" s="41">
        <f t="shared" si="0"/>
        <v>921688.31262365589</v>
      </c>
      <c r="E34" s="32">
        <f t="shared" si="1"/>
        <v>193554.54565096772</v>
      </c>
      <c r="F34" s="2">
        <f t="shared" si="2"/>
        <v>728133.76697268814</v>
      </c>
      <c r="G34" s="1">
        <v>0.98499999999999999</v>
      </c>
      <c r="H34" s="2">
        <f t="shared" si="3"/>
        <v>717211.76046809787</v>
      </c>
      <c r="I34" s="19">
        <v>7.6200000000000004E-2</v>
      </c>
      <c r="J34" s="19">
        <v>3.8300000000000001E-2</v>
      </c>
      <c r="K34" s="20">
        <f t="shared" si="4"/>
        <v>3.7900000000000003E-2</v>
      </c>
      <c r="L34" s="6">
        <f t="shared" si="5"/>
        <v>4554.2946789724219</v>
      </c>
      <c r="M34" s="7">
        <f t="shared" si="6"/>
        <v>2289.1008688273455</v>
      </c>
      <c r="N34" s="8">
        <f t="shared" si="7"/>
        <v>2265.193810145076</v>
      </c>
    </row>
    <row r="35" spans="1:14" s="17" customFormat="1" ht="14.5">
      <c r="A35" s="16">
        <v>44895</v>
      </c>
      <c r="B35" s="33">
        <v>979372.58</v>
      </c>
      <c r="C35" s="41">
        <f>'NERCAMRT - Depreciation'!P74</f>
        <v>-38069.794543010757</v>
      </c>
      <c r="D35" s="41">
        <f t="shared" si="0"/>
        <v>941302.78545698919</v>
      </c>
      <c r="E35" s="32">
        <f t="shared" si="1"/>
        <v>197673.58494596771</v>
      </c>
      <c r="F35" s="2">
        <f t="shared" si="2"/>
        <v>743629.20051102154</v>
      </c>
      <c r="G35" s="1">
        <v>0.98499999999999999</v>
      </c>
      <c r="H35" s="2">
        <f t="shared" si="3"/>
        <v>732474.76250335621</v>
      </c>
      <c r="I35" s="19">
        <v>7.6200000000000004E-2</v>
      </c>
      <c r="J35" s="19">
        <v>3.8300000000000001E-2</v>
      </c>
      <c r="K35" s="20">
        <f t="shared" si="4"/>
        <v>3.7900000000000003E-2</v>
      </c>
      <c r="L35" s="6">
        <f t="shared" si="5"/>
        <v>4651.2147418963123</v>
      </c>
      <c r="M35" s="7">
        <f t="shared" si="6"/>
        <v>2337.8152836565455</v>
      </c>
      <c r="N35" s="8">
        <f t="shared" si="7"/>
        <v>2313.3994582397668</v>
      </c>
    </row>
    <row r="36" spans="1:14" s="17" customFormat="1" ht="14.5">
      <c r="A36" s="16">
        <v>44926</v>
      </c>
      <c r="B36" s="33">
        <v>988519.99</v>
      </c>
      <c r="C36" s="41">
        <f>'NERCAMRT - Depreciation'!P75</f>
        <v>-39767.871709677427</v>
      </c>
      <c r="D36" s="41">
        <f t="shared" si="0"/>
        <v>948752.1182903226</v>
      </c>
      <c r="E36" s="32">
        <f t="shared" si="1"/>
        <v>199237.94484096774</v>
      </c>
      <c r="F36" s="2">
        <f t="shared" si="2"/>
        <v>749514.17344935483</v>
      </c>
      <c r="G36" s="1">
        <v>0.98499999999999999</v>
      </c>
      <c r="H36" s="2">
        <f t="shared" si="3"/>
        <v>738271.46084761445</v>
      </c>
      <c r="I36" s="19">
        <v>7.6200000000000004E-2</v>
      </c>
      <c r="J36" s="19">
        <v>3.8300000000000001E-2</v>
      </c>
      <c r="K36" s="20">
        <f t="shared" si="4"/>
        <v>3.7900000000000003E-2</v>
      </c>
      <c r="L36" s="6">
        <f t="shared" si="5"/>
        <v>4688.0237763823525</v>
      </c>
      <c r="M36" s="7">
        <f t="shared" si="6"/>
        <v>2356.3164125386361</v>
      </c>
      <c r="N36" s="8">
        <f t="shared" si="7"/>
        <v>2331.7073638437159</v>
      </c>
    </row>
    <row r="37" spans="1:14" s="17" customFormat="1" ht="14.5">
      <c r="A37" s="16">
        <v>44957</v>
      </c>
      <c r="B37" s="33">
        <v>996008.07</v>
      </c>
      <c r="C37" s="41">
        <f>'NERCAMRT - Depreciation'!P77</f>
        <v>-41465.948876344097</v>
      </c>
      <c r="D37" s="41">
        <f t="shared" si="0"/>
        <v>954542.12112365582</v>
      </c>
      <c r="E37" s="32">
        <f t="shared" si="1"/>
        <v>200453.84543596773</v>
      </c>
      <c r="F37" s="2">
        <f t="shared" si="2"/>
        <v>754088.27568768803</v>
      </c>
      <c r="G37" s="1">
        <v>0.98499999999999999</v>
      </c>
      <c r="H37" s="2">
        <f t="shared" si="3"/>
        <v>742776.95155237266</v>
      </c>
      <c r="I37" s="19">
        <v>7.6200000000000004E-2</v>
      </c>
      <c r="J37" s="19">
        <v>3.8300000000000001E-2</v>
      </c>
      <c r="K37" s="20">
        <f t="shared" si="4"/>
        <v>3.7900000000000003E-2</v>
      </c>
      <c r="L37" s="6">
        <f t="shared" si="5"/>
        <v>4716.6336423575667</v>
      </c>
      <c r="M37" s="7">
        <f t="shared" si="6"/>
        <v>2370.6964370379897</v>
      </c>
      <c r="N37" s="8">
        <f t="shared" si="7"/>
        <v>2345.9372053195771</v>
      </c>
    </row>
    <row r="38" spans="1:14" s="17" customFormat="1" ht="14.5">
      <c r="A38" s="16">
        <v>44985</v>
      </c>
      <c r="B38" s="33">
        <v>1035205.54</v>
      </c>
      <c r="C38" s="41">
        <f>'NERCAMRT - Depreciation'!P78</f>
        <v>-43164.026043010766</v>
      </c>
      <c r="D38" s="41">
        <f t="shared" si="0"/>
        <v>992041.51395698928</v>
      </c>
      <c r="E38" s="32">
        <f t="shared" si="1"/>
        <v>208328.71793096774</v>
      </c>
      <c r="F38" s="2">
        <f t="shared" si="2"/>
        <v>783712.79602602147</v>
      </c>
      <c r="G38" s="1">
        <v>0.98499999999999999</v>
      </c>
      <c r="H38" s="2">
        <f t="shared" si="3"/>
        <v>771957.10408563109</v>
      </c>
      <c r="I38" s="19">
        <v>7.6200000000000004E-2</v>
      </c>
      <c r="J38" s="19">
        <v>3.8300000000000001E-2</v>
      </c>
      <c r="K38" s="20">
        <f t="shared" si="4"/>
        <v>3.7900000000000003E-2</v>
      </c>
      <c r="L38" s="6">
        <f t="shared" si="5"/>
        <v>4901.9276109437578</v>
      </c>
      <c r="M38" s="7">
        <f t="shared" si="6"/>
        <v>2463.829757206639</v>
      </c>
      <c r="N38" s="8">
        <f t="shared" si="7"/>
        <v>2438.0978537371184</v>
      </c>
    </row>
    <row r="39" spans="1:14" s="17" customFormat="1" ht="14.5">
      <c r="A39" s="16">
        <v>45016</v>
      </c>
      <c r="B39" s="33">
        <v>1043264.76</v>
      </c>
      <c r="C39" s="41">
        <f>'NERCAMRT - Depreciation'!P79</f>
        <v>-44862.103209677436</v>
      </c>
      <c r="D39" s="41">
        <f t="shared" si="0"/>
        <v>998402.65679032262</v>
      </c>
      <c r="E39" s="32">
        <f t="shared" si="1"/>
        <v>209664.55792596773</v>
      </c>
      <c r="F39" s="2">
        <f t="shared" si="2"/>
        <v>788738.09886435489</v>
      </c>
      <c r="G39" s="1">
        <v>0.98499999999999999</v>
      </c>
      <c r="H39" s="2">
        <f t="shared" si="3"/>
        <v>776907.02738138952</v>
      </c>
      <c r="I39" s="19">
        <v>7.6200000000000004E-2</v>
      </c>
      <c r="J39" s="19">
        <v>3.8300000000000001E-2</v>
      </c>
      <c r="K39" s="20">
        <f t="shared" si="4"/>
        <v>3.7900000000000003E-2</v>
      </c>
      <c r="L39" s="6">
        <f t="shared" si="5"/>
        <v>4933.3596238718237</v>
      </c>
      <c r="M39" s="7">
        <f t="shared" si="6"/>
        <v>2479.6282623922684</v>
      </c>
      <c r="N39" s="8">
        <f t="shared" si="7"/>
        <v>2453.7313614795553</v>
      </c>
    </row>
    <row r="40" spans="1:14" s="17" customFormat="1" ht="14.5">
      <c r="A40" s="16">
        <v>45046</v>
      </c>
      <c r="B40" s="33">
        <v>1048992.4099999999</v>
      </c>
      <c r="C40" s="41">
        <f>'NERCAMRT - Depreciation'!P80</f>
        <v>-46560.180376344106</v>
      </c>
      <c r="D40" s="41">
        <f t="shared" si="0"/>
        <v>1002432.2296236558</v>
      </c>
      <c r="E40" s="32">
        <f t="shared" si="1"/>
        <v>210510.7682209677</v>
      </c>
      <c r="F40" s="2">
        <f t="shared" si="2"/>
        <v>791921.46140268806</v>
      </c>
      <c r="G40" s="1">
        <v>0.98499999999999999</v>
      </c>
      <c r="H40" s="2">
        <f t="shared" si="3"/>
        <v>780042.63948164776</v>
      </c>
      <c r="I40" s="19">
        <v>7.6200000000000004E-2</v>
      </c>
      <c r="J40" s="19">
        <v>3.8300000000000001E-2</v>
      </c>
      <c r="K40" s="20">
        <f t="shared" si="4"/>
        <v>3.7900000000000003E-2</v>
      </c>
      <c r="L40" s="6">
        <f t="shared" si="5"/>
        <v>4953.270760708464</v>
      </c>
      <c r="M40" s="7">
        <f t="shared" si="6"/>
        <v>2489.6360910122589</v>
      </c>
      <c r="N40" s="8">
        <f t="shared" si="7"/>
        <v>2463.6346696962041</v>
      </c>
    </row>
    <row r="41" spans="1:14" s="17" customFormat="1" ht="14.5">
      <c r="A41" s="16">
        <v>45077</v>
      </c>
      <c r="B41" s="33">
        <v>1056163.3600000001</v>
      </c>
      <c r="C41" s="41">
        <f>'NERCAMRT - Depreciation'!P81</f>
        <v>-48258.257543010775</v>
      </c>
      <c r="D41" s="41">
        <f t="shared" si="0"/>
        <v>1007905.1024569893</v>
      </c>
      <c r="E41" s="32">
        <f t="shared" si="1"/>
        <v>211660.07151596775</v>
      </c>
      <c r="F41" s="2">
        <f t="shared" si="2"/>
        <v>796245.03094102163</v>
      </c>
      <c r="G41" s="1">
        <v>0.98499999999999999</v>
      </c>
      <c r="H41" s="2">
        <f t="shared" si="3"/>
        <v>784301.35547690629</v>
      </c>
      <c r="I41" s="19">
        <v>7.6200000000000004E-2</v>
      </c>
      <c r="J41" s="19">
        <v>3.8300000000000001E-2</v>
      </c>
      <c r="K41" s="20">
        <f t="shared" si="4"/>
        <v>3.7900000000000003E-2</v>
      </c>
      <c r="L41" s="6">
        <f t="shared" si="5"/>
        <v>4980.3136072783554</v>
      </c>
      <c r="M41" s="7">
        <f t="shared" si="6"/>
        <v>2503.2284928971262</v>
      </c>
      <c r="N41" s="8">
        <f t="shared" si="7"/>
        <v>2477.0851143812292</v>
      </c>
    </row>
    <row r="42" spans="1:14" s="17" customFormat="1" ht="14.5">
      <c r="A42" s="16">
        <v>45107</v>
      </c>
      <c r="B42" s="33">
        <v>1063312.05</v>
      </c>
      <c r="C42" s="41">
        <f>'NERCAMRT - Depreciation'!P82</f>
        <v>-49956.334709677445</v>
      </c>
      <c r="D42" s="41">
        <f t="shared" si="0"/>
        <v>1013355.7152903226</v>
      </c>
      <c r="E42" s="32">
        <f t="shared" si="1"/>
        <v>212804.70021096774</v>
      </c>
      <c r="F42" s="2">
        <f t="shared" si="2"/>
        <v>800551.01507935487</v>
      </c>
      <c r="G42" s="1">
        <v>0.98499999999999999</v>
      </c>
      <c r="H42" s="2">
        <f t="shared" si="3"/>
        <v>788542.74985316454</v>
      </c>
      <c r="I42" s="19">
        <v>7.6200000000000004E-2</v>
      </c>
      <c r="J42" s="19">
        <v>3.8300000000000001E-2</v>
      </c>
      <c r="K42" s="20">
        <f t="shared" si="4"/>
        <v>3.7900000000000003E-2</v>
      </c>
      <c r="L42" s="6">
        <f t="shared" si="5"/>
        <v>5007.2464615675954</v>
      </c>
      <c r="M42" s="7">
        <f t="shared" si="6"/>
        <v>2516.7656099480168</v>
      </c>
      <c r="N42" s="8">
        <f t="shared" si="7"/>
        <v>2490.4808516195781</v>
      </c>
    </row>
    <row r="43" spans="1:14" s="17" customFormat="1" ht="14.5">
      <c r="A43" s="16">
        <v>45138</v>
      </c>
      <c r="B43" s="33">
        <v>1068164.3400000001</v>
      </c>
      <c r="C43" s="41">
        <f>'NERCAMRT - Depreciation'!P83</f>
        <v>-51654.411876344115</v>
      </c>
      <c r="D43" s="41">
        <f t="shared" si="0"/>
        <v>1016509.928123656</v>
      </c>
      <c r="E43" s="32">
        <f t="shared" si="1"/>
        <v>213467.08490596776</v>
      </c>
      <c r="F43" s="2">
        <f t="shared" si="2"/>
        <v>803042.84321768815</v>
      </c>
      <c r="G43" s="1">
        <v>0.98499999999999999</v>
      </c>
      <c r="H43" s="2">
        <f t="shared" si="3"/>
        <v>790997.2005694228</v>
      </c>
      <c r="I43" s="19">
        <v>7.6200000000000004E-2</v>
      </c>
      <c r="J43" s="19">
        <v>3.8300000000000001E-2</v>
      </c>
      <c r="K43" s="20">
        <f t="shared" si="4"/>
        <v>3.7900000000000003E-2</v>
      </c>
      <c r="L43" s="6">
        <f t="shared" si="5"/>
        <v>5022.8322236158356</v>
      </c>
      <c r="M43" s="7">
        <f t="shared" si="6"/>
        <v>2524.5993984840748</v>
      </c>
      <c r="N43" s="8">
        <f t="shared" si="7"/>
        <v>2498.2328251317608</v>
      </c>
    </row>
    <row r="44" spans="1:14" s="17" customFormat="1" ht="14.5">
      <c r="A44" s="16">
        <v>45169</v>
      </c>
      <c r="B44" s="33">
        <v>1075915.82</v>
      </c>
      <c r="C44" s="41">
        <f>'NERCAMRT - Depreciation'!P84</f>
        <v>-53352.489043010784</v>
      </c>
      <c r="D44" s="41">
        <f t="shared" si="0"/>
        <v>1022563.3309569893</v>
      </c>
      <c r="E44" s="32">
        <f t="shared" si="1"/>
        <v>214738.29950096775</v>
      </c>
      <c r="F44" s="2">
        <f t="shared" si="2"/>
        <v>807825.03145602159</v>
      </c>
      <c r="G44" s="1">
        <v>0.98499999999999999</v>
      </c>
      <c r="H44" s="2">
        <f t="shared" si="3"/>
        <v>795707.65598418121</v>
      </c>
      <c r="I44" s="19">
        <v>7.6200000000000004E-2</v>
      </c>
      <c r="J44" s="19">
        <v>3.8300000000000001E-2</v>
      </c>
      <c r="K44" s="20">
        <f t="shared" si="4"/>
        <v>3.7900000000000003E-2</v>
      </c>
      <c r="L44" s="6">
        <f t="shared" si="5"/>
        <v>5052.7436154995512</v>
      </c>
      <c r="M44" s="7">
        <f t="shared" si="6"/>
        <v>2539.6336020161784</v>
      </c>
      <c r="N44" s="8">
        <f t="shared" si="7"/>
        <v>2513.1100134833728</v>
      </c>
    </row>
    <row r="45" spans="1:14" s="17" customFormat="1" ht="14.5">
      <c r="A45" s="16">
        <v>45199</v>
      </c>
      <c r="B45" s="33">
        <v>1083013.71</v>
      </c>
      <c r="C45" s="41">
        <f>'NERCAMRT - Depreciation'!P85</f>
        <v>-55050.566209677454</v>
      </c>
      <c r="D45" s="41">
        <f t="shared" si="0"/>
        <v>1027963.1437903225</v>
      </c>
      <c r="E45" s="32">
        <f t="shared" si="1"/>
        <v>215872.26019596771</v>
      </c>
      <c r="F45" s="2">
        <f t="shared" si="2"/>
        <v>812090.88359435473</v>
      </c>
      <c r="G45" s="1">
        <v>0.98499999999999999</v>
      </c>
      <c r="H45" s="2">
        <f t="shared" si="3"/>
        <v>799909.5203404394</v>
      </c>
      <c r="I45" s="19">
        <v>7.6200000000000004E-2</v>
      </c>
      <c r="J45" s="19">
        <v>3.8300000000000001E-2</v>
      </c>
      <c r="K45" s="20">
        <f t="shared" si="4"/>
        <v>3.7900000000000003E-2</v>
      </c>
      <c r="L45" s="6">
        <f t="shared" si="5"/>
        <v>5079.4254541617902</v>
      </c>
      <c r="M45" s="7">
        <f t="shared" si="6"/>
        <v>2553.0445524199026</v>
      </c>
      <c r="N45" s="8">
        <f t="shared" si="7"/>
        <v>2526.380901741888</v>
      </c>
    </row>
    <row r="46" spans="1:14" s="17" customFormat="1" ht="14.5">
      <c r="A46" s="16">
        <v>45230</v>
      </c>
      <c r="B46" s="33">
        <v>1091096.8799999999</v>
      </c>
      <c r="C46" s="41">
        <f>'NERCAMRT - Depreciation'!P86</f>
        <v>-56748.643376344124</v>
      </c>
      <c r="D46" s="41">
        <f t="shared" si="0"/>
        <v>1034348.2366236558</v>
      </c>
      <c r="E46" s="32">
        <f t="shared" si="1"/>
        <v>217213.1296909677</v>
      </c>
      <c r="F46" s="2">
        <f t="shared" si="2"/>
        <v>817135.10693268804</v>
      </c>
      <c r="G46" s="1">
        <v>0.98499999999999999</v>
      </c>
      <c r="H46" s="2">
        <f t="shared" si="3"/>
        <v>804878.08032869769</v>
      </c>
      <c r="I46" s="19">
        <v>7.6200000000000004E-2</v>
      </c>
      <c r="J46" s="19">
        <v>3.8300000000000001E-2</v>
      </c>
      <c r="K46" s="20">
        <f t="shared" si="4"/>
        <v>3.7900000000000003E-2</v>
      </c>
      <c r="L46" s="6">
        <f t="shared" si="5"/>
        <v>5110.9758100872305</v>
      </c>
      <c r="M46" s="7">
        <f t="shared" si="6"/>
        <v>2568.9025397157602</v>
      </c>
      <c r="N46" s="8">
        <f t="shared" si="7"/>
        <v>2542.0732703714707</v>
      </c>
    </row>
    <row r="47" spans="1:14" s="17" customFormat="1" ht="14.5">
      <c r="A47" s="16">
        <v>45260</v>
      </c>
      <c r="B47" s="33">
        <v>1086787.01</v>
      </c>
      <c r="C47" s="41">
        <f>'NERCAMRT - Depreciation'!P87</f>
        <v>-58446.720543010793</v>
      </c>
      <c r="D47" s="41">
        <f t="shared" si="0"/>
        <v>1028340.2894569893</v>
      </c>
      <c r="E47" s="32">
        <f t="shared" si="1"/>
        <v>215951.46078596773</v>
      </c>
      <c r="F47" s="2">
        <f t="shared" si="2"/>
        <v>812388.8286710215</v>
      </c>
      <c r="G47" s="1">
        <v>0.98499999999999999</v>
      </c>
      <c r="H47" s="2">
        <f t="shared" si="3"/>
        <v>800202.99624095613</v>
      </c>
      <c r="I47" s="19">
        <v>7.6200000000000004E-2</v>
      </c>
      <c r="J47" s="19">
        <v>3.8300000000000001E-2</v>
      </c>
      <c r="K47" s="20">
        <f t="shared" si="4"/>
        <v>3.7900000000000003E-2</v>
      </c>
      <c r="L47" s="6">
        <f t="shared" si="5"/>
        <v>5081.2890261300718</v>
      </c>
      <c r="M47" s="7">
        <f t="shared" si="6"/>
        <v>2553.9812296690516</v>
      </c>
      <c r="N47" s="8">
        <f t="shared" si="7"/>
        <v>2527.3077964610197</v>
      </c>
    </row>
    <row r="48" spans="1:14" s="17" customFormat="1" ht="14.5">
      <c r="A48" s="16">
        <v>45291</v>
      </c>
      <c r="B48" s="33">
        <v>1099918.8600000001</v>
      </c>
      <c r="C48" s="41">
        <f>'NERCAMRT - Depreciation'!P88</f>
        <v>-60144.797709677463</v>
      </c>
      <c r="D48" s="41">
        <f t="shared" si="0"/>
        <v>1039774.0622903226</v>
      </c>
      <c r="E48" s="32">
        <f t="shared" si="1"/>
        <v>218352.55308096774</v>
      </c>
      <c r="F48" s="2">
        <f t="shared" si="2"/>
        <v>821421.50920935487</v>
      </c>
      <c r="G48" s="1">
        <v>0.98499999999999999</v>
      </c>
      <c r="H48" s="2">
        <f t="shared" si="3"/>
        <v>809100.18657121458</v>
      </c>
      <c r="I48" s="19">
        <v>7.6200000000000004E-2</v>
      </c>
      <c r="J48" s="19">
        <v>3.8300000000000001E-2</v>
      </c>
      <c r="K48" s="20">
        <f t="shared" si="4"/>
        <v>3.7900000000000003E-2</v>
      </c>
      <c r="L48" s="6">
        <f t="shared" si="5"/>
        <v>5137.7861847272134</v>
      </c>
      <c r="M48" s="7">
        <f t="shared" si="6"/>
        <v>2582.3780954731265</v>
      </c>
      <c r="N48" s="8">
        <f t="shared" si="7"/>
        <v>2555.4080892540865</v>
      </c>
    </row>
    <row r="49" spans="1:14" s="17" customFormat="1" ht="14.5">
      <c r="A49" s="100">
        <v>45322</v>
      </c>
      <c r="B49" s="97">
        <v>1106599.73</v>
      </c>
      <c r="C49" s="104">
        <f>'NERCAMRT - Depreciation'!P90</f>
        <v>-65372.625069892521</v>
      </c>
      <c r="D49" s="104">
        <f>B49+C49</f>
        <v>1041227.1049301075</v>
      </c>
      <c r="E49" s="101">
        <f>(D49*$E$7)</f>
        <v>218657.69203532257</v>
      </c>
      <c r="F49" s="101">
        <f>+D49-E49</f>
        <v>822569.41289478494</v>
      </c>
      <c r="G49" s="98">
        <f>(0.985*(15/31))+(0.986*(16/31))</f>
        <v>0.98551612903225805</v>
      </c>
      <c r="H49" s="101">
        <f>+F49*G49</f>
        <v>810655.42365640565</v>
      </c>
      <c r="I49" s="99">
        <f>(0.0762*(15/31))+(0.0821*(16/31))</f>
        <v>7.924516129032258E-2</v>
      </c>
      <c r="J49" s="99">
        <f>(0.0383*(15/31))+(0.0478*(16/31))</f>
        <v>4.3203225806451612E-2</v>
      </c>
      <c r="K49" s="99">
        <f t="shared" si="4"/>
        <v>3.6041935483870968E-2</v>
      </c>
      <c r="L49" s="6">
        <f>(H49*I49)/12</f>
        <v>5353.3766498772211</v>
      </c>
      <c r="M49" s="7">
        <f>(H49*J49)/12</f>
        <v>2918.5774432876988</v>
      </c>
      <c r="N49" s="8">
        <f>(H49*K49)/12</f>
        <v>2434.7992065895219</v>
      </c>
    </row>
    <row r="50" spans="1:14" s="17" customFormat="1" ht="14.5">
      <c r="A50" s="16">
        <v>45351</v>
      </c>
      <c r="B50" s="33">
        <v>1108192.22</v>
      </c>
      <c r="C50" s="41">
        <f>'NERCAMRT - Depreciation'!P91</f>
        <v>-73909.593236559187</v>
      </c>
      <c r="D50" s="41">
        <f t="shared" ref="D50:D59" si="8">B50+C50</f>
        <v>1034282.6267634408</v>
      </c>
      <c r="E50" s="32">
        <f t="shared" ref="E50:E59" si="9">(D50*$E$7)</f>
        <v>217199.35162032256</v>
      </c>
      <c r="F50" s="2">
        <f t="shared" ref="F50:F60" si="10">+D50-E50</f>
        <v>817083.27514311823</v>
      </c>
      <c r="G50" s="17">
        <v>0.98599999999999999</v>
      </c>
      <c r="H50" s="32">
        <f t="shared" ref="H50:H60" si="11">+F50*G50</f>
        <v>805644.10929111461</v>
      </c>
      <c r="I50" s="20">
        <v>8.2100000000000006E-2</v>
      </c>
      <c r="J50" s="20">
        <v>4.7800000000000002E-2</v>
      </c>
      <c r="K50" s="20">
        <f t="shared" si="4"/>
        <v>3.4300000000000004E-2</v>
      </c>
      <c r="L50" s="6">
        <f t="shared" ref="L50:L60" si="12">(H50*I50)/12</f>
        <v>5511.9484477333763</v>
      </c>
      <c r="M50" s="7">
        <f t="shared" ref="M50:M60" si="13">(H50*J50)/12</f>
        <v>3209.1490353429399</v>
      </c>
      <c r="N50" s="8">
        <f t="shared" ref="N50:N60" si="14">(H50*K50)/12</f>
        <v>2302.7994123904359</v>
      </c>
    </row>
    <row r="51" spans="1:14" s="17" customFormat="1" ht="14.5">
      <c r="A51" s="16">
        <v>45382</v>
      </c>
      <c r="B51" s="33">
        <v>1109585.71</v>
      </c>
      <c r="C51" s="41">
        <f>'NERCAMRT - Depreciation'!P92</f>
        <v>-82446.56140322586</v>
      </c>
      <c r="D51" s="41">
        <f t="shared" si="8"/>
        <v>1027139.1485967741</v>
      </c>
      <c r="E51" s="32">
        <f t="shared" si="9"/>
        <v>215699.22120532254</v>
      </c>
      <c r="F51" s="2">
        <f t="shared" si="10"/>
        <v>811439.92739145155</v>
      </c>
      <c r="G51" s="17">
        <v>0.98599999999999999</v>
      </c>
      <c r="H51" s="32">
        <f t="shared" si="11"/>
        <v>800079.76840797125</v>
      </c>
      <c r="I51" s="20">
        <v>8.2100000000000006E-2</v>
      </c>
      <c r="J51" s="20">
        <v>4.7800000000000002E-2</v>
      </c>
      <c r="K51" s="20">
        <f t="shared" si="4"/>
        <v>3.4300000000000004E-2</v>
      </c>
      <c r="L51" s="6">
        <f t="shared" si="12"/>
        <v>5473.8790821912035</v>
      </c>
      <c r="M51" s="7">
        <f t="shared" si="13"/>
        <v>3186.9844108250854</v>
      </c>
      <c r="N51" s="8">
        <f t="shared" si="14"/>
        <v>2286.894671366118</v>
      </c>
    </row>
    <row r="52" spans="1:14" s="17" customFormat="1" ht="14.5">
      <c r="A52" s="16">
        <v>45412</v>
      </c>
      <c r="B52" s="33">
        <v>1111202.02</v>
      </c>
      <c r="C52" s="41">
        <f>'NERCAMRT - Depreciation'!P93</f>
        <v>-90983.529569892533</v>
      </c>
      <c r="D52" s="41">
        <f t="shared" si="8"/>
        <v>1020218.4904301075</v>
      </c>
      <c r="E52" s="32">
        <f t="shared" si="9"/>
        <v>214245.88299032257</v>
      </c>
      <c r="F52" s="2">
        <f t="shared" si="10"/>
        <v>805972.60743978492</v>
      </c>
      <c r="G52" s="17">
        <v>0.98599999999999999</v>
      </c>
      <c r="H52" s="32">
        <f t="shared" si="11"/>
        <v>794688.99093562795</v>
      </c>
      <c r="I52" s="20">
        <v>8.2100000000000006E-2</v>
      </c>
      <c r="J52" s="20">
        <v>4.7800000000000002E-2</v>
      </c>
      <c r="K52" s="20">
        <f t="shared" si="4"/>
        <v>3.4300000000000004E-2</v>
      </c>
      <c r="L52" s="6">
        <f t="shared" si="12"/>
        <v>5436.9971796512555</v>
      </c>
      <c r="M52" s="7">
        <f t="shared" si="13"/>
        <v>3165.5111472269182</v>
      </c>
      <c r="N52" s="8">
        <f t="shared" si="14"/>
        <v>2271.4860324243368</v>
      </c>
    </row>
    <row r="53" spans="1:14" s="17" customFormat="1" ht="14.5">
      <c r="A53" s="16">
        <v>45443</v>
      </c>
      <c r="B53" s="33">
        <v>1110899.6200000001</v>
      </c>
      <c r="C53" s="41">
        <f>'NERCAMRT - Depreciation'!P94</f>
        <v>-99520.497736559206</v>
      </c>
      <c r="D53" s="41">
        <f t="shared" si="8"/>
        <v>1011379.1222634409</v>
      </c>
      <c r="E53" s="32">
        <f t="shared" si="9"/>
        <v>212389.61567532257</v>
      </c>
      <c r="F53" s="2">
        <f t="shared" si="10"/>
        <v>798989.50658811827</v>
      </c>
      <c r="G53" s="17">
        <v>0.98599999999999999</v>
      </c>
      <c r="H53" s="32">
        <f t="shared" si="11"/>
        <v>787803.65349588462</v>
      </c>
      <c r="I53" s="20">
        <v>8.2100000000000006E-2</v>
      </c>
      <c r="J53" s="20">
        <v>4.7800000000000002E-2</v>
      </c>
      <c r="K53" s="20">
        <f t="shared" si="4"/>
        <v>3.4300000000000004E-2</v>
      </c>
      <c r="L53" s="6">
        <f t="shared" si="12"/>
        <v>5389.8899960010112</v>
      </c>
      <c r="M53" s="7">
        <f t="shared" si="13"/>
        <v>3138.084553091941</v>
      </c>
      <c r="N53" s="8">
        <f t="shared" si="14"/>
        <v>2251.8054429090703</v>
      </c>
    </row>
    <row r="54" spans="1:14" s="17" customFormat="1" ht="14.5">
      <c r="A54" s="16">
        <v>45473</v>
      </c>
      <c r="B54" s="33">
        <v>1111554.27</v>
      </c>
      <c r="C54" s="41">
        <f>'NERCAMRT - Depreciation'!P95</f>
        <v>-108057.46590322588</v>
      </c>
      <c r="D54" s="41">
        <f t="shared" si="8"/>
        <v>1003496.8040967742</v>
      </c>
      <c r="E54" s="32">
        <f t="shared" si="9"/>
        <v>210734.32886032257</v>
      </c>
      <c r="F54" s="2">
        <f t="shared" si="10"/>
        <v>792762.4752364516</v>
      </c>
      <c r="G54" s="17">
        <v>0.98599999999999999</v>
      </c>
      <c r="H54" s="32">
        <f t="shared" si="11"/>
        <v>781663.80058314127</v>
      </c>
      <c r="I54" s="20">
        <v>8.2100000000000006E-2</v>
      </c>
      <c r="J54" s="20">
        <v>4.7800000000000002E-2</v>
      </c>
      <c r="K54" s="20">
        <f t="shared" si="4"/>
        <v>3.4300000000000004E-2</v>
      </c>
      <c r="L54" s="6">
        <f t="shared" si="12"/>
        <v>5347.8831689896588</v>
      </c>
      <c r="M54" s="7">
        <f t="shared" si="13"/>
        <v>3113.6274723228466</v>
      </c>
      <c r="N54" s="8">
        <f t="shared" si="14"/>
        <v>2234.2556966668121</v>
      </c>
    </row>
    <row r="55" spans="1:14" s="17" customFormat="1" ht="14.5">
      <c r="A55" s="16">
        <v>45504</v>
      </c>
      <c r="B55" s="33">
        <v>1111949.51</v>
      </c>
      <c r="C55" s="41">
        <f>'NERCAMRT - Depreciation'!P96</f>
        <v>-116594.43406989255</v>
      </c>
      <c r="D55" s="41">
        <f t="shared" si="8"/>
        <v>995355.0759301075</v>
      </c>
      <c r="E55" s="32">
        <f t="shared" si="9"/>
        <v>209024.56594532257</v>
      </c>
      <c r="F55" s="2">
        <f t="shared" si="10"/>
        <v>786330.50998478499</v>
      </c>
      <c r="G55" s="17">
        <v>0.98599999999999999</v>
      </c>
      <c r="H55" s="32">
        <f t="shared" si="11"/>
        <v>775321.88284499804</v>
      </c>
      <c r="I55" s="20">
        <v>8.2100000000000006E-2</v>
      </c>
      <c r="J55" s="20">
        <v>4.7800000000000002E-2</v>
      </c>
      <c r="K55" s="20">
        <f t="shared" si="4"/>
        <v>3.4300000000000004E-2</v>
      </c>
      <c r="L55" s="6">
        <f t="shared" si="12"/>
        <v>5304.4938817978618</v>
      </c>
      <c r="M55" s="7">
        <f t="shared" si="13"/>
        <v>3088.3654999992427</v>
      </c>
      <c r="N55" s="8">
        <f t="shared" si="14"/>
        <v>2216.1283817986196</v>
      </c>
    </row>
    <row r="56" spans="1:14" s="17" customFormat="1" ht="14.5">
      <c r="A56" s="16">
        <v>45535</v>
      </c>
      <c r="B56" s="33">
        <v>1112081.47</v>
      </c>
      <c r="C56" s="41">
        <f>'NERCAMRT - Depreciation'!P97</f>
        <v>-125131.40223655922</v>
      </c>
      <c r="D56" s="41">
        <f t="shared" si="8"/>
        <v>986950.06776344078</v>
      </c>
      <c r="E56" s="32">
        <f t="shared" si="9"/>
        <v>207259.51423032256</v>
      </c>
      <c r="F56" s="2">
        <f t="shared" si="10"/>
        <v>779690.55353311822</v>
      </c>
      <c r="G56" s="17">
        <v>0.98599999999999999</v>
      </c>
      <c r="H56" s="32">
        <f t="shared" si="11"/>
        <v>768774.88578365452</v>
      </c>
      <c r="I56" s="20">
        <v>8.2100000000000006E-2</v>
      </c>
      <c r="J56" s="20">
        <v>4.7800000000000002E-2</v>
      </c>
      <c r="K56" s="20">
        <f t="shared" si="4"/>
        <v>3.4300000000000004E-2</v>
      </c>
      <c r="L56" s="6">
        <f t="shared" si="12"/>
        <v>5259.7015102365031</v>
      </c>
      <c r="M56" s="7">
        <f t="shared" si="13"/>
        <v>3062.2866283715575</v>
      </c>
      <c r="N56" s="8">
        <f t="shared" si="14"/>
        <v>2197.414881864946</v>
      </c>
    </row>
    <row r="57" spans="1:14" s="17" customFormat="1" ht="14.5">
      <c r="A57" s="16">
        <v>45565</v>
      </c>
      <c r="B57" s="33">
        <v>1112167.32</v>
      </c>
      <c r="C57" s="41">
        <f>'NERCAMRT - Depreciation'!P98</f>
        <v>-133668.37040322588</v>
      </c>
      <c r="D57" s="41">
        <f t="shared" si="8"/>
        <v>978498.94959677418</v>
      </c>
      <c r="E57" s="32">
        <f t="shared" si="9"/>
        <v>205484.77941532258</v>
      </c>
      <c r="F57" s="2">
        <f t="shared" si="10"/>
        <v>773014.1701814516</v>
      </c>
      <c r="G57" s="17">
        <v>0.98599999999999999</v>
      </c>
      <c r="H57" s="32">
        <f t="shared" si="11"/>
        <v>762191.97179891123</v>
      </c>
      <c r="I57" s="20">
        <v>8.2100000000000006E-2</v>
      </c>
      <c r="J57" s="20">
        <v>4.7800000000000002E-2</v>
      </c>
      <c r="K57" s="20">
        <f t="shared" si="4"/>
        <v>3.4300000000000004E-2</v>
      </c>
      <c r="L57" s="6">
        <f t="shared" si="12"/>
        <v>5214.6634070575519</v>
      </c>
      <c r="M57" s="7">
        <f t="shared" si="13"/>
        <v>3036.0646876656633</v>
      </c>
      <c r="N57" s="8">
        <f t="shared" si="14"/>
        <v>2178.5987193918882</v>
      </c>
    </row>
    <row r="58" spans="1:14" s="17" customFormat="1" ht="14.5">
      <c r="A58" s="16">
        <v>45596</v>
      </c>
      <c r="B58" s="33">
        <v>1112198.45</v>
      </c>
      <c r="C58" s="41">
        <f>'NERCAMRT - Depreciation'!P99</f>
        <v>-142205.33856989254</v>
      </c>
      <c r="D58" s="41">
        <f t="shared" si="8"/>
        <v>969993.11143010738</v>
      </c>
      <c r="E58" s="32">
        <f t="shared" si="9"/>
        <v>203698.55340032253</v>
      </c>
      <c r="F58" s="2">
        <f t="shared" si="10"/>
        <v>766294.55802978482</v>
      </c>
      <c r="G58" s="17">
        <v>0.98599999999999999</v>
      </c>
      <c r="H58" s="32">
        <f t="shared" si="11"/>
        <v>755566.43421736779</v>
      </c>
      <c r="I58" s="20">
        <v>8.2100000000000006E-2</v>
      </c>
      <c r="J58" s="20">
        <v>4.7800000000000002E-2</v>
      </c>
      <c r="K58" s="20">
        <f t="shared" si="4"/>
        <v>3.4300000000000004E-2</v>
      </c>
      <c r="L58" s="6">
        <f t="shared" si="12"/>
        <v>5169.3336874371589</v>
      </c>
      <c r="M58" s="7">
        <f t="shared" si="13"/>
        <v>3009.6729629658489</v>
      </c>
      <c r="N58" s="8">
        <f t="shared" si="14"/>
        <v>2159.66072447131</v>
      </c>
    </row>
    <row r="59" spans="1:14" s="17" customFormat="1" ht="14.5">
      <c r="A59" s="16">
        <v>45626</v>
      </c>
      <c r="B59" s="33">
        <v>1112198.3400000001</v>
      </c>
      <c r="C59" s="41">
        <f>'NERCAMRT - Depreciation'!P100</f>
        <v>-150742.3067365592</v>
      </c>
      <c r="D59" s="41">
        <f t="shared" si="8"/>
        <v>961456.03326344094</v>
      </c>
      <c r="E59" s="32">
        <f t="shared" si="9"/>
        <v>201905.76698532258</v>
      </c>
      <c r="F59" s="2">
        <f t="shared" si="10"/>
        <v>759550.26627811836</v>
      </c>
      <c r="G59" s="17">
        <v>0.98599999999999999</v>
      </c>
      <c r="H59" s="32">
        <f t="shared" si="11"/>
        <v>748916.56255022471</v>
      </c>
      <c r="I59" s="20">
        <v>8.2100000000000006E-2</v>
      </c>
      <c r="J59" s="20">
        <v>4.7800000000000002E-2</v>
      </c>
      <c r="K59" s="20">
        <f t="shared" si="4"/>
        <v>3.4300000000000004E-2</v>
      </c>
      <c r="L59" s="6">
        <f t="shared" si="12"/>
        <v>5123.8374821144544</v>
      </c>
      <c r="M59" s="7">
        <f t="shared" si="13"/>
        <v>2983.1843074917288</v>
      </c>
      <c r="N59" s="8">
        <f t="shared" si="14"/>
        <v>2140.6531746227261</v>
      </c>
    </row>
    <row r="60" spans="1:14" s="17" customFormat="1" ht="14.5">
      <c r="A60" s="16">
        <v>45657</v>
      </c>
      <c r="B60" s="33">
        <v>1112209.9199999999</v>
      </c>
      <c r="C60" s="41">
        <f>'NERCAMRT - Depreciation'!P101</f>
        <v>-159279.27490322586</v>
      </c>
      <c r="D60" s="41">
        <f>B60+C60</f>
        <v>952930.6450967741</v>
      </c>
      <c r="E60" s="32">
        <f>(D60*$E$7)</f>
        <v>200115.43547032255</v>
      </c>
      <c r="F60" s="2">
        <f t="shared" si="10"/>
        <v>752815.2096264516</v>
      </c>
      <c r="G60" s="17">
        <v>0.98599999999999999</v>
      </c>
      <c r="H60" s="32">
        <f t="shared" si="11"/>
        <v>742275.79669168126</v>
      </c>
      <c r="I60" s="20">
        <v>8.2100000000000006E-2</v>
      </c>
      <c r="J60" s="20">
        <v>4.7800000000000002E-2</v>
      </c>
      <c r="K60" s="20">
        <f t="shared" si="4"/>
        <v>3.4300000000000004E-2</v>
      </c>
      <c r="L60" s="6">
        <f t="shared" si="12"/>
        <v>5078.4035756989197</v>
      </c>
      <c r="M60" s="7">
        <f t="shared" si="13"/>
        <v>2956.7319234885304</v>
      </c>
      <c r="N60" s="8">
        <f t="shared" si="14"/>
        <v>2121.6716522103893</v>
      </c>
    </row>
    <row r="61" spans="1:14">
      <c r="A61" s="16"/>
      <c r="B61" s="38"/>
      <c r="C61" s="38"/>
      <c r="D61" s="38"/>
      <c r="E61" s="4"/>
      <c r="F61" s="4"/>
      <c r="K61" s="5" t="s">
        <v>12</v>
      </c>
      <c r="L61" s="15">
        <f>SUM(L12:L60)</f>
        <v>217038.76507569052</v>
      </c>
      <c r="M61" s="15">
        <f t="shared" ref="M61:N61" si="15">SUM(M12:M60)</f>
        <v>113980.56827530747</v>
      </c>
      <c r="N61" s="15">
        <f t="shared" si="15"/>
        <v>103058.19680038294</v>
      </c>
    </row>
    <row r="64" spans="1:14">
      <c r="G64" s="31"/>
      <c r="H64" s="31"/>
      <c r="I64" s="31"/>
    </row>
    <row r="75" spans="18:18">
      <c r="R75" s="31"/>
    </row>
  </sheetData>
  <conditionalFormatting sqref="B12:B60">
    <cfRule type="cellIs" dxfId="2" priority="1" stopIfTrue="1" operator="equal">
      <formula>0</formula>
    </cfRule>
  </conditionalFormatting>
  <pageMargins left="0.27" right="0.25" top="0.42" bottom="0.42" header="0.3" footer="0.3"/>
  <pageSetup scale="5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U75"/>
  <sheetViews>
    <sheetView zoomScale="90" zoomScaleNormal="90" workbookViewId="0">
      <pane ySplit="10" topLeftCell="A11" activePane="bottomLeft" state="frozen"/>
      <selection activeCell="O63" sqref="O63"/>
      <selection pane="bottomLeft" activeCell="N14" sqref="N14"/>
    </sheetView>
  </sheetViews>
  <sheetFormatPr defaultColWidth="9.1796875" defaultRowHeight="12.5"/>
  <cols>
    <col min="1" max="1" width="22.1796875" style="1" customWidth="1"/>
    <col min="2" max="2" width="20.453125" style="33" customWidth="1"/>
    <col min="3" max="3" width="26.453125" style="33" customWidth="1"/>
    <col min="4" max="4" width="20.453125" style="33" customWidth="1"/>
    <col min="5" max="5" width="18.26953125" style="1" customWidth="1"/>
    <col min="6" max="6" width="13.81640625" style="1" customWidth="1"/>
    <col min="7" max="7" width="11.453125" style="1" customWidth="1"/>
    <col min="8" max="8" width="13.1796875" style="1" customWidth="1"/>
    <col min="9" max="9" width="12" style="3" customWidth="1"/>
    <col min="10" max="10" width="11.1796875" style="3" customWidth="1"/>
    <col min="11" max="11" width="12.81640625" style="3" customWidth="1"/>
    <col min="12" max="14" width="15" style="18" customWidth="1"/>
    <col min="15" max="15" width="10.54296875" style="1" customWidth="1"/>
    <col min="16" max="16" width="11" style="1" customWidth="1"/>
    <col min="17" max="17" width="11.453125" style="1" customWidth="1"/>
    <col min="18" max="18" width="12.26953125" style="1" customWidth="1"/>
    <col min="19" max="21" width="9.1796875" style="17"/>
    <col min="22" max="16384" width="9.1796875" style="1"/>
  </cols>
  <sheetData>
    <row r="1" spans="1:18" ht="20">
      <c r="A1" s="30" t="s">
        <v>29</v>
      </c>
      <c r="L1" s="3"/>
      <c r="M1" s="3"/>
      <c r="N1" s="3"/>
      <c r="O1" s="3"/>
      <c r="R1" s="17"/>
    </row>
    <row r="2" spans="1:18">
      <c r="A2" s="28" t="s">
        <v>25</v>
      </c>
      <c r="L2" s="3"/>
      <c r="M2" s="3"/>
      <c r="N2" s="3"/>
      <c r="O2" s="3"/>
      <c r="P2" s="35"/>
      <c r="Q2" s="35"/>
      <c r="R2" s="34"/>
    </row>
    <row r="3" spans="1:18">
      <c r="A3" s="28" t="s">
        <v>26</v>
      </c>
      <c r="L3" s="3"/>
      <c r="M3" s="3"/>
      <c r="N3" s="3"/>
      <c r="O3" s="3"/>
    </row>
    <row r="4" spans="1:18">
      <c r="A4" s="28" t="s">
        <v>31</v>
      </c>
      <c r="L4" s="3"/>
      <c r="M4" s="3"/>
      <c r="N4" s="3"/>
      <c r="O4" s="3"/>
    </row>
    <row r="5" spans="1:18">
      <c r="A5" s="28" t="s">
        <v>32</v>
      </c>
      <c r="L5" s="3"/>
      <c r="M5" s="3"/>
      <c r="N5" s="3"/>
      <c r="O5" s="3"/>
    </row>
    <row r="6" spans="1:18" ht="13" thickBot="1">
      <c r="A6" s="28" t="str">
        <f>'CC on investment'!A6</f>
        <v>KPSC Order dated January 19, 2024 in Case No. 2023-00159</v>
      </c>
      <c r="L6" s="3"/>
      <c r="M6" s="3"/>
      <c r="N6" s="3"/>
      <c r="O6" s="3"/>
    </row>
    <row r="7" spans="1:18" ht="13" thickBot="1">
      <c r="A7" s="3"/>
      <c r="B7" s="36" t="s">
        <v>36</v>
      </c>
      <c r="C7" s="36"/>
      <c r="D7" s="36"/>
      <c r="E7" s="39">
        <v>0.21</v>
      </c>
      <c r="F7" s="3"/>
      <c r="G7" s="3"/>
      <c r="H7" s="3"/>
    </row>
    <row r="8" spans="1:18">
      <c r="A8" s="3"/>
      <c r="B8" s="36" t="s">
        <v>0</v>
      </c>
      <c r="C8" s="36" t="str">
        <f>'CC on investment'!C8</f>
        <v>Less: Deferred Depreciation</v>
      </c>
      <c r="D8" s="36" t="s">
        <v>37</v>
      </c>
      <c r="E8" s="3" t="s">
        <v>16</v>
      </c>
      <c r="F8" s="3" t="s">
        <v>19</v>
      </c>
      <c r="G8" s="3" t="s">
        <v>15</v>
      </c>
      <c r="H8" s="3" t="s">
        <v>15</v>
      </c>
      <c r="I8" s="3" t="s">
        <v>4</v>
      </c>
      <c r="J8" s="3" t="s">
        <v>6</v>
      </c>
      <c r="K8" s="3" t="s">
        <v>7</v>
      </c>
      <c r="L8" s="9" t="s">
        <v>4</v>
      </c>
      <c r="M8" s="10" t="s">
        <v>6</v>
      </c>
      <c r="N8" s="11" t="s">
        <v>7</v>
      </c>
    </row>
    <row r="9" spans="1:18">
      <c r="A9" s="3"/>
      <c r="B9" s="36" t="s">
        <v>13</v>
      </c>
      <c r="C9" s="36" t="str">
        <f>'CC on investment'!C9</f>
        <v xml:space="preserve"> Balance Approved For Recovery </v>
      </c>
      <c r="D9" s="42" t="s">
        <v>36</v>
      </c>
      <c r="E9" s="3" t="s">
        <v>17</v>
      </c>
      <c r="F9" s="3" t="s">
        <v>21</v>
      </c>
      <c r="G9" s="3" t="s">
        <v>1</v>
      </c>
      <c r="H9" s="3" t="s">
        <v>22</v>
      </c>
      <c r="I9" s="3" t="s">
        <v>5</v>
      </c>
      <c r="J9" s="3" t="s">
        <v>5</v>
      </c>
      <c r="K9" s="3" t="s">
        <v>5</v>
      </c>
      <c r="L9" s="12" t="s">
        <v>8</v>
      </c>
      <c r="M9" s="13" t="s">
        <v>9</v>
      </c>
      <c r="N9" s="14" t="s">
        <v>9</v>
      </c>
    </row>
    <row r="10" spans="1:18" ht="25">
      <c r="A10" s="3"/>
      <c r="B10" s="36" t="s">
        <v>14</v>
      </c>
      <c r="C10" s="103" t="str">
        <f>'CC on investment'!C10</f>
        <v>(Case Nos. 2020-00174 
&amp; 2023-00159)</v>
      </c>
      <c r="D10" s="36" t="s">
        <v>38</v>
      </c>
      <c r="E10" s="3" t="s">
        <v>18</v>
      </c>
      <c r="F10" s="3" t="s">
        <v>20</v>
      </c>
      <c r="G10" s="3" t="s">
        <v>2</v>
      </c>
      <c r="H10" s="3" t="s">
        <v>3</v>
      </c>
      <c r="L10" s="25">
        <v>1823537</v>
      </c>
      <c r="M10" s="26">
        <v>4310001</v>
      </c>
      <c r="N10" s="27">
        <v>1823536</v>
      </c>
    </row>
    <row r="11" spans="1:18">
      <c r="A11" s="3"/>
      <c r="B11" s="37" t="s">
        <v>23</v>
      </c>
      <c r="C11" s="37"/>
      <c r="D11" s="37"/>
      <c r="E11" s="21" t="s">
        <v>10</v>
      </c>
      <c r="F11" s="22" t="s">
        <v>27</v>
      </c>
      <c r="G11" s="23" t="s">
        <v>11</v>
      </c>
      <c r="H11" s="24" t="s">
        <v>24</v>
      </c>
      <c r="L11" s="12"/>
      <c r="M11" s="13"/>
      <c r="N11" s="14"/>
    </row>
    <row r="12" spans="1:18" s="17" customFormat="1">
      <c r="A12" s="40" t="s">
        <v>34</v>
      </c>
      <c r="B12" s="33">
        <v>1174496.43</v>
      </c>
      <c r="C12" s="33"/>
      <c r="D12" s="33"/>
      <c r="E12" s="32">
        <f>(B12*$E$7)</f>
        <v>246644.25029999999</v>
      </c>
      <c r="F12" s="29">
        <f>+B12-E12</f>
        <v>927852.17969999998</v>
      </c>
      <c r="G12" s="1">
        <v>0.98499999999999999</v>
      </c>
      <c r="H12" s="2">
        <f>+F12*G12</f>
        <v>913934.39700449992</v>
      </c>
      <c r="I12" s="19">
        <v>7.8799999999999995E-2</v>
      </c>
      <c r="J12" s="19">
        <v>4.1200000000000001E-2</v>
      </c>
      <c r="K12" s="20">
        <f>I12-J12</f>
        <v>3.7599999999999995E-2</v>
      </c>
      <c r="L12" s="6">
        <f>((H12*I12)/12)*(13/31)</f>
        <v>2516.7591298156171</v>
      </c>
      <c r="M12" s="7">
        <f>((H12*J12)/12)*(13/31)</f>
        <v>1315.8689866548661</v>
      </c>
      <c r="N12" s="7">
        <f>((H12*K12)/12)*(13/31)</f>
        <v>1200.8901431607512</v>
      </c>
    </row>
    <row r="13" spans="1:18" s="17" customFormat="1" ht="14.5">
      <c r="A13" s="40" t="s">
        <v>35</v>
      </c>
      <c r="B13" s="33">
        <f>B12</f>
        <v>1174496.43</v>
      </c>
      <c r="C13" s="41">
        <f>'NERCAMRT - Depreciation'!Q51</f>
        <v>-1291.1496559139787</v>
      </c>
      <c r="D13" s="41">
        <f>B13+C13</f>
        <v>1173205.280344086</v>
      </c>
      <c r="E13" s="32">
        <f>(D13*$E$7)</f>
        <v>246373.10887225805</v>
      </c>
      <c r="F13" s="29">
        <f>+D13-E13</f>
        <v>926832.1714718279</v>
      </c>
      <c r="G13" s="1">
        <v>0.98499999999999999</v>
      </c>
      <c r="H13" s="2">
        <f>+F13*G13</f>
        <v>912929.68889975047</v>
      </c>
      <c r="I13" s="19">
        <v>7.6200000000000004E-2</v>
      </c>
      <c r="J13" s="19">
        <v>3.8300000000000001E-2</v>
      </c>
      <c r="K13" s="20">
        <f>I13-J13</f>
        <v>3.7900000000000003E-2</v>
      </c>
      <c r="L13" s="6">
        <f>((H13*I13)/12)*(18/31)</f>
        <v>3366.0601110077896</v>
      </c>
      <c r="M13" s="7">
        <f>((H13*J13)/12)*(18/31)</f>
        <v>1691.8648589448603</v>
      </c>
      <c r="N13" s="7">
        <f>((H13*K13)/12)*(18/31)</f>
        <v>1674.1952520629295</v>
      </c>
    </row>
    <row r="14" spans="1:18" s="17" customFormat="1" ht="14.5">
      <c r="A14" s="16">
        <v>44255</v>
      </c>
      <c r="B14" s="33">
        <v>1248657.76</v>
      </c>
      <c r="C14" s="41">
        <f>'NERCAMRT - Depreciation'!Q52</f>
        <v>-4370.0449892473116</v>
      </c>
      <c r="D14" s="41">
        <f t="shared" ref="D14:D48" si="0">B14+C14</f>
        <v>1244287.7150107527</v>
      </c>
      <c r="E14" s="32">
        <f>(D14*$E$7)</f>
        <v>261300.42015225804</v>
      </c>
      <c r="F14" s="29">
        <f>+D14-E14</f>
        <v>982987.29485849466</v>
      </c>
      <c r="G14" s="1">
        <v>0.98499999999999999</v>
      </c>
      <c r="H14" s="2">
        <f>+F14*G14</f>
        <v>968242.48543561727</v>
      </c>
      <c r="I14" s="19">
        <v>7.6200000000000004E-2</v>
      </c>
      <c r="J14" s="19">
        <v>3.8300000000000001E-2</v>
      </c>
      <c r="K14" s="20">
        <f>I14-J14</f>
        <v>3.7900000000000003E-2</v>
      </c>
      <c r="L14" s="6">
        <f>(H14*I14)/12</f>
        <v>6148.3397825161701</v>
      </c>
      <c r="M14" s="7">
        <f>(H14*J14)/12</f>
        <v>3090.3072660153452</v>
      </c>
      <c r="N14" s="8">
        <f>(H14*K14)/12</f>
        <v>3058.0325165008248</v>
      </c>
    </row>
    <row r="15" spans="1:18" s="17" customFormat="1" ht="14.5">
      <c r="A15" s="16">
        <v>44286</v>
      </c>
      <c r="B15" s="33">
        <v>1420810.68</v>
      </c>
      <c r="C15" s="41">
        <f>'NERCAMRT - Depreciation'!Q53</f>
        <v>-7448.9403225806454</v>
      </c>
      <c r="D15" s="41">
        <f t="shared" si="0"/>
        <v>1413361.7396774192</v>
      </c>
      <c r="E15" s="32">
        <f t="shared" ref="E15:E48" si="1">(D15*$E$7)</f>
        <v>296805.96533225803</v>
      </c>
      <c r="F15" s="29">
        <f t="shared" ref="F15:F48" si="2">+D15-E15</f>
        <v>1116555.7743451612</v>
      </c>
      <c r="G15" s="1">
        <v>0.98499999999999999</v>
      </c>
      <c r="H15" s="2">
        <f t="shared" ref="H15:H48" si="3">+F15*G15</f>
        <v>1099807.4377299838</v>
      </c>
      <c r="I15" s="19">
        <v>7.6200000000000004E-2</v>
      </c>
      <c r="J15" s="19">
        <v>3.8300000000000001E-2</v>
      </c>
      <c r="K15" s="20">
        <f t="shared" ref="K15:K60" si="4">I15-J15</f>
        <v>3.7900000000000003E-2</v>
      </c>
      <c r="L15" s="6">
        <f t="shared" ref="L15:L48" si="5">(H15*I15)/12</f>
        <v>6983.7772295853974</v>
      </c>
      <c r="M15" s="7">
        <f t="shared" ref="M15:M48" si="6">(H15*J15)/12</f>
        <v>3510.2187387548652</v>
      </c>
      <c r="N15" s="8">
        <f t="shared" ref="N15:N48" si="7">(H15*K15)/12</f>
        <v>3473.5584908305323</v>
      </c>
    </row>
    <row r="16" spans="1:18" s="17" customFormat="1" ht="14.5">
      <c r="A16" s="16">
        <v>44316</v>
      </c>
      <c r="B16" s="33">
        <v>1460738.45</v>
      </c>
      <c r="C16" s="41">
        <f>'NERCAMRT - Depreciation'!Q54</f>
        <v>-10527.835655913979</v>
      </c>
      <c r="D16" s="41">
        <f t="shared" si="0"/>
        <v>1450210.614344086</v>
      </c>
      <c r="E16" s="32">
        <f t="shared" si="1"/>
        <v>304544.22901225806</v>
      </c>
      <c r="F16" s="29">
        <f t="shared" si="2"/>
        <v>1145666.3853318279</v>
      </c>
      <c r="G16" s="1">
        <v>0.98499999999999999</v>
      </c>
      <c r="H16" s="2">
        <f t="shared" si="3"/>
        <v>1128481.3895518505</v>
      </c>
      <c r="I16" s="19">
        <v>7.6200000000000004E-2</v>
      </c>
      <c r="J16" s="19">
        <v>3.8300000000000001E-2</v>
      </c>
      <c r="K16" s="20">
        <f t="shared" si="4"/>
        <v>3.7900000000000003E-2</v>
      </c>
      <c r="L16" s="6">
        <f t="shared" si="5"/>
        <v>7165.8568236542515</v>
      </c>
      <c r="M16" s="7">
        <f t="shared" si="6"/>
        <v>3601.7364349863233</v>
      </c>
      <c r="N16" s="8">
        <f t="shared" si="7"/>
        <v>3564.1203886679282</v>
      </c>
    </row>
    <row r="17" spans="1:17" s="17" customFormat="1" ht="14.5">
      <c r="A17" s="16">
        <v>44347</v>
      </c>
      <c r="B17" s="33">
        <v>1477597.29</v>
      </c>
      <c r="C17" s="41">
        <f>'NERCAMRT - Depreciation'!Q55</f>
        <v>-13606.730989247313</v>
      </c>
      <c r="D17" s="41">
        <f t="shared" si="0"/>
        <v>1463990.5590107527</v>
      </c>
      <c r="E17" s="32">
        <f t="shared" si="1"/>
        <v>307438.01739225804</v>
      </c>
      <c r="F17" s="29">
        <f t="shared" si="2"/>
        <v>1156552.5416184948</v>
      </c>
      <c r="G17" s="1">
        <v>0.98499999999999999</v>
      </c>
      <c r="H17" s="2">
        <f t="shared" si="3"/>
        <v>1139204.2534942173</v>
      </c>
      <c r="I17" s="19">
        <v>7.6200000000000004E-2</v>
      </c>
      <c r="J17" s="19">
        <v>3.8300000000000001E-2</v>
      </c>
      <c r="K17" s="20">
        <f t="shared" si="4"/>
        <v>3.7900000000000003E-2</v>
      </c>
      <c r="L17" s="6">
        <f t="shared" si="5"/>
        <v>7233.9470096882796</v>
      </c>
      <c r="M17" s="7">
        <f t="shared" si="6"/>
        <v>3635.9602424023765</v>
      </c>
      <c r="N17" s="8">
        <f t="shared" si="7"/>
        <v>3597.9867672859032</v>
      </c>
    </row>
    <row r="18" spans="1:17" s="17" customFormat="1" ht="14.5">
      <c r="A18" s="16">
        <v>44377</v>
      </c>
      <c r="B18" s="33">
        <v>1495762.45</v>
      </c>
      <c r="C18" s="41">
        <f>'NERCAMRT - Depreciation'!Q56</f>
        <v>-16685.626322580647</v>
      </c>
      <c r="D18" s="41">
        <f t="shared" si="0"/>
        <v>1479076.8236774192</v>
      </c>
      <c r="E18" s="32">
        <f t="shared" si="1"/>
        <v>310606.13297225803</v>
      </c>
      <c r="F18" s="29">
        <f t="shared" si="2"/>
        <v>1168470.6907051611</v>
      </c>
      <c r="G18" s="1">
        <v>0.98499999999999999</v>
      </c>
      <c r="H18" s="2">
        <f t="shared" si="3"/>
        <v>1150943.6303445837</v>
      </c>
      <c r="I18" s="19">
        <v>7.6200000000000004E-2</v>
      </c>
      <c r="J18" s="19">
        <v>3.8300000000000001E-2</v>
      </c>
      <c r="K18" s="20">
        <f t="shared" si="4"/>
        <v>3.7900000000000003E-2</v>
      </c>
      <c r="L18" s="6">
        <f t="shared" si="5"/>
        <v>7308.4920526881069</v>
      </c>
      <c r="M18" s="7">
        <f t="shared" si="6"/>
        <v>3673.4284201831292</v>
      </c>
      <c r="N18" s="8">
        <f t="shared" si="7"/>
        <v>3635.0636325049768</v>
      </c>
    </row>
    <row r="19" spans="1:17" s="17" customFormat="1" ht="14.5">
      <c r="A19" s="16">
        <v>44408</v>
      </c>
      <c r="B19" s="33">
        <v>1594469.28</v>
      </c>
      <c r="C19" s="41">
        <f>'NERCAMRT - Depreciation'!Q57</f>
        <v>-19764.521655913981</v>
      </c>
      <c r="D19" s="41">
        <f t="shared" si="0"/>
        <v>1574704.7583440861</v>
      </c>
      <c r="E19" s="32">
        <f t="shared" si="1"/>
        <v>330687.9992522581</v>
      </c>
      <c r="F19" s="29">
        <f t="shared" si="2"/>
        <v>1244016.759091828</v>
      </c>
      <c r="G19" s="1">
        <v>0.98499999999999999</v>
      </c>
      <c r="H19" s="2">
        <f t="shared" si="3"/>
        <v>1225356.5077054505</v>
      </c>
      <c r="I19" s="19">
        <v>7.6200000000000004E-2</v>
      </c>
      <c r="J19" s="19">
        <v>3.8300000000000001E-2</v>
      </c>
      <c r="K19" s="20">
        <f t="shared" si="4"/>
        <v>3.7900000000000003E-2</v>
      </c>
      <c r="L19" s="6">
        <f t="shared" si="5"/>
        <v>7781.0138239296111</v>
      </c>
      <c r="M19" s="7">
        <f t="shared" si="6"/>
        <v>3910.9295204265632</v>
      </c>
      <c r="N19" s="8">
        <f t="shared" si="7"/>
        <v>3870.0843035030484</v>
      </c>
    </row>
    <row r="20" spans="1:17" s="17" customFormat="1" ht="14.5">
      <c r="A20" s="16">
        <v>44439</v>
      </c>
      <c r="B20" s="33">
        <v>1609832.65</v>
      </c>
      <c r="C20" s="41">
        <f>'NERCAMRT - Depreciation'!Q58</f>
        <v>-22843.416989247315</v>
      </c>
      <c r="D20" s="41">
        <f t="shared" si="0"/>
        <v>1586989.2330107526</v>
      </c>
      <c r="E20" s="32">
        <f t="shared" si="1"/>
        <v>333267.73893225804</v>
      </c>
      <c r="F20" s="29">
        <f t="shared" si="2"/>
        <v>1253721.4940784946</v>
      </c>
      <c r="G20" s="1">
        <v>0.98499999999999999</v>
      </c>
      <c r="H20" s="2">
        <f t="shared" si="3"/>
        <v>1234915.6716673172</v>
      </c>
      <c r="I20" s="19">
        <v>7.6200000000000004E-2</v>
      </c>
      <c r="J20" s="19">
        <v>3.8300000000000001E-2</v>
      </c>
      <c r="K20" s="20">
        <f t="shared" si="4"/>
        <v>3.7900000000000003E-2</v>
      </c>
      <c r="L20" s="6">
        <f t="shared" si="5"/>
        <v>7841.714515087464</v>
      </c>
      <c r="M20" s="7">
        <f t="shared" si="6"/>
        <v>3941.439185404854</v>
      </c>
      <c r="N20" s="8">
        <f t="shared" si="7"/>
        <v>3900.2753296826104</v>
      </c>
    </row>
    <row r="21" spans="1:17" s="17" customFormat="1" ht="14.5">
      <c r="A21" s="16">
        <v>44469</v>
      </c>
      <c r="B21" s="33">
        <v>1624898.88</v>
      </c>
      <c r="C21" s="41">
        <f>'NERCAMRT - Depreciation'!Q59</f>
        <v>-25922.312322580648</v>
      </c>
      <c r="D21" s="41">
        <f t="shared" si="0"/>
        <v>1598976.5676774192</v>
      </c>
      <c r="E21" s="32">
        <f t="shared" si="1"/>
        <v>335785.07921225799</v>
      </c>
      <c r="F21" s="29">
        <f t="shared" si="2"/>
        <v>1263191.4884651611</v>
      </c>
      <c r="G21" s="1">
        <v>0.98499999999999999</v>
      </c>
      <c r="H21" s="2">
        <f t="shared" si="3"/>
        <v>1244243.6161381837</v>
      </c>
      <c r="I21" s="19">
        <v>7.6200000000000004E-2</v>
      </c>
      <c r="J21" s="19">
        <v>3.8300000000000001E-2</v>
      </c>
      <c r="K21" s="20">
        <f t="shared" si="4"/>
        <v>3.7900000000000003E-2</v>
      </c>
      <c r="L21" s="6">
        <f t="shared" si="5"/>
        <v>7900.9469624774674</v>
      </c>
      <c r="M21" s="7">
        <f t="shared" si="6"/>
        <v>3971.2108748410369</v>
      </c>
      <c r="N21" s="8">
        <f t="shared" si="7"/>
        <v>3929.7360876364305</v>
      </c>
    </row>
    <row r="22" spans="1:17" s="17" customFormat="1" ht="14.5">
      <c r="A22" s="16">
        <v>44500</v>
      </c>
      <c r="B22" s="33">
        <v>1666110.34</v>
      </c>
      <c r="C22" s="41">
        <f>'NERCAMRT - Depreciation'!Q60</f>
        <v>-29001.207655913982</v>
      </c>
      <c r="D22" s="41">
        <f t="shared" si="0"/>
        <v>1637109.1323440862</v>
      </c>
      <c r="E22" s="32">
        <f t="shared" si="1"/>
        <v>343792.91779225809</v>
      </c>
      <c r="F22" s="29">
        <f t="shared" si="2"/>
        <v>1293316.2145518281</v>
      </c>
      <c r="G22" s="1">
        <v>0.98499999999999999</v>
      </c>
      <c r="H22" s="2">
        <f t="shared" si="3"/>
        <v>1273916.4713335508</v>
      </c>
      <c r="I22" s="19">
        <v>7.6200000000000004E-2</v>
      </c>
      <c r="J22" s="19">
        <v>3.8300000000000001E-2</v>
      </c>
      <c r="K22" s="20">
        <f t="shared" si="4"/>
        <v>3.7900000000000003E-2</v>
      </c>
      <c r="L22" s="6">
        <f t="shared" si="5"/>
        <v>8089.369592968048</v>
      </c>
      <c r="M22" s="7">
        <f t="shared" si="6"/>
        <v>4065.9167376729165</v>
      </c>
      <c r="N22" s="8">
        <f t="shared" si="7"/>
        <v>4023.452855295131</v>
      </c>
    </row>
    <row r="23" spans="1:17" s="17" customFormat="1" ht="14.5">
      <c r="A23" s="16">
        <v>44530</v>
      </c>
      <c r="B23" s="33">
        <v>1691677.36</v>
      </c>
      <c r="C23" s="41">
        <f>'NERCAMRT - Depreciation'!Q61</f>
        <v>-32080.102989247316</v>
      </c>
      <c r="D23" s="41">
        <f t="shared" si="0"/>
        <v>1659597.2570107528</v>
      </c>
      <c r="E23" s="32">
        <f t="shared" si="1"/>
        <v>348515.42397225805</v>
      </c>
      <c r="F23" s="29">
        <f t="shared" si="2"/>
        <v>1311081.8330384947</v>
      </c>
      <c r="G23" s="1">
        <v>0.98499999999999999</v>
      </c>
      <c r="H23" s="2">
        <f t="shared" si="3"/>
        <v>1291415.6055429173</v>
      </c>
      <c r="I23" s="19">
        <v>7.6200000000000004E-2</v>
      </c>
      <c r="J23" s="19">
        <v>3.8300000000000001E-2</v>
      </c>
      <c r="K23" s="20">
        <f t="shared" si="4"/>
        <v>3.7900000000000003E-2</v>
      </c>
      <c r="L23" s="6">
        <f t="shared" si="5"/>
        <v>8200.4890951975249</v>
      </c>
      <c r="M23" s="7">
        <f t="shared" si="6"/>
        <v>4121.7681410244777</v>
      </c>
      <c r="N23" s="8">
        <f t="shared" si="7"/>
        <v>4078.7209541730476</v>
      </c>
    </row>
    <row r="24" spans="1:17" s="17" customFormat="1" ht="14.5">
      <c r="A24" s="16">
        <v>44561</v>
      </c>
      <c r="B24" s="33">
        <v>1727956.56</v>
      </c>
      <c r="C24" s="41">
        <f>'NERCAMRT - Depreciation'!Q62</f>
        <v>-35158.99832258065</v>
      </c>
      <c r="D24" s="41">
        <f t="shared" si="0"/>
        <v>1692797.5616774193</v>
      </c>
      <c r="E24" s="32">
        <f t="shared" si="1"/>
        <v>355487.48795225803</v>
      </c>
      <c r="F24" s="29">
        <f t="shared" si="2"/>
        <v>1337310.0737251614</v>
      </c>
      <c r="G24" s="1">
        <v>0.98499999999999999</v>
      </c>
      <c r="H24" s="2">
        <f t="shared" si="3"/>
        <v>1317250.4226192839</v>
      </c>
      <c r="I24" s="19">
        <v>7.6200000000000004E-2</v>
      </c>
      <c r="J24" s="19">
        <v>3.8300000000000001E-2</v>
      </c>
      <c r="K24" s="20">
        <f t="shared" si="4"/>
        <v>3.7900000000000003E-2</v>
      </c>
      <c r="L24" s="6">
        <f t="shared" si="5"/>
        <v>8364.5401836324527</v>
      </c>
      <c r="M24" s="7">
        <f t="shared" si="6"/>
        <v>4204.2242655265482</v>
      </c>
      <c r="N24" s="8">
        <f t="shared" si="7"/>
        <v>4160.3159181059054</v>
      </c>
      <c r="O24" s="33"/>
      <c r="P24" s="33"/>
    </row>
    <row r="25" spans="1:17" s="17" customFormat="1" ht="14.5">
      <c r="A25" s="16">
        <v>44592</v>
      </c>
      <c r="B25" s="33">
        <v>1822457.69</v>
      </c>
      <c r="C25" s="41">
        <f>'NERCAMRT - Depreciation'!Q64</f>
        <v>-38237.893655913984</v>
      </c>
      <c r="D25" s="41">
        <f t="shared" si="0"/>
        <v>1784219.7963440861</v>
      </c>
      <c r="E25" s="32">
        <f t="shared" si="1"/>
        <v>374686.15723225806</v>
      </c>
      <c r="F25" s="29">
        <f t="shared" si="2"/>
        <v>1409533.6391118281</v>
      </c>
      <c r="G25" s="1">
        <v>0.98499999999999999</v>
      </c>
      <c r="H25" s="2">
        <f t="shared" si="3"/>
        <v>1388390.6345251505</v>
      </c>
      <c r="I25" s="19">
        <v>7.6200000000000004E-2</v>
      </c>
      <c r="J25" s="19">
        <v>3.8300000000000001E-2</v>
      </c>
      <c r="K25" s="20">
        <f t="shared" si="4"/>
        <v>3.7900000000000003E-2</v>
      </c>
      <c r="L25" s="6">
        <f t="shared" si="5"/>
        <v>8816.2805292347057</v>
      </c>
      <c r="M25" s="7">
        <f t="shared" si="6"/>
        <v>4431.2801085261053</v>
      </c>
      <c r="N25" s="8">
        <f t="shared" si="7"/>
        <v>4385.0004207086013</v>
      </c>
    </row>
    <row r="26" spans="1:17" s="17" customFormat="1" ht="14.5">
      <c r="A26" s="16">
        <v>44620</v>
      </c>
      <c r="B26" s="33">
        <v>1967189.66</v>
      </c>
      <c r="C26" s="41">
        <f>'NERCAMRT - Depreciation'!Q65</f>
        <v>-41316.788989247318</v>
      </c>
      <c r="D26" s="41">
        <f t="shared" si="0"/>
        <v>1925872.8710107526</v>
      </c>
      <c r="E26" s="32">
        <f t="shared" si="1"/>
        <v>404433.30291225802</v>
      </c>
      <c r="F26" s="29">
        <f t="shared" si="2"/>
        <v>1521439.5680984946</v>
      </c>
      <c r="G26" s="1">
        <v>0.98499999999999999</v>
      </c>
      <c r="H26" s="2">
        <f t="shared" si="3"/>
        <v>1498617.9745770171</v>
      </c>
      <c r="I26" s="19">
        <v>7.6200000000000004E-2</v>
      </c>
      <c r="J26" s="19">
        <v>3.8300000000000001E-2</v>
      </c>
      <c r="K26" s="20">
        <f t="shared" si="4"/>
        <v>3.7900000000000003E-2</v>
      </c>
      <c r="L26" s="6">
        <f t="shared" si="5"/>
        <v>9516.2241385640591</v>
      </c>
      <c r="M26" s="7">
        <f t="shared" si="6"/>
        <v>4783.0890355249803</v>
      </c>
      <c r="N26" s="8">
        <f t="shared" si="7"/>
        <v>4733.1351030390797</v>
      </c>
      <c r="O26" s="33"/>
      <c r="P26" s="33"/>
      <c r="Q26" s="33"/>
    </row>
    <row r="27" spans="1:17" s="17" customFormat="1" ht="14.5">
      <c r="A27" s="16">
        <v>44651</v>
      </c>
      <c r="B27" s="33">
        <v>1970917.2399999998</v>
      </c>
      <c r="C27" s="41">
        <f>'NERCAMRT - Depreciation'!Q66</f>
        <v>-44395.684322580651</v>
      </c>
      <c r="D27" s="41">
        <f t="shared" si="0"/>
        <v>1926521.5556774191</v>
      </c>
      <c r="E27" s="32">
        <f t="shared" si="1"/>
        <v>404569.52669225796</v>
      </c>
      <c r="F27" s="29">
        <f t="shared" si="2"/>
        <v>1521952.0289851611</v>
      </c>
      <c r="G27" s="1">
        <v>0.98499999999999999</v>
      </c>
      <c r="H27" s="2">
        <f t="shared" si="3"/>
        <v>1499122.7485503836</v>
      </c>
      <c r="I27" s="19">
        <v>7.6200000000000004E-2</v>
      </c>
      <c r="J27" s="19">
        <v>3.8300000000000001E-2</v>
      </c>
      <c r="K27" s="20">
        <f t="shared" si="4"/>
        <v>3.7900000000000003E-2</v>
      </c>
      <c r="L27" s="6">
        <f t="shared" si="5"/>
        <v>9519.429453294937</v>
      </c>
      <c r="M27" s="7">
        <f t="shared" si="6"/>
        <v>4784.7001057899743</v>
      </c>
      <c r="N27" s="8">
        <f t="shared" si="7"/>
        <v>4734.7293475049619</v>
      </c>
    </row>
    <row r="28" spans="1:17" s="17" customFormat="1" ht="14.5">
      <c r="A28" s="16">
        <v>44681</v>
      </c>
      <c r="B28" s="33">
        <v>1989786.1499999994</v>
      </c>
      <c r="C28" s="41">
        <f>'NERCAMRT - Depreciation'!Q67</f>
        <v>-47474.579655913985</v>
      </c>
      <c r="D28" s="41">
        <f t="shared" si="0"/>
        <v>1942311.5703440853</v>
      </c>
      <c r="E28" s="32">
        <f t="shared" si="1"/>
        <v>407885.42977225792</v>
      </c>
      <c r="F28" s="29">
        <f t="shared" si="2"/>
        <v>1534426.1405718275</v>
      </c>
      <c r="G28" s="1">
        <v>0.98499999999999999</v>
      </c>
      <c r="H28" s="2">
        <f t="shared" si="3"/>
        <v>1511409.74846325</v>
      </c>
      <c r="I28" s="19">
        <v>7.6200000000000004E-2</v>
      </c>
      <c r="J28" s="19">
        <v>3.8300000000000001E-2</v>
      </c>
      <c r="K28" s="20">
        <f t="shared" si="4"/>
        <v>3.7900000000000003E-2</v>
      </c>
      <c r="L28" s="6">
        <f t="shared" si="5"/>
        <v>9597.4519027416372</v>
      </c>
      <c r="M28" s="7">
        <f t="shared" si="6"/>
        <v>4823.9161138452064</v>
      </c>
      <c r="N28" s="8">
        <f t="shared" si="7"/>
        <v>4773.5357888964318</v>
      </c>
    </row>
    <row r="29" spans="1:17" s="17" customFormat="1" ht="14.5">
      <c r="A29" s="16">
        <v>44712</v>
      </c>
      <c r="B29" s="33">
        <v>1996909.27</v>
      </c>
      <c r="C29" s="41">
        <f>'NERCAMRT - Depreciation'!Q68</f>
        <v>-50553.474989247319</v>
      </c>
      <c r="D29" s="41">
        <f t="shared" si="0"/>
        <v>1946355.7950107527</v>
      </c>
      <c r="E29" s="32">
        <f t="shared" si="1"/>
        <v>408734.71695225808</v>
      </c>
      <c r="F29" s="29">
        <f t="shared" si="2"/>
        <v>1537621.0780584947</v>
      </c>
      <c r="G29" s="1">
        <v>0.98499999999999999</v>
      </c>
      <c r="H29" s="2">
        <f t="shared" si="3"/>
        <v>1514556.7618876172</v>
      </c>
      <c r="I29" s="19">
        <v>7.6200000000000004E-2</v>
      </c>
      <c r="J29" s="19">
        <v>3.8300000000000001E-2</v>
      </c>
      <c r="K29" s="20">
        <f t="shared" si="4"/>
        <v>3.7900000000000003E-2</v>
      </c>
      <c r="L29" s="6">
        <f t="shared" si="5"/>
        <v>9617.4354379863707</v>
      </c>
      <c r="M29" s="7">
        <f t="shared" si="6"/>
        <v>4833.9603316913117</v>
      </c>
      <c r="N29" s="8">
        <f t="shared" si="7"/>
        <v>4783.4751062950581</v>
      </c>
    </row>
    <row r="30" spans="1:17" s="17" customFormat="1" ht="14.5">
      <c r="A30" s="16">
        <v>44742</v>
      </c>
      <c r="B30" s="33">
        <v>2005516.14</v>
      </c>
      <c r="C30" s="41">
        <f>'NERCAMRT - Depreciation'!Q69</f>
        <v>-53632.370322580653</v>
      </c>
      <c r="D30" s="41">
        <f t="shared" si="0"/>
        <v>1951883.7696774192</v>
      </c>
      <c r="E30" s="32">
        <f t="shared" si="1"/>
        <v>409895.59163225803</v>
      </c>
      <c r="F30" s="29">
        <f t="shared" si="2"/>
        <v>1541988.1780451611</v>
      </c>
      <c r="G30" s="1">
        <v>0.98499999999999999</v>
      </c>
      <c r="H30" s="2">
        <f t="shared" si="3"/>
        <v>1518858.3553744836</v>
      </c>
      <c r="I30" s="19">
        <v>7.6200000000000004E-2</v>
      </c>
      <c r="J30" s="19">
        <v>3.8300000000000001E-2</v>
      </c>
      <c r="K30" s="20">
        <f t="shared" si="4"/>
        <v>3.7900000000000003E-2</v>
      </c>
      <c r="L30" s="6">
        <f t="shared" si="5"/>
        <v>9644.7505566279706</v>
      </c>
      <c r="M30" s="7">
        <f t="shared" si="6"/>
        <v>4847.6895842368931</v>
      </c>
      <c r="N30" s="8">
        <f t="shared" si="7"/>
        <v>4797.0609723910775</v>
      </c>
    </row>
    <row r="31" spans="1:17" s="17" customFormat="1" ht="14.5">
      <c r="A31" s="16">
        <v>44773</v>
      </c>
      <c r="B31" s="33">
        <v>2030715.47</v>
      </c>
      <c r="C31" s="41">
        <f>'NERCAMRT - Depreciation'!Q70</f>
        <v>-56711.265655913987</v>
      </c>
      <c r="D31" s="41">
        <f t="shared" si="0"/>
        <v>1974004.2043440859</v>
      </c>
      <c r="E31" s="32">
        <f t="shared" si="1"/>
        <v>414540.88291225804</v>
      </c>
      <c r="F31" s="29">
        <f t="shared" si="2"/>
        <v>1559463.3214318277</v>
      </c>
      <c r="G31" s="1">
        <v>0.98499999999999999</v>
      </c>
      <c r="H31" s="2">
        <f t="shared" si="3"/>
        <v>1536071.3716103502</v>
      </c>
      <c r="I31" s="19">
        <v>7.6200000000000004E-2</v>
      </c>
      <c r="J31" s="19">
        <v>3.8300000000000001E-2</v>
      </c>
      <c r="K31" s="20">
        <f t="shared" si="4"/>
        <v>3.7900000000000003E-2</v>
      </c>
      <c r="L31" s="6">
        <f t="shared" si="5"/>
        <v>9754.0532097257237</v>
      </c>
      <c r="M31" s="7">
        <f t="shared" si="6"/>
        <v>4902.6277943897012</v>
      </c>
      <c r="N31" s="8">
        <f t="shared" si="7"/>
        <v>4851.4254153360234</v>
      </c>
    </row>
    <row r="32" spans="1:17" s="17" customFormat="1" ht="14.5">
      <c r="A32" s="16">
        <v>44804</v>
      </c>
      <c r="B32" s="33">
        <v>2042303.25</v>
      </c>
      <c r="C32" s="41">
        <f>'NERCAMRT - Depreciation'!Q71</f>
        <v>-59790.160989247321</v>
      </c>
      <c r="D32" s="41">
        <f t="shared" si="0"/>
        <v>1982513.0890107527</v>
      </c>
      <c r="E32" s="32">
        <f t="shared" si="1"/>
        <v>416327.74869225809</v>
      </c>
      <c r="F32" s="29">
        <f t="shared" si="2"/>
        <v>1566185.3403184947</v>
      </c>
      <c r="G32" s="1">
        <v>0.98499999999999999</v>
      </c>
      <c r="H32" s="2">
        <f t="shared" si="3"/>
        <v>1542692.5602137172</v>
      </c>
      <c r="I32" s="19">
        <v>7.6200000000000004E-2</v>
      </c>
      <c r="J32" s="19">
        <v>3.8300000000000001E-2</v>
      </c>
      <c r="K32" s="20">
        <f t="shared" si="4"/>
        <v>3.7900000000000003E-2</v>
      </c>
      <c r="L32" s="6">
        <f t="shared" si="5"/>
        <v>9796.0977573571054</v>
      </c>
      <c r="M32" s="7">
        <f t="shared" si="6"/>
        <v>4923.7604213487803</v>
      </c>
      <c r="N32" s="8">
        <f t="shared" si="7"/>
        <v>4872.3373360083233</v>
      </c>
    </row>
    <row r="33" spans="1:17" s="17" customFormat="1" ht="14.5">
      <c r="A33" s="16">
        <v>44834</v>
      </c>
      <c r="B33" s="33">
        <v>2056892.39</v>
      </c>
      <c r="C33" s="41">
        <f>'NERCAMRT - Depreciation'!Q72</f>
        <v>-62869.056322580655</v>
      </c>
      <c r="D33" s="41">
        <f t="shared" si="0"/>
        <v>1994023.3336774192</v>
      </c>
      <c r="E33" s="32">
        <f t="shared" si="1"/>
        <v>418744.90007225802</v>
      </c>
      <c r="F33" s="29">
        <f t="shared" si="2"/>
        <v>1575278.4336051613</v>
      </c>
      <c r="G33" s="1">
        <v>0.98499999999999999</v>
      </c>
      <c r="H33" s="2">
        <f t="shared" si="3"/>
        <v>1551649.2571010839</v>
      </c>
      <c r="I33" s="19">
        <v>7.6200000000000004E-2</v>
      </c>
      <c r="J33" s="19">
        <v>3.8300000000000001E-2</v>
      </c>
      <c r="K33" s="20">
        <f t="shared" si="4"/>
        <v>3.7900000000000003E-2</v>
      </c>
      <c r="L33" s="6">
        <f t="shared" si="5"/>
        <v>9852.9727825918835</v>
      </c>
      <c r="M33" s="7">
        <f t="shared" si="6"/>
        <v>4952.347212247626</v>
      </c>
      <c r="N33" s="8">
        <f t="shared" si="7"/>
        <v>4900.6255703442575</v>
      </c>
    </row>
    <row r="34" spans="1:17" s="17" customFormat="1" ht="14.5">
      <c r="A34" s="16">
        <v>44865</v>
      </c>
      <c r="B34" s="33">
        <v>2074568.77</v>
      </c>
      <c r="C34" s="41">
        <f>'NERCAMRT - Depreciation'!Q73</f>
        <v>-65947.951655913988</v>
      </c>
      <c r="D34" s="41">
        <f t="shared" si="0"/>
        <v>2008620.8183440859</v>
      </c>
      <c r="E34" s="32">
        <f t="shared" si="1"/>
        <v>421810.37185225805</v>
      </c>
      <c r="F34" s="29">
        <f t="shared" si="2"/>
        <v>1586810.446491828</v>
      </c>
      <c r="G34" s="1">
        <v>0.98499999999999999</v>
      </c>
      <c r="H34" s="2">
        <f t="shared" si="3"/>
        <v>1563008.2897944506</v>
      </c>
      <c r="I34" s="19">
        <v>7.6200000000000004E-2</v>
      </c>
      <c r="J34" s="19">
        <v>3.8300000000000001E-2</v>
      </c>
      <c r="K34" s="20">
        <f t="shared" si="4"/>
        <v>3.7900000000000003E-2</v>
      </c>
      <c r="L34" s="6">
        <f t="shared" si="5"/>
        <v>9925.102640194762</v>
      </c>
      <c r="M34" s="7">
        <f t="shared" si="6"/>
        <v>4988.6014582606213</v>
      </c>
      <c r="N34" s="8">
        <f t="shared" si="7"/>
        <v>4936.5011819341407</v>
      </c>
      <c r="Q34" s="77"/>
    </row>
    <row r="35" spans="1:17" s="17" customFormat="1" ht="14.5">
      <c r="A35" s="16">
        <v>44895</v>
      </c>
      <c r="B35" s="33">
        <v>2078455.45</v>
      </c>
      <c r="C35" s="41">
        <f>'NERCAMRT - Depreciation'!Q74</f>
        <v>-69026.846989247322</v>
      </c>
      <c r="D35" s="41">
        <f t="shared" si="0"/>
        <v>2009428.6030107527</v>
      </c>
      <c r="E35" s="32">
        <f t="shared" si="1"/>
        <v>421980.00663225807</v>
      </c>
      <c r="F35" s="29">
        <f t="shared" si="2"/>
        <v>1587448.5963784945</v>
      </c>
      <c r="G35" s="1">
        <v>0.98499999999999999</v>
      </c>
      <c r="H35" s="2">
        <f t="shared" si="3"/>
        <v>1563636.8674328171</v>
      </c>
      <c r="I35" s="19">
        <v>7.6200000000000004E-2</v>
      </c>
      <c r="J35" s="19">
        <v>3.8300000000000001E-2</v>
      </c>
      <c r="K35" s="20">
        <f t="shared" si="4"/>
        <v>3.7900000000000003E-2</v>
      </c>
      <c r="L35" s="6">
        <f t="shared" si="5"/>
        <v>9929.0941081983892</v>
      </c>
      <c r="M35" s="7">
        <f t="shared" si="6"/>
        <v>4990.6076685564085</v>
      </c>
      <c r="N35" s="8">
        <f t="shared" si="7"/>
        <v>4938.4864396419807</v>
      </c>
      <c r="Q35" s="77"/>
    </row>
    <row r="36" spans="1:17" s="17" customFormat="1" ht="14.5">
      <c r="A36" s="16">
        <v>44926</v>
      </c>
      <c r="B36" s="33">
        <v>2080116.91</v>
      </c>
      <c r="C36" s="41">
        <f>'NERCAMRT - Depreciation'!Q75</f>
        <v>-72105.742322580656</v>
      </c>
      <c r="D36" s="41">
        <f t="shared" si="0"/>
        <v>2008011.1676774193</v>
      </c>
      <c r="E36" s="32">
        <f t="shared" si="1"/>
        <v>421682.34521225805</v>
      </c>
      <c r="F36" s="29">
        <f t="shared" si="2"/>
        <v>1586328.8224651613</v>
      </c>
      <c r="G36" s="1">
        <v>0.98499999999999999</v>
      </c>
      <c r="H36" s="2">
        <f t="shared" si="3"/>
        <v>1562533.8901281839</v>
      </c>
      <c r="I36" s="19">
        <v>7.6200000000000004E-2</v>
      </c>
      <c r="J36" s="19">
        <v>3.8300000000000001E-2</v>
      </c>
      <c r="K36" s="20">
        <f t="shared" si="4"/>
        <v>3.7900000000000003E-2</v>
      </c>
      <c r="L36" s="6">
        <f t="shared" si="5"/>
        <v>9922.0902023139679</v>
      </c>
      <c r="M36" s="7">
        <f t="shared" si="6"/>
        <v>4987.08733265912</v>
      </c>
      <c r="N36" s="8">
        <f t="shared" si="7"/>
        <v>4935.0028696548479</v>
      </c>
    </row>
    <row r="37" spans="1:17" s="17" customFormat="1" ht="14.5">
      <c r="A37" s="16">
        <v>44957</v>
      </c>
      <c r="B37" s="33">
        <v>2081463.45</v>
      </c>
      <c r="C37" s="41">
        <f>'NERCAMRT - Depreciation'!Q77</f>
        <v>-75184.63765591399</v>
      </c>
      <c r="D37" s="41">
        <f t="shared" si="0"/>
        <v>2006278.8123440859</v>
      </c>
      <c r="E37" s="32">
        <f t="shared" si="1"/>
        <v>421318.55059225805</v>
      </c>
      <c r="F37" s="29">
        <f t="shared" si="2"/>
        <v>1584960.2617518278</v>
      </c>
      <c r="G37" s="1">
        <v>0.98499999999999999</v>
      </c>
      <c r="H37" s="2">
        <f t="shared" si="3"/>
        <v>1561185.8578255503</v>
      </c>
      <c r="I37" s="19">
        <v>7.6200000000000004E-2</v>
      </c>
      <c r="J37" s="19">
        <v>3.8300000000000001E-2</v>
      </c>
      <c r="K37" s="20">
        <f t="shared" si="4"/>
        <v>3.7900000000000003E-2</v>
      </c>
      <c r="L37" s="6">
        <f t="shared" si="5"/>
        <v>9913.5301971922436</v>
      </c>
      <c r="M37" s="7">
        <f t="shared" si="6"/>
        <v>4982.7848628932143</v>
      </c>
      <c r="N37" s="8">
        <f t="shared" si="7"/>
        <v>4930.7453342990302</v>
      </c>
    </row>
    <row r="38" spans="1:17" s="17" customFormat="1" ht="14.5">
      <c r="A38" s="16">
        <v>44985</v>
      </c>
      <c r="B38" s="33">
        <v>2088467.25</v>
      </c>
      <c r="C38" s="41">
        <f>'NERCAMRT - Depreciation'!Q78</f>
        <v>-78263.532989247324</v>
      </c>
      <c r="D38" s="41">
        <f t="shared" si="0"/>
        <v>2010203.7170107528</v>
      </c>
      <c r="E38" s="32">
        <f t="shared" si="1"/>
        <v>422142.78057225805</v>
      </c>
      <c r="F38" s="29">
        <f t="shared" si="2"/>
        <v>1588060.9364384948</v>
      </c>
      <c r="G38" s="1">
        <v>0.98499999999999999</v>
      </c>
      <c r="H38" s="2">
        <f t="shared" si="3"/>
        <v>1564240.0223919174</v>
      </c>
      <c r="I38" s="19">
        <v>7.6200000000000004E-2</v>
      </c>
      <c r="J38" s="19">
        <v>3.8300000000000001E-2</v>
      </c>
      <c r="K38" s="20">
        <f t="shared" si="4"/>
        <v>3.7900000000000003E-2</v>
      </c>
      <c r="L38" s="6">
        <f t="shared" si="5"/>
        <v>9932.9241421886763</v>
      </c>
      <c r="M38" s="7">
        <f t="shared" si="6"/>
        <v>4992.5327381342031</v>
      </c>
      <c r="N38" s="8">
        <f t="shared" si="7"/>
        <v>4940.3914040544723</v>
      </c>
    </row>
    <row r="39" spans="1:17" s="17" customFormat="1" ht="14.5">
      <c r="A39" s="16">
        <v>45016</v>
      </c>
      <c r="B39" s="33">
        <v>2089885.86</v>
      </c>
      <c r="C39" s="41">
        <f>'NERCAMRT - Depreciation'!Q79</f>
        <v>-81342.428322580658</v>
      </c>
      <c r="D39" s="41">
        <f t="shared" si="0"/>
        <v>2008543.4316774195</v>
      </c>
      <c r="E39" s="32">
        <f t="shared" si="1"/>
        <v>421794.12065225805</v>
      </c>
      <c r="F39" s="29">
        <f t="shared" si="2"/>
        <v>1586749.3110251613</v>
      </c>
      <c r="G39" s="1">
        <v>0.98499999999999999</v>
      </c>
      <c r="H39" s="2">
        <f t="shared" si="3"/>
        <v>1562948.0713597839</v>
      </c>
      <c r="I39" s="19">
        <v>7.6200000000000004E-2</v>
      </c>
      <c r="J39" s="19">
        <v>3.8300000000000001E-2</v>
      </c>
      <c r="K39" s="20">
        <f t="shared" si="4"/>
        <v>3.7900000000000003E-2</v>
      </c>
      <c r="L39" s="6">
        <f t="shared" si="5"/>
        <v>9924.7202531346284</v>
      </c>
      <c r="M39" s="7">
        <f t="shared" si="6"/>
        <v>4988.409261089977</v>
      </c>
      <c r="N39" s="8">
        <f t="shared" si="7"/>
        <v>4936.3109920446514</v>
      </c>
    </row>
    <row r="40" spans="1:17" s="17" customFormat="1" ht="14.5">
      <c r="A40" s="16">
        <v>45046</v>
      </c>
      <c r="B40" s="33">
        <v>2090891.09</v>
      </c>
      <c r="C40" s="41">
        <f>'NERCAMRT - Depreciation'!Q80</f>
        <v>-84421.323655913991</v>
      </c>
      <c r="D40" s="41">
        <f t="shared" si="0"/>
        <v>2006469.766344086</v>
      </c>
      <c r="E40" s="32">
        <f t="shared" si="1"/>
        <v>421358.65093225805</v>
      </c>
      <c r="F40" s="29">
        <f t="shared" si="2"/>
        <v>1585111.115411828</v>
      </c>
      <c r="G40" s="1">
        <v>0.98499999999999999</v>
      </c>
      <c r="H40" s="2">
        <f t="shared" si="3"/>
        <v>1561334.4486806507</v>
      </c>
      <c r="I40" s="19">
        <v>7.6200000000000004E-2</v>
      </c>
      <c r="J40" s="19">
        <v>3.8300000000000001E-2</v>
      </c>
      <c r="K40" s="20">
        <f t="shared" si="4"/>
        <v>3.7900000000000003E-2</v>
      </c>
      <c r="L40" s="6">
        <f t="shared" si="5"/>
        <v>9914.4737491221331</v>
      </c>
      <c r="M40" s="7">
        <f t="shared" si="6"/>
        <v>4983.2591153724106</v>
      </c>
      <c r="N40" s="8">
        <f t="shared" si="7"/>
        <v>4931.2146337497225</v>
      </c>
    </row>
    <row r="41" spans="1:17" s="17" customFormat="1" ht="14.5">
      <c r="A41" s="16">
        <v>45077</v>
      </c>
      <c r="B41" s="33">
        <v>2092143.21</v>
      </c>
      <c r="C41" s="41">
        <f>'NERCAMRT - Depreciation'!Q81</f>
        <v>-87500.218989247325</v>
      </c>
      <c r="D41" s="41">
        <f t="shared" si="0"/>
        <v>2004642.9910107527</v>
      </c>
      <c r="E41" s="32">
        <f t="shared" si="1"/>
        <v>420975.02811225806</v>
      </c>
      <c r="F41" s="29">
        <f t="shared" si="2"/>
        <v>1583667.9628984947</v>
      </c>
      <c r="G41" s="1">
        <v>0.98499999999999999</v>
      </c>
      <c r="H41" s="2">
        <f t="shared" si="3"/>
        <v>1559912.9434550172</v>
      </c>
      <c r="I41" s="19">
        <v>7.6200000000000004E-2</v>
      </c>
      <c r="J41" s="19">
        <v>3.8300000000000001E-2</v>
      </c>
      <c r="K41" s="20">
        <f t="shared" si="4"/>
        <v>3.7900000000000003E-2</v>
      </c>
      <c r="L41" s="6">
        <f t="shared" si="5"/>
        <v>9905.4471909393596</v>
      </c>
      <c r="M41" s="78">
        <f t="shared" si="6"/>
        <v>4978.7221445272635</v>
      </c>
      <c r="N41" s="79">
        <f t="shared" si="7"/>
        <v>4926.7250464120962</v>
      </c>
    </row>
    <row r="42" spans="1:17" s="17" customFormat="1" ht="14.5">
      <c r="A42" s="16">
        <v>45107</v>
      </c>
      <c r="B42" s="33">
        <v>2093383.32</v>
      </c>
      <c r="C42" s="41">
        <f>'NERCAMRT - Depreciation'!Q82</f>
        <v>-90579.114322580659</v>
      </c>
      <c r="D42" s="41">
        <f t="shared" si="0"/>
        <v>2002804.2056774194</v>
      </c>
      <c r="E42" s="32">
        <f t="shared" si="1"/>
        <v>420588.88319225807</v>
      </c>
      <c r="F42" s="29">
        <f t="shared" si="2"/>
        <v>1582215.3224851615</v>
      </c>
      <c r="G42" s="1">
        <v>0.98499999999999999</v>
      </c>
      <c r="H42" s="2">
        <f t="shared" si="3"/>
        <v>1558482.092647884</v>
      </c>
      <c r="I42" s="19">
        <v>7.6200000000000004E-2</v>
      </c>
      <c r="J42" s="19">
        <v>3.8300000000000001E-2</v>
      </c>
      <c r="K42" s="20">
        <f t="shared" si="4"/>
        <v>3.7900000000000003E-2</v>
      </c>
      <c r="L42" s="6">
        <f t="shared" si="5"/>
        <v>9896.361288314065</v>
      </c>
      <c r="M42" s="7">
        <f t="shared" si="6"/>
        <v>4974.1553457011632</v>
      </c>
      <c r="N42" s="8">
        <f t="shared" si="7"/>
        <v>4922.2059426129008</v>
      </c>
    </row>
    <row r="43" spans="1:17" s="17" customFormat="1" ht="14.5">
      <c r="A43" s="16">
        <v>45138</v>
      </c>
      <c r="B43" s="33">
        <v>2094221.39</v>
      </c>
      <c r="C43" s="41">
        <f>'NERCAMRT - Depreciation'!Q83</f>
        <v>-93658.009655913993</v>
      </c>
      <c r="D43" s="41">
        <f t="shared" si="0"/>
        <v>2000563.3803440859</v>
      </c>
      <c r="E43" s="32">
        <f t="shared" si="1"/>
        <v>420118.30987225799</v>
      </c>
      <c r="F43" s="29">
        <f t="shared" si="2"/>
        <v>1580445.0704718279</v>
      </c>
      <c r="G43" s="1">
        <v>0.98499999999999999</v>
      </c>
      <c r="H43" s="2">
        <f t="shared" si="3"/>
        <v>1556738.3944147504</v>
      </c>
      <c r="I43" s="19">
        <v>7.6200000000000004E-2</v>
      </c>
      <c r="J43" s="19">
        <v>3.8300000000000001E-2</v>
      </c>
      <c r="K43" s="20">
        <f t="shared" si="4"/>
        <v>3.7900000000000003E-2</v>
      </c>
      <c r="L43" s="6">
        <f t="shared" si="5"/>
        <v>9885.2888045336658</v>
      </c>
      <c r="M43" s="7">
        <f t="shared" si="6"/>
        <v>4968.5900421737451</v>
      </c>
      <c r="N43" s="8">
        <f t="shared" si="7"/>
        <v>4916.6987623599207</v>
      </c>
    </row>
    <row r="44" spans="1:17" s="17" customFormat="1" ht="14.5">
      <c r="A44" s="16">
        <v>45169</v>
      </c>
      <c r="B44" s="33">
        <v>2095553.03</v>
      </c>
      <c r="C44" s="41">
        <f>'NERCAMRT - Depreciation'!Q84</f>
        <v>-96736.904989247327</v>
      </c>
      <c r="D44" s="41">
        <f t="shared" si="0"/>
        <v>1998816.1250107526</v>
      </c>
      <c r="E44" s="32">
        <f t="shared" si="1"/>
        <v>419751.38625225803</v>
      </c>
      <c r="F44" s="29">
        <f t="shared" si="2"/>
        <v>1579064.7387584946</v>
      </c>
      <c r="G44" s="1">
        <v>0.98499999999999999</v>
      </c>
      <c r="H44" s="2">
        <f t="shared" si="3"/>
        <v>1555378.7676771171</v>
      </c>
      <c r="I44" s="19">
        <v>7.6200000000000004E-2</v>
      </c>
      <c r="J44" s="19">
        <v>3.8300000000000001E-2</v>
      </c>
      <c r="K44" s="20">
        <f t="shared" si="4"/>
        <v>3.7900000000000003E-2</v>
      </c>
      <c r="L44" s="6">
        <f t="shared" si="5"/>
        <v>9876.6551747496942</v>
      </c>
      <c r="M44" s="7">
        <f t="shared" si="6"/>
        <v>4964.2505668361327</v>
      </c>
      <c r="N44" s="8">
        <f t="shared" si="7"/>
        <v>4912.4046079135614</v>
      </c>
    </row>
    <row r="45" spans="1:17" s="17" customFormat="1" ht="14.5">
      <c r="A45" s="16">
        <v>45199</v>
      </c>
      <c r="B45" s="33">
        <v>2096754.07</v>
      </c>
      <c r="C45" s="41">
        <f>'NERCAMRT - Depreciation'!Q85</f>
        <v>-99815.800322580661</v>
      </c>
      <c r="D45" s="41">
        <f t="shared" si="0"/>
        <v>1996938.2696774194</v>
      </c>
      <c r="E45" s="32">
        <f t="shared" si="1"/>
        <v>419357.0366322581</v>
      </c>
      <c r="F45" s="29">
        <f t="shared" si="2"/>
        <v>1577581.2330451612</v>
      </c>
      <c r="G45" s="1">
        <v>0.98499999999999999</v>
      </c>
      <c r="H45" s="2">
        <f t="shared" si="3"/>
        <v>1553917.5145494838</v>
      </c>
      <c r="I45" s="19">
        <v>7.6200000000000004E-2</v>
      </c>
      <c r="J45" s="19">
        <v>3.8300000000000001E-2</v>
      </c>
      <c r="K45" s="20">
        <f t="shared" si="4"/>
        <v>3.7900000000000003E-2</v>
      </c>
      <c r="L45" s="6">
        <f t="shared" si="5"/>
        <v>9867.3762173892228</v>
      </c>
      <c r="M45" s="7">
        <f t="shared" si="6"/>
        <v>4959.5867339371025</v>
      </c>
      <c r="N45" s="8">
        <f t="shared" si="7"/>
        <v>4907.7894834521203</v>
      </c>
    </row>
    <row r="46" spans="1:17" s="17" customFormat="1" ht="14.5">
      <c r="A46" s="16">
        <v>45230</v>
      </c>
      <c r="B46" s="33">
        <v>2098120.29</v>
      </c>
      <c r="C46" s="41">
        <f>'NERCAMRT - Depreciation'!Q86</f>
        <v>-102894.69565591399</v>
      </c>
      <c r="D46" s="41">
        <f t="shared" si="0"/>
        <v>1995225.594344086</v>
      </c>
      <c r="E46" s="32">
        <f t="shared" si="1"/>
        <v>418997.37481225806</v>
      </c>
      <c r="F46" s="29">
        <f t="shared" si="2"/>
        <v>1576228.2195318281</v>
      </c>
      <c r="G46" s="1">
        <v>0.98499999999999999</v>
      </c>
      <c r="H46" s="2">
        <f t="shared" si="3"/>
        <v>1552584.7962388506</v>
      </c>
      <c r="I46" s="19">
        <v>7.6200000000000004E-2</v>
      </c>
      <c r="J46" s="19">
        <v>3.8300000000000001E-2</v>
      </c>
      <c r="K46" s="20">
        <f t="shared" si="4"/>
        <v>3.7900000000000003E-2</v>
      </c>
      <c r="L46" s="6">
        <f t="shared" si="5"/>
        <v>9858.9134561167011</v>
      </c>
      <c r="M46" s="7">
        <f t="shared" si="6"/>
        <v>4955.333141328998</v>
      </c>
      <c r="N46" s="8">
        <f t="shared" si="7"/>
        <v>4903.5803147877032</v>
      </c>
    </row>
    <row r="47" spans="1:17" s="17" customFormat="1" ht="14.5">
      <c r="A47" s="16">
        <v>45260</v>
      </c>
      <c r="B47" s="33">
        <v>2097397.73</v>
      </c>
      <c r="C47" s="41">
        <f>'NERCAMRT - Depreciation'!Q87</f>
        <v>-105973.59098924733</v>
      </c>
      <c r="D47" s="41">
        <f t="shared" si="0"/>
        <v>1991424.1390107526</v>
      </c>
      <c r="E47" s="32">
        <f t="shared" si="1"/>
        <v>418199.069192258</v>
      </c>
      <c r="F47" s="29">
        <f t="shared" si="2"/>
        <v>1573225.0698184946</v>
      </c>
      <c r="G47" s="1">
        <v>0.98499999999999999</v>
      </c>
      <c r="H47" s="2">
        <f t="shared" si="3"/>
        <v>1549626.6937712173</v>
      </c>
      <c r="I47" s="19">
        <v>7.6200000000000004E-2</v>
      </c>
      <c r="J47" s="19">
        <v>3.8300000000000001E-2</v>
      </c>
      <c r="K47" s="20">
        <f t="shared" si="4"/>
        <v>3.7900000000000003E-2</v>
      </c>
      <c r="L47" s="6">
        <f t="shared" si="5"/>
        <v>9840.1295054472303</v>
      </c>
      <c r="M47" s="7">
        <f t="shared" si="6"/>
        <v>4945.8918642864683</v>
      </c>
      <c r="N47" s="8">
        <f t="shared" si="7"/>
        <v>4894.2376411607611</v>
      </c>
    </row>
    <row r="48" spans="1:17" s="17" customFormat="1" ht="14.5">
      <c r="A48" s="16">
        <v>45291</v>
      </c>
      <c r="B48" s="33">
        <v>2099574.31</v>
      </c>
      <c r="C48" s="41">
        <f>'NERCAMRT - Depreciation'!Q88</f>
        <v>-109052.48632258066</v>
      </c>
      <c r="D48" s="41">
        <f t="shared" si="0"/>
        <v>1990521.8236774195</v>
      </c>
      <c r="E48" s="32">
        <f t="shared" si="1"/>
        <v>418009.5829722581</v>
      </c>
      <c r="F48" s="29">
        <f t="shared" si="2"/>
        <v>1572512.2407051614</v>
      </c>
      <c r="G48" s="1">
        <v>0.98499999999999999</v>
      </c>
      <c r="H48" s="2">
        <f t="shared" si="3"/>
        <v>1548924.557094584</v>
      </c>
      <c r="I48" s="19">
        <v>7.6200000000000004E-2</v>
      </c>
      <c r="J48" s="19">
        <v>3.8300000000000001E-2</v>
      </c>
      <c r="K48" s="20">
        <f t="shared" si="4"/>
        <v>3.7900000000000003E-2</v>
      </c>
      <c r="L48" s="6">
        <f t="shared" si="5"/>
        <v>9835.6709375506089</v>
      </c>
      <c r="M48" s="7">
        <f t="shared" si="6"/>
        <v>4943.6508780602135</v>
      </c>
      <c r="N48" s="8">
        <f t="shared" si="7"/>
        <v>4892.0200594903954</v>
      </c>
    </row>
    <row r="49" spans="1:17" s="17" customFormat="1" ht="14.5">
      <c r="A49" s="100">
        <v>45322</v>
      </c>
      <c r="B49" s="97">
        <v>2100670.23</v>
      </c>
      <c r="C49" s="104">
        <f>'NERCAMRT - Depreciation'!Q90</f>
        <v>-120346.91860215056</v>
      </c>
      <c r="D49" s="104">
        <f t="shared" ref="D49:D60" si="8">B49+C49</f>
        <v>1980323.3113978493</v>
      </c>
      <c r="E49" s="101">
        <f t="shared" ref="E49:E60" si="9">(D49*$E$7)</f>
        <v>415867.89539354836</v>
      </c>
      <c r="F49" s="102">
        <f t="shared" ref="F49:F60" si="10">+D49-E49</f>
        <v>1564455.416004301</v>
      </c>
      <c r="G49" s="98">
        <f>(0.985*(15/31))+(0.986*(16/31))</f>
        <v>0.98551612903225805</v>
      </c>
      <c r="H49" s="101">
        <f t="shared" ref="H49:H60" si="11">+F49*G49</f>
        <v>1541796.0456241097</v>
      </c>
      <c r="I49" s="99">
        <f>(0.0762*(15/31))+(0.0821*(16/31))</f>
        <v>7.924516129032258E-2</v>
      </c>
      <c r="J49" s="99">
        <f>(0.0383*(15/31))+(0.0478*(16/31))</f>
        <v>4.3203225806451612E-2</v>
      </c>
      <c r="K49" s="99">
        <f t="shared" si="4"/>
        <v>3.6041935483870968E-2</v>
      </c>
      <c r="L49" s="6">
        <f t="shared" ref="L49:L60" si="12">(H49*I49)/12</f>
        <v>10181.656359355344</v>
      </c>
      <c r="M49" s="7">
        <f t="shared" ref="M49:M60" si="13">(H49*J49)/12</f>
        <v>5550.880225549382</v>
      </c>
      <c r="N49" s="8">
        <f t="shared" ref="N49:N60" si="14">(H49*K49)/12</f>
        <v>4630.7761338059618</v>
      </c>
    </row>
    <row r="50" spans="1:17" s="17" customFormat="1" ht="14.5">
      <c r="A50" s="16">
        <v>45351</v>
      </c>
      <c r="B50" s="33">
        <v>2100930.2000000002</v>
      </c>
      <c r="C50" s="41">
        <f>'NERCAMRT - Depreciation'!Q91</f>
        <v>-139343.41676881723</v>
      </c>
      <c r="D50" s="41">
        <f t="shared" si="8"/>
        <v>1961586.783231183</v>
      </c>
      <c r="E50" s="32">
        <f t="shared" si="9"/>
        <v>411933.22447854839</v>
      </c>
      <c r="F50" s="29">
        <f t="shared" si="10"/>
        <v>1549653.5587526346</v>
      </c>
      <c r="G50" s="17">
        <v>0.98599999999999999</v>
      </c>
      <c r="H50" s="32">
        <f t="shared" si="11"/>
        <v>1527958.4089300977</v>
      </c>
      <c r="I50" s="20">
        <v>8.2100000000000006E-2</v>
      </c>
      <c r="J50" s="20">
        <v>4.7800000000000002E-2</v>
      </c>
      <c r="K50" s="20">
        <f t="shared" si="4"/>
        <v>3.4300000000000004E-2</v>
      </c>
      <c r="L50" s="6">
        <f t="shared" si="12"/>
        <v>10453.782114430085</v>
      </c>
      <c r="M50" s="7">
        <f t="shared" si="13"/>
        <v>6086.3676622382227</v>
      </c>
      <c r="N50" s="8">
        <f t="shared" si="14"/>
        <v>4367.4144521918633</v>
      </c>
    </row>
    <row r="51" spans="1:17" s="17" customFormat="1" ht="14.5">
      <c r="A51" s="16">
        <v>45382</v>
      </c>
      <c r="B51" s="33">
        <v>2101150.62</v>
      </c>
      <c r="C51" s="41">
        <f>'NERCAMRT - Depreciation'!Q92</f>
        <v>-158339.91493548389</v>
      </c>
      <c r="D51" s="41">
        <f t="shared" si="8"/>
        <v>1942810.7050645163</v>
      </c>
      <c r="E51" s="32">
        <f t="shared" si="9"/>
        <v>407990.24806354841</v>
      </c>
      <c r="F51" s="29">
        <f t="shared" si="10"/>
        <v>1534820.4570009678</v>
      </c>
      <c r="G51" s="17">
        <v>0.98599999999999999</v>
      </c>
      <c r="H51" s="32">
        <f t="shared" si="11"/>
        <v>1513332.9706029543</v>
      </c>
      <c r="I51" s="20">
        <v>8.2100000000000006E-2</v>
      </c>
      <c r="J51" s="20">
        <v>4.7800000000000002E-2</v>
      </c>
      <c r="K51" s="20">
        <f t="shared" si="4"/>
        <v>3.4300000000000004E-2</v>
      </c>
      <c r="L51" s="6">
        <f t="shared" si="12"/>
        <v>10353.719740541879</v>
      </c>
      <c r="M51" s="7">
        <f t="shared" si="13"/>
        <v>6028.109666235101</v>
      </c>
      <c r="N51" s="8">
        <f t="shared" si="14"/>
        <v>4325.6100743067782</v>
      </c>
    </row>
    <row r="52" spans="1:17" s="17" customFormat="1" ht="14.5">
      <c r="A52" s="16">
        <v>45412</v>
      </c>
      <c r="B52" s="33">
        <v>2101404.5099999998</v>
      </c>
      <c r="C52" s="41">
        <f>'NERCAMRT - Depreciation'!Q93</f>
        <v>-177336.41310215055</v>
      </c>
      <c r="D52" s="41">
        <f t="shared" si="8"/>
        <v>1924068.0968978493</v>
      </c>
      <c r="E52" s="32">
        <f t="shared" si="9"/>
        <v>404054.30034854834</v>
      </c>
      <c r="F52" s="29">
        <f t="shared" si="10"/>
        <v>1520013.7965493011</v>
      </c>
      <c r="G52" s="17">
        <v>0.98599999999999999</v>
      </c>
      <c r="H52" s="32">
        <f t="shared" si="11"/>
        <v>1498733.6033976108</v>
      </c>
      <c r="I52" s="20">
        <v>8.2100000000000006E-2</v>
      </c>
      <c r="J52" s="20">
        <v>4.7800000000000002E-2</v>
      </c>
      <c r="K52" s="20">
        <f t="shared" si="4"/>
        <v>3.4300000000000004E-2</v>
      </c>
      <c r="L52" s="6">
        <f t="shared" si="12"/>
        <v>10253.835736578656</v>
      </c>
      <c r="M52" s="7">
        <f t="shared" si="13"/>
        <v>5969.955520200484</v>
      </c>
      <c r="N52" s="8">
        <f t="shared" si="14"/>
        <v>4283.880216378172</v>
      </c>
    </row>
    <row r="53" spans="1:17" s="17" customFormat="1" ht="14.5">
      <c r="A53" s="16">
        <v>45443</v>
      </c>
      <c r="B53" s="33">
        <v>2101357.2200000002</v>
      </c>
      <c r="C53" s="41">
        <f>'NERCAMRT - Depreciation'!Q94</f>
        <v>-196332.9112688172</v>
      </c>
      <c r="D53" s="41">
        <f t="shared" si="8"/>
        <v>1905024.3087311829</v>
      </c>
      <c r="E53" s="32">
        <f t="shared" si="9"/>
        <v>400055.10483354842</v>
      </c>
      <c r="F53" s="29">
        <f t="shared" si="10"/>
        <v>1504969.2038976345</v>
      </c>
      <c r="G53" s="17">
        <v>0.98599999999999999</v>
      </c>
      <c r="H53" s="32">
        <f t="shared" si="11"/>
        <v>1483899.6350430676</v>
      </c>
      <c r="I53" s="20">
        <v>8.2100000000000006E-2</v>
      </c>
      <c r="J53" s="20">
        <v>4.7800000000000002E-2</v>
      </c>
      <c r="K53" s="20">
        <f t="shared" si="4"/>
        <v>3.4300000000000004E-2</v>
      </c>
      <c r="L53" s="6">
        <f t="shared" si="12"/>
        <v>10152.346669752989</v>
      </c>
      <c r="M53" s="7">
        <f t="shared" si="13"/>
        <v>5910.8668795882195</v>
      </c>
      <c r="N53" s="8">
        <f t="shared" si="14"/>
        <v>4241.4797901647689</v>
      </c>
    </row>
    <row r="54" spans="1:17" s="17" customFormat="1" ht="14.5">
      <c r="A54" s="16">
        <v>45473</v>
      </c>
      <c r="B54" s="33">
        <v>2101459.09</v>
      </c>
      <c r="C54" s="41">
        <f>'NERCAMRT - Depreciation'!Q95</f>
        <v>-215329.40943548386</v>
      </c>
      <c r="D54" s="41">
        <f t="shared" si="8"/>
        <v>1886129.680564516</v>
      </c>
      <c r="E54" s="32">
        <f t="shared" si="9"/>
        <v>396087.23291854834</v>
      </c>
      <c r="F54" s="29">
        <f t="shared" si="10"/>
        <v>1490042.4476459676</v>
      </c>
      <c r="G54" s="17">
        <v>0.98599999999999999</v>
      </c>
      <c r="H54" s="32">
        <f t="shared" si="11"/>
        <v>1469181.8533789241</v>
      </c>
      <c r="I54" s="20">
        <v>8.2100000000000006E-2</v>
      </c>
      <c r="J54" s="20">
        <v>4.7800000000000002E-2</v>
      </c>
      <c r="K54" s="20">
        <f t="shared" si="4"/>
        <v>3.4300000000000004E-2</v>
      </c>
      <c r="L54" s="6">
        <f t="shared" si="12"/>
        <v>10051.65251353414</v>
      </c>
      <c r="M54" s="7">
        <f t="shared" si="13"/>
        <v>5852.2410492927147</v>
      </c>
      <c r="N54" s="8">
        <f t="shared" si="14"/>
        <v>4199.4114642414252</v>
      </c>
    </row>
    <row r="55" spans="1:17" s="17" customFormat="1" ht="14.5">
      <c r="A55" s="16">
        <v>45504</v>
      </c>
      <c r="B55" s="33">
        <v>2101520.46</v>
      </c>
      <c r="C55" s="41">
        <f>'NERCAMRT - Depreciation'!Q96</f>
        <v>-234325.90760215052</v>
      </c>
      <c r="D55" s="41">
        <f t="shared" si="8"/>
        <v>1867194.5523978495</v>
      </c>
      <c r="E55" s="32">
        <f t="shared" si="9"/>
        <v>392110.85600354837</v>
      </c>
      <c r="F55" s="29">
        <f t="shared" si="10"/>
        <v>1475083.696394301</v>
      </c>
      <c r="G55" s="17">
        <v>0.98599999999999999</v>
      </c>
      <c r="H55" s="32">
        <f t="shared" si="11"/>
        <v>1454432.5246447807</v>
      </c>
      <c r="I55" s="20">
        <v>8.2100000000000006E-2</v>
      </c>
      <c r="J55" s="20">
        <v>4.7800000000000002E-2</v>
      </c>
      <c r="K55" s="20">
        <f t="shared" si="4"/>
        <v>3.4300000000000004E-2</v>
      </c>
      <c r="L55" s="6">
        <f t="shared" si="12"/>
        <v>9950.7425227780423</v>
      </c>
      <c r="M55" s="7">
        <f t="shared" si="13"/>
        <v>5793.4895565017105</v>
      </c>
      <c r="N55" s="8">
        <f t="shared" si="14"/>
        <v>4157.2529662763318</v>
      </c>
    </row>
    <row r="56" spans="1:17" s="17" customFormat="1" ht="14.5">
      <c r="A56" s="16">
        <v>45535</v>
      </c>
      <c r="B56" s="33">
        <v>2101541.08</v>
      </c>
      <c r="C56" s="41">
        <f>'NERCAMRT - Depreciation'!Q97</f>
        <v>-253322.40576881717</v>
      </c>
      <c r="D56" s="41">
        <f t="shared" si="8"/>
        <v>1848218.6742311828</v>
      </c>
      <c r="E56" s="32">
        <f t="shared" si="9"/>
        <v>388125.92158854834</v>
      </c>
      <c r="F56" s="29">
        <f t="shared" si="10"/>
        <v>1460092.7526426343</v>
      </c>
      <c r="G56" s="17">
        <v>0.98599999999999999</v>
      </c>
      <c r="H56" s="32">
        <f t="shared" si="11"/>
        <v>1439651.4541056375</v>
      </c>
      <c r="I56" s="20">
        <v>8.2100000000000006E-2</v>
      </c>
      <c r="J56" s="20">
        <v>4.7800000000000002E-2</v>
      </c>
      <c r="K56" s="20">
        <f t="shared" si="4"/>
        <v>3.4300000000000004E-2</v>
      </c>
      <c r="L56" s="6">
        <f t="shared" si="12"/>
        <v>9849.6153651727382</v>
      </c>
      <c r="M56" s="7">
        <f t="shared" si="13"/>
        <v>5734.6116255207899</v>
      </c>
      <c r="N56" s="8">
        <f t="shared" si="14"/>
        <v>4115.0037396519474</v>
      </c>
      <c r="Q56" s="33"/>
    </row>
    <row r="57" spans="1:17" s="17" customFormat="1" ht="14.5">
      <c r="A57" s="16">
        <v>45565</v>
      </c>
      <c r="B57" s="33">
        <v>2101555.88</v>
      </c>
      <c r="C57" s="41">
        <f>'NERCAMRT - Depreciation'!Q98</f>
        <v>-272318.90393548383</v>
      </c>
      <c r="D57" s="41">
        <f t="shared" si="8"/>
        <v>1829236.976064516</v>
      </c>
      <c r="E57" s="32">
        <f t="shared" si="9"/>
        <v>384139.76497354836</v>
      </c>
      <c r="F57" s="29">
        <f t="shared" si="10"/>
        <v>1445097.2110909675</v>
      </c>
      <c r="G57" s="17">
        <v>0.98599999999999999</v>
      </c>
      <c r="H57" s="32">
        <f t="shared" si="11"/>
        <v>1424865.850135694</v>
      </c>
      <c r="I57" s="20">
        <v>8.2100000000000006E-2</v>
      </c>
      <c r="J57" s="20">
        <v>4.7800000000000002E-2</v>
      </c>
      <c r="K57" s="20">
        <f t="shared" si="4"/>
        <v>3.4300000000000004E-2</v>
      </c>
      <c r="L57" s="6">
        <f t="shared" si="12"/>
        <v>9748.45719134504</v>
      </c>
      <c r="M57" s="7">
        <f t="shared" si="13"/>
        <v>5675.7156363738477</v>
      </c>
      <c r="N57" s="8">
        <f t="shared" si="14"/>
        <v>4072.7415549711927</v>
      </c>
      <c r="Q57" s="33"/>
    </row>
    <row r="58" spans="1:17" s="17" customFormat="1" ht="14.5">
      <c r="A58" s="16">
        <v>45596</v>
      </c>
      <c r="B58" s="33">
        <v>2101560.96</v>
      </c>
      <c r="C58" s="41">
        <f>'NERCAMRT - Depreciation'!Q99</f>
        <v>-291315.40210215049</v>
      </c>
      <c r="D58" s="41">
        <f t="shared" si="8"/>
        <v>1810245.5578978495</v>
      </c>
      <c r="E58" s="32">
        <f t="shared" si="9"/>
        <v>380151.56715854839</v>
      </c>
      <c r="F58" s="29">
        <f t="shared" si="10"/>
        <v>1430093.9907393011</v>
      </c>
      <c r="G58" s="17">
        <v>0.98599999999999999</v>
      </c>
      <c r="H58" s="32">
        <f t="shared" si="11"/>
        <v>1410072.6748689509</v>
      </c>
      <c r="I58" s="20">
        <v>8.2100000000000006E-2</v>
      </c>
      <c r="J58" s="20">
        <v>4.7800000000000002E-2</v>
      </c>
      <c r="K58" s="20">
        <f t="shared" si="4"/>
        <v>3.4300000000000004E-2</v>
      </c>
      <c r="L58" s="6">
        <f t="shared" si="12"/>
        <v>9647.2472172284051</v>
      </c>
      <c r="M58" s="7">
        <f t="shared" si="13"/>
        <v>5616.7894882279879</v>
      </c>
      <c r="N58" s="8">
        <f t="shared" si="14"/>
        <v>4030.4577290004181</v>
      </c>
      <c r="Q58" s="33"/>
    </row>
    <row r="59" spans="1:17" s="17" customFormat="1" ht="14.5">
      <c r="A59" s="16">
        <v>45626</v>
      </c>
      <c r="B59" s="33">
        <v>2101560.94</v>
      </c>
      <c r="C59" s="41">
        <f>'NERCAMRT - Depreciation'!Q100</f>
        <v>-310311.90026881715</v>
      </c>
      <c r="D59" s="41">
        <f t="shared" si="8"/>
        <v>1791249.0397311829</v>
      </c>
      <c r="E59" s="32">
        <f t="shared" si="9"/>
        <v>376162.29834354838</v>
      </c>
      <c r="F59" s="29">
        <f t="shared" si="10"/>
        <v>1415086.7413876345</v>
      </c>
      <c r="G59" s="17">
        <v>0.98599999999999999</v>
      </c>
      <c r="H59" s="32">
        <f t="shared" si="11"/>
        <v>1395275.5270082077</v>
      </c>
      <c r="I59" s="20">
        <v>8.2100000000000006E-2</v>
      </c>
      <c r="J59" s="20">
        <v>4.7800000000000002E-2</v>
      </c>
      <c r="K59" s="20">
        <f t="shared" si="4"/>
        <v>3.4300000000000004E-2</v>
      </c>
      <c r="L59" s="6">
        <f t="shared" si="12"/>
        <v>9546.0100639478223</v>
      </c>
      <c r="M59" s="7">
        <f t="shared" si="13"/>
        <v>5557.8475159160271</v>
      </c>
      <c r="N59" s="8">
        <f t="shared" si="14"/>
        <v>3988.1625480317944</v>
      </c>
    </row>
    <row r="60" spans="1:17" s="17" customFormat="1" ht="14.5">
      <c r="A60" s="16">
        <v>45657</v>
      </c>
      <c r="B60" s="33">
        <v>2101562.8199999998</v>
      </c>
      <c r="C60" s="41">
        <f>'NERCAMRT - Depreciation'!Q101</f>
        <v>-329308.3984354838</v>
      </c>
      <c r="D60" s="41">
        <f t="shared" si="8"/>
        <v>1772254.4215645161</v>
      </c>
      <c r="E60" s="32">
        <f t="shared" si="9"/>
        <v>372173.42852854839</v>
      </c>
      <c r="F60" s="29">
        <f t="shared" si="10"/>
        <v>1400080.9930359677</v>
      </c>
      <c r="G60" s="17">
        <v>0.98599999999999999</v>
      </c>
      <c r="H60" s="32">
        <f t="shared" si="11"/>
        <v>1380479.8591334641</v>
      </c>
      <c r="I60" s="20">
        <v>8.2100000000000006E-2</v>
      </c>
      <c r="J60" s="20">
        <v>4.7800000000000002E-2</v>
      </c>
      <c r="K60" s="20">
        <f t="shared" si="4"/>
        <v>3.4300000000000004E-2</v>
      </c>
      <c r="L60" s="6">
        <f t="shared" si="12"/>
        <v>9444.7830362381173</v>
      </c>
      <c r="M60" s="7">
        <f t="shared" si="13"/>
        <v>5498.9114388816315</v>
      </c>
      <c r="N60" s="8">
        <f t="shared" si="14"/>
        <v>3945.8715973564849</v>
      </c>
    </row>
    <row r="61" spans="1:17">
      <c r="A61" s="16"/>
      <c r="B61" s="38"/>
      <c r="C61" s="38"/>
      <c r="D61" s="38"/>
      <c r="E61" s="4"/>
      <c r="F61" s="4"/>
      <c r="G61" s="17"/>
      <c r="H61" s="17"/>
      <c r="I61" s="105"/>
      <c r="J61" s="105"/>
      <c r="K61" s="106" t="s">
        <v>12</v>
      </c>
      <c r="L61" s="15">
        <f>SUM(L12:L60)</f>
        <v>443077.62847866118</v>
      </c>
      <c r="M61" s="15">
        <f t="shared" ref="M61:N61" si="15">SUM(M12:M60)</f>
        <v>231897.49379878186</v>
      </c>
      <c r="N61" s="15">
        <f t="shared" si="15"/>
        <v>211180.13467987929</v>
      </c>
    </row>
    <row r="64" spans="1:17">
      <c r="G64" s="31"/>
      <c r="H64" s="31"/>
      <c r="I64" s="31"/>
    </row>
    <row r="75" spans="18:18">
      <c r="R75" s="31"/>
    </row>
  </sheetData>
  <conditionalFormatting sqref="B12:B60">
    <cfRule type="cellIs" dxfId="1" priority="1" stopIfTrue="1" operator="equal">
      <formula>0</formula>
    </cfRule>
  </conditionalFormatting>
  <pageMargins left="0.27" right="0.25" top="0.42" bottom="0.42" header="0.3" footer="0.3"/>
  <pageSetup scale="5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75"/>
  <sheetViews>
    <sheetView zoomScale="90" zoomScaleNormal="90" workbookViewId="0">
      <pane ySplit="10" topLeftCell="A11" activePane="bottomLeft" state="frozen"/>
      <selection activeCell="O63" sqref="O63"/>
      <selection pane="bottomLeft" activeCell="AA51" sqref="AA51"/>
    </sheetView>
  </sheetViews>
  <sheetFormatPr defaultColWidth="9.1796875" defaultRowHeight="12.5"/>
  <cols>
    <col min="1" max="1" width="21" style="1" customWidth="1"/>
    <col min="2" max="2" width="20.1796875" style="33" customWidth="1"/>
    <col min="3" max="3" width="27" style="33" customWidth="1"/>
    <col min="4" max="4" width="20.1796875" style="33" customWidth="1"/>
    <col min="5" max="5" width="18.26953125" style="1" customWidth="1"/>
    <col min="6" max="6" width="13.81640625" style="1" customWidth="1"/>
    <col min="7" max="7" width="11.453125" style="1" customWidth="1"/>
    <col min="8" max="8" width="13.1796875" style="1" customWidth="1"/>
    <col min="9" max="9" width="12" style="3" customWidth="1"/>
    <col min="10" max="10" width="11.1796875" style="3" customWidth="1"/>
    <col min="11" max="11" width="12.81640625" style="3" customWidth="1"/>
    <col min="12" max="14" width="15" style="18" customWidth="1"/>
    <col min="15" max="15" width="10.54296875" style="1" customWidth="1"/>
    <col min="16" max="16" width="11.1796875" style="1" customWidth="1"/>
    <col min="17" max="17" width="11.1796875" style="1" bestFit="1" customWidth="1"/>
    <col min="18" max="18" width="12.26953125" style="1" customWidth="1"/>
    <col min="19" max="21" width="9.1796875" style="17"/>
    <col min="22" max="16384" width="9.1796875" style="1"/>
  </cols>
  <sheetData>
    <row r="1" spans="1:18" ht="20">
      <c r="A1" s="30" t="s">
        <v>30</v>
      </c>
      <c r="L1" s="3"/>
      <c r="M1" s="3"/>
      <c r="N1" s="3"/>
      <c r="O1" s="3"/>
      <c r="R1" s="17"/>
    </row>
    <row r="2" spans="1:18">
      <c r="A2" s="28" t="s">
        <v>25</v>
      </c>
      <c r="L2" s="3"/>
      <c r="M2" s="3"/>
      <c r="N2" s="3"/>
      <c r="O2" s="3"/>
      <c r="P2" s="35"/>
      <c r="Q2" s="35"/>
      <c r="R2" s="34"/>
    </row>
    <row r="3" spans="1:18">
      <c r="A3" s="28" t="s">
        <v>26</v>
      </c>
      <c r="L3" s="3"/>
      <c r="M3" s="3"/>
      <c r="N3" s="3"/>
      <c r="O3" s="3"/>
    </row>
    <row r="4" spans="1:18">
      <c r="A4" s="28" t="s">
        <v>31</v>
      </c>
      <c r="L4" s="3"/>
      <c r="M4" s="3"/>
      <c r="N4" s="3"/>
      <c r="O4" s="3"/>
    </row>
    <row r="5" spans="1:18">
      <c r="A5" s="28" t="s">
        <v>32</v>
      </c>
      <c r="L5" s="3"/>
      <c r="M5" s="3"/>
      <c r="N5" s="3"/>
      <c r="O5" s="3"/>
    </row>
    <row r="6" spans="1:18" ht="13" thickBot="1">
      <c r="A6" s="28" t="str">
        <f>'CC on investment'!A6</f>
        <v>KPSC Order dated January 19, 2024 in Case No. 2023-00159</v>
      </c>
      <c r="L6" s="3"/>
      <c r="M6" s="3"/>
      <c r="N6" s="3"/>
      <c r="O6" s="3"/>
    </row>
    <row r="7" spans="1:18" ht="13" thickBot="1">
      <c r="A7" s="3"/>
      <c r="B7" s="36" t="s">
        <v>36</v>
      </c>
      <c r="C7" s="36"/>
      <c r="D7" s="36"/>
      <c r="E7" s="39">
        <v>0.21</v>
      </c>
      <c r="F7" s="3"/>
      <c r="G7" s="3"/>
      <c r="H7" s="3"/>
    </row>
    <row r="8" spans="1:18">
      <c r="A8" s="3"/>
      <c r="B8" s="36" t="s">
        <v>0</v>
      </c>
      <c r="C8" s="36" t="str">
        <f>'CC on investment'!C8</f>
        <v>Less: Deferred Depreciation</v>
      </c>
      <c r="D8" s="36" t="s">
        <v>37</v>
      </c>
      <c r="E8" s="3" t="s">
        <v>16</v>
      </c>
      <c r="F8" s="3" t="s">
        <v>19</v>
      </c>
      <c r="G8" s="3" t="s">
        <v>15</v>
      </c>
      <c r="H8" s="3" t="s">
        <v>15</v>
      </c>
      <c r="I8" s="3" t="s">
        <v>4</v>
      </c>
      <c r="J8" s="3" t="s">
        <v>6</v>
      </c>
      <c r="K8" s="3" t="s">
        <v>7</v>
      </c>
      <c r="L8" s="9" t="s">
        <v>4</v>
      </c>
      <c r="M8" s="10" t="s">
        <v>6</v>
      </c>
      <c r="N8" s="11" t="s">
        <v>7</v>
      </c>
    </row>
    <row r="9" spans="1:18">
      <c r="A9" s="3"/>
      <c r="B9" s="36" t="s">
        <v>13</v>
      </c>
      <c r="C9" s="36" t="str">
        <f>'CC on investment'!C9</f>
        <v xml:space="preserve"> Balance Approved For Recovery </v>
      </c>
      <c r="D9" s="42" t="s">
        <v>36</v>
      </c>
      <c r="E9" s="3" t="s">
        <v>17</v>
      </c>
      <c r="F9" s="3" t="s">
        <v>21</v>
      </c>
      <c r="G9" s="3" t="s">
        <v>1</v>
      </c>
      <c r="H9" s="3" t="s">
        <v>22</v>
      </c>
      <c r="I9" s="3" t="s">
        <v>5</v>
      </c>
      <c r="J9" s="3" t="s">
        <v>5</v>
      </c>
      <c r="K9" s="3" t="s">
        <v>5</v>
      </c>
      <c r="L9" s="12" t="s">
        <v>8</v>
      </c>
      <c r="M9" s="13" t="s">
        <v>9</v>
      </c>
      <c r="N9" s="14" t="s">
        <v>9</v>
      </c>
    </row>
    <row r="10" spans="1:18" ht="25">
      <c r="A10" s="3"/>
      <c r="B10" s="36" t="s">
        <v>14</v>
      </c>
      <c r="C10" s="103" t="str">
        <f>'CC on investment'!C10</f>
        <v>(Case Nos. 2020-00174 
&amp; 2023-00159)</v>
      </c>
      <c r="D10" s="36" t="s">
        <v>38</v>
      </c>
      <c r="E10" s="3" t="s">
        <v>18</v>
      </c>
      <c r="F10" s="3" t="s">
        <v>20</v>
      </c>
      <c r="G10" s="3" t="s">
        <v>2</v>
      </c>
      <c r="H10" s="3" t="s">
        <v>3</v>
      </c>
      <c r="L10" s="25">
        <v>1823537</v>
      </c>
      <c r="M10" s="26">
        <v>4310001</v>
      </c>
      <c r="N10" s="27">
        <v>1823536</v>
      </c>
    </row>
    <row r="11" spans="1:18">
      <c r="A11" s="3"/>
      <c r="B11" s="37" t="s">
        <v>23</v>
      </c>
      <c r="C11" s="37"/>
      <c r="D11" s="37"/>
      <c r="E11" s="21" t="s">
        <v>10</v>
      </c>
      <c r="F11" s="22" t="s">
        <v>27</v>
      </c>
      <c r="G11" s="23" t="s">
        <v>11</v>
      </c>
      <c r="H11" s="24" t="s">
        <v>24</v>
      </c>
      <c r="L11" s="12"/>
      <c r="M11" s="13"/>
      <c r="N11" s="14"/>
    </row>
    <row r="12" spans="1:18" s="17" customFormat="1">
      <c r="A12" s="40" t="s">
        <v>34</v>
      </c>
      <c r="B12" s="33">
        <v>354100.6</v>
      </c>
      <c r="C12" s="33"/>
      <c r="D12" s="33"/>
      <c r="E12" s="32">
        <f>(B12*$E$7)</f>
        <v>74361.125999999989</v>
      </c>
      <c r="F12" s="29">
        <f>+B12-E12</f>
        <v>279739.47399999999</v>
      </c>
      <c r="G12" s="1">
        <v>0.98499999999999999</v>
      </c>
      <c r="H12" s="2">
        <f>+F12*G12</f>
        <v>275543.38188999996</v>
      </c>
      <c r="I12" s="19">
        <v>7.8799999999999995E-2</v>
      </c>
      <c r="J12" s="19">
        <v>4.1200000000000001E-2</v>
      </c>
      <c r="K12" s="20">
        <f>I12-J12</f>
        <v>3.7599999999999995E-2</v>
      </c>
      <c r="L12" s="6">
        <f>((H12*I12)/12)*(13/31)</f>
        <v>758.78129141966656</v>
      </c>
      <c r="M12" s="7">
        <f>((H12*J12)/12)*(13/31)</f>
        <v>396.72321328033331</v>
      </c>
      <c r="N12" s="7">
        <f>((H12*K12)/12)*(13/31)</f>
        <v>362.05807813933325</v>
      </c>
    </row>
    <row r="13" spans="1:18" s="17" customFormat="1" ht="14.5">
      <c r="A13" s="40" t="s">
        <v>35</v>
      </c>
      <c r="B13" s="33">
        <f>B12</f>
        <v>354100.6</v>
      </c>
      <c r="C13" s="41">
        <f>'NERCAMRT - Depreciation'!R51</f>
        <v>-359.81183333333337</v>
      </c>
      <c r="D13" s="41">
        <f>B13+C13</f>
        <v>353740.78816666664</v>
      </c>
      <c r="E13" s="32">
        <f>(D13*$E$7)</f>
        <v>74285.565514999995</v>
      </c>
      <c r="F13" s="29">
        <f>+D13-E13</f>
        <v>279455.22265166661</v>
      </c>
      <c r="G13" s="1">
        <v>0.98499999999999999</v>
      </c>
      <c r="H13" s="2">
        <f>+F13*G13</f>
        <v>275263.39431189164</v>
      </c>
      <c r="I13" s="19">
        <v>7.6200000000000004E-2</v>
      </c>
      <c r="J13" s="19">
        <v>3.8300000000000001E-2</v>
      </c>
      <c r="K13" s="20">
        <f>I13-J13</f>
        <v>3.7900000000000003E-2</v>
      </c>
      <c r="L13" s="6">
        <f>((H13*I13)/12)*(18/31)</f>
        <v>1014.9227732209425</v>
      </c>
      <c r="M13" s="7">
        <f>((H13*J13)/12)*(18/31)</f>
        <v>510.12522591026379</v>
      </c>
      <c r="N13" s="7">
        <f>((H13*K13)/12)*(18/31)</f>
        <v>504.79754731067879</v>
      </c>
    </row>
    <row r="14" spans="1:18" s="17" customFormat="1" ht="14.5">
      <c r="A14" s="16">
        <v>44255</v>
      </c>
      <c r="B14" s="33">
        <v>377550.59</v>
      </c>
      <c r="C14" s="41">
        <f>'NERCAMRT - Depreciation'!R52</f>
        <v>-1217.8246666666666</v>
      </c>
      <c r="D14" s="41">
        <f t="shared" ref="D14:D48" si="0">B14+C14</f>
        <v>376332.76533333334</v>
      </c>
      <c r="E14" s="32">
        <f>(D14*$E$7)</f>
        <v>79029.880720000001</v>
      </c>
      <c r="F14" s="29">
        <f>+D14-E14</f>
        <v>297302.88461333333</v>
      </c>
      <c r="G14" s="1">
        <v>0.98499999999999999</v>
      </c>
      <c r="H14" s="2">
        <f>+F14*G14</f>
        <v>292843.34134413331</v>
      </c>
      <c r="I14" s="19">
        <v>7.6200000000000004E-2</v>
      </c>
      <c r="J14" s="19">
        <v>3.8300000000000001E-2</v>
      </c>
      <c r="K14" s="20">
        <f>I14-J14</f>
        <v>3.7900000000000003E-2</v>
      </c>
      <c r="L14" s="6">
        <f>(H14*I14)/12</f>
        <v>1859.5552175352466</v>
      </c>
      <c r="M14" s="7">
        <f>(H14*J14)/12</f>
        <v>934.65833112335883</v>
      </c>
      <c r="N14" s="8">
        <f>(H14*K14)/12</f>
        <v>924.89688641188775</v>
      </c>
    </row>
    <row r="15" spans="1:18" s="17" customFormat="1" ht="14.5">
      <c r="A15" s="16">
        <v>44286</v>
      </c>
      <c r="B15" s="33">
        <v>431136.21</v>
      </c>
      <c r="C15" s="41">
        <f>'NERCAMRT - Depreciation'!R53</f>
        <v>-2075.8375000000001</v>
      </c>
      <c r="D15" s="41">
        <f t="shared" si="0"/>
        <v>429060.3725</v>
      </c>
      <c r="E15" s="32">
        <f t="shared" ref="E15:E48" si="1">(D15*$E$7)</f>
        <v>90102.678224999996</v>
      </c>
      <c r="F15" s="29">
        <f t="shared" ref="F15:F48" si="2">+D15-E15</f>
        <v>338957.69427500002</v>
      </c>
      <c r="G15" s="1">
        <v>0.98499999999999999</v>
      </c>
      <c r="H15" s="2">
        <f t="shared" ref="H15:H48" si="3">+F15*G15</f>
        <v>333873.32886087499</v>
      </c>
      <c r="I15" s="19">
        <v>7.6200000000000004E-2</v>
      </c>
      <c r="J15" s="19">
        <v>3.8300000000000001E-2</v>
      </c>
      <c r="K15" s="20">
        <f>I15-J15</f>
        <v>3.7900000000000003E-2</v>
      </c>
      <c r="L15" s="6">
        <f t="shared" ref="L15:L48" si="4">(H15*I15)/12</f>
        <v>2120.0956382665563</v>
      </c>
      <c r="M15" s="7">
        <f t="shared" ref="M15:M48" si="5">(H15*J15)/12</f>
        <v>1065.6123746142928</v>
      </c>
      <c r="N15" s="8">
        <f t="shared" ref="N15:N48" si="6">(H15*K15)/12</f>
        <v>1054.4832636522635</v>
      </c>
    </row>
    <row r="16" spans="1:18" s="17" customFormat="1" ht="14.5">
      <c r="A16" s="16">
        <v>44316</v>
      </c>
      <c r="B16" s="33">
        <v>443900.6</v>
      </c>
      <c r="C16" s="41">
        <f>'NERCAMRT - Depreciation'!R54</f>
        <v>-2933.8503333333333</v>
      </c>
      <c r="D16" s="41">
        <f t="shared" si="0"/>
        <v>440966.74966666667</v>
      </c>
      <c r="E16" s="32">
        <f t="shared" si="1"/>
        <v>92603.017429999993</v>
      </c>
      <c r="F16" s="29">
        <f t="shared" si="2"/>
        <v>348363.73223666666</v>
      </c>
      <c r="G16" s="1">
        <v>0.98499999999999999</v>
      </c>
      <c r="H16" s="2">
        <f t="shared" si="3"/>
        <v>343138.27625311667</v>
      </c>
      <c r="I16" s="19">
        <v>7.6200000000000004E-2</v>
      </c>
      <c r="J16" s="19">
        <v>3.8300000000000001E-2</v>
      </c>
      <c r="K16" s="20">
        <f t="shared" ref="K16:K60" si="7">I16-J16</f>
        <v>3.7900000000000003E-2</v>
      </c>
      <c r="L16" s="6">
        <f t="shared" si="4"/>
        <v>2178.9280542072906</v>
      </c>
      <c r="M16" s="7">
        <f t="shared" si="5"/>
        <v>1095.1829983745308</v>
      </c>
      <c r="N16" s="8">
        <f t="shared" si="6"/>
        <v>1083.7450558327603</v>
      </c>
    </row>
    <row r="17" spans="1:16" s="17" customFormat="1" ht="14.5">
      <c r="A17" s="16">
        <v>44347</v>
      </c>
      <c r="B17" s="33">
        <v>449361.16</v>
      </c>
      <c r="C17" s="41">
        <f>'NERCAMRT - Depreciation'!R55</f>
        <v>-3791.8631666666665</v>
      </c>
      <c r="D17" s="41">
        <f t="shared" si="0"/>
        <v>445569.29683333333</v>
      </c>
      <c r="E17" s="32">
        <f t="shared" si="1"/>
        <v>93569.552335</v>
      </c>
      <c r="F17" s="29">
        <f t="shared" si="2"/>
        <v>351999.74449833331</v>
      </c>
      <c r="G17" s="1">
        <v>0.98499999999999999</v>
      </c>
      <c r="H17" s="2">
        <f t="shared" si="3"/>
        <v>346719.7483308583</v>
      </c>
      <c r="I17" s="19">
        <v>7.6200000000000004E-2</v>
      </c>
      <c r="J17" s="19">
        <v>3.8300000000000001E-2</v>
      </c>
      <c r="K17" s="20">
        <f t="shared" si="7"/>
        <v>3.7900000000000003E-2</v>
      </c>
      <c r="L17" s="6">
        <f t="shared" si="4"/>
        <v>2201.6704019009503</v>
      </c>
      <c r="M17" s="7">
        <f t="shared" si="5"/>
        <v>1106.6138634226561</v>
      </c>
      <c r="N17" s="8">
        <f t="shared" si="6"/>
        <v>1095.0565384782942</v>
      </c>
    </row>
    <row r="18" spans="1:16" s="17" customFormat="1" ht="14.5">
      <c r="A18" s="16">
        <v>44377</v>
      </c>
      <c r="B18" s="33">
        <v>455273.98</v>
      </c>
      <c r="C18" s="41">
        <f>'NERCAMRT - Depreciation'!R56</f>
        <v>-4649.8760000000002</v>
      </c>
      <c r="D18" s="41">
        <f t="shared" si="0"/>
        <v>450624.10399999999</v>
      </c>
      <c r="E18" s="32">
        <f t="shared" si="1"/>
        <v>94631.061839999995</v>
      </c>
      <c r="F18" s="29">
        <f t="shared" si="2"/>
        <v>355993.04216000001</v>
      </c>
      <c r="G18" s="1">
        <v>0.98499999999999999</v>
      </c>
      <c r="H18" s="2">
        <f t="shared" si="3"/>
        <v>350653.14652760001</v>
      </c>
      <c r="I18" s="19">
        <v>7.6200000000000004E-2</v>
      </c>
      <c r="J18" s="19">
        <v>3.8300000000000001E-2</v>
      </c>
      <c r="K18" s="20">
        <f t="shared" si="7"/>
        <v>3.7900000000000003E-2</v>
      </c>
      <c r="L18" s="6">
        <f t="shared" si="4"/>
        <v>2226.64748045026</v>
      </c>
      <c r="M18" s="7">
        <f t="shared" si="5"/>
        <v>1119.1679593339234</v>
      </c>
      <c r="N18" s="8">
        <f t="shared" si="6"/>
        <v>1107.4795211163369</v>
      </c>
    </row>
    <row r="19" spans="1:16" s="17" customFormat="1" ht="14.5">
      <c r="A19" s="16">
        <v>44408</v>
      </c>
      <c r="B19" s="33">
        <v>487387.03</v>
      </c>
      <c r="C19" s="41">
        <f>'NERCAMRT - Depreciation'!R57</f>
        <v>-5507.8888333333334</v>
      </c>
      <c r="D19" s="41">
        <f t="shared" si="0"/>
        <v>481879.1411666667</v>
      </c>
      <c r="E19" s="32">
        <f t="shared" si="1"/>
        <v>101194.619645</v>
      </c>
      <c r="F19" s="29">
        <f t="shared" si="2"/>
        <v>380684.52152166667</v>
      </c>
      <c r="G19" s="1">
        <v>0.98499999999999999</v>
      </c>
      <c r="H19" s="2">
        <f t="shared" si="3"/>
        <v>374974.25369884167</v>
      </c>
      <c r="I19" s="19">
        <v>7.6200000000000004E-2</v>
      </c>
      <c r="J19" s="19">
        <v>3.8300000000000001E-2</v>
      </c>
      <c r="K19" s="20">
        <f t="shared" si="7"/>
        <v>3.7900000000000003E-2</v>
      </c>
      <c r="L19" s="6">
        <f t="shared" si="4"/>
        <v>2381.0865109876445</v>
      </c>
      <c r="M19" s="7">
        <f t="shared" si="5"/>
        <v>1196.792826388803</v>
      </c>
      <c r="N19" s="8">
        <f t="shared" si="6"/>
        <v>1184.2936845988418</v>
      </c>
    </row>
    <row r="20" spans="1:16" s="17" customFormat="1" ht="14.5">
      <c r="A20" s="16">
        <v>44439</v>
      </c>
      <c r="B20" s="33">
        <v>492420.39</v>
      </c>
      <c r="C20" s="41">
        <f>'NERCAMRT - Depreciation'!R58</f>
        <v>-6365.9016666666666</v>
      </c>
      <c r="D20" s="41">
        <f t="shared" si="0"/>
        <v>486054.48833333334</v>
      </c>
      <c r="E20" s="32">
        <f t="shared" si="1"/>
        <v>102071.44254999999</v>
      </c>
      <c r="F20" s="29">
        <f t="shared" si="2"/>
        <v>383983.04578333336</v>
      </c>
      <c r="G20" s="1">
        <v>0.98499999999999999</v>
      </c>
      <c r="H20" s="2">
        <f t="shared" si="3"/>
        <v>378223.30009658338</v>
      </c>
      <c r="I20" s="19">
        <v>7.6200000000000004E-2</v>
      </c>
      <c r="J20" s="19">
        <v>3.8300000000000001E-2</v>
      </c>
      <c r="K20" s="20">
        <f t="shared" si="7"/>
        <v>3.7900000000000003E-2</v>
      </c>
      <c r="L20" s="6">
        <f t="shared" si="4"/>
        <v>2401.7179556133046</v>
      </c>
      <c r="M20" s="7">
        <f t="shared" si="5"/>
        <v>1207.1626994749288</v>
      </c>
      <c r="N20" s="8">
        <f t="shared" si="6"/>
        <v>1194.5552561383759</v>
      </c>
    </row>
    <row r="21" spans="1:16" s="17" customFormat="1" ht="14.5">
      <c r="A21" s="16">
        <v>44469</v>
      </c>
      <c r="B21" s="33">
        <v>497388.77</v>
      </c>
      <c r="C21" s="41">
        <f>'NERCAMRT - Depreciation'!R59</f>
        <v>-7223.9144999999999</v>
      </c>
      <c r="D21" s="41">
        <f t="shared" si="0"/>
        <v>490164.85550000001</v>
      </c>
      <c r="E21" s="32">
        <f t="shared" si="1"/>
        <v>102934.619655</v>
      </c>
      <c r="F21" s="29">
        <f t="shared" si="2"/>
        <v>387230.23584500002</v>
      </c>
      <c r="G21" s="1">
        <v>0.98499999999999999</v>
      </c>
      <c r="H21" s="2">
        <f t="shared" si="3"/>
        <v>381421.78230732499</v>
      </c>
      <c r="I21" s="19">
        <v>7.6200000000000004E-2</v>
      </c>
      <c r="J21" s="19">
        <v>3.8300000000000001E-2</v>
      </c>
      <c r="K21" s="20">
        <f t="shared" si="7"/>
        <v>3.7900000000000003E-2</v>
      </c>
      <c r="L21" s="6">
        <f t="shared" si="4"/>
        <v>2422.0283176515136</v>
      </c>
      <c r="M21" s="7">
        <f t="shared" si="5"/>
        <v>1217.371188530879</v>
      </c>
      <c r="N21" s="8">
        <f t="shared" si="6"/>
        <v>1204.6571291206349</v>
      </c>
    </row>
    <row r="22" spans="1:16" s="17" customFormat="1" ht="14.5">
      <c r="A22" s="16">
        <v>44500</v>
      </c>
      <c r="B22" s="33">
        <v>511022.01</v>
      </c>
      <c r="C22" s="41">
        <f>'NERCAMRT - Depreciation'!R60</f>
        <v>-8081.9273333333331</v>
      </c>
      <c r="D22" s="41">
        <f t="shared" si="0"/>
        <v>502940.08266666665</v>
      </c>
      <c r="E22" s="32">
        <f t="shared" si="1"/>
        <v>105617.41735999999</v>
      </c>
      <c r="F22" s="29">
        <f t="shared" si="2"/>
        <v>397322.66530666663</v>
      </c>
      <c r="G22" s="1">
        <v>0.98499999999999999</v>
      </c>
      <c r="H22" s="2">
        <f t="shared" si="3"/>
        <v>391362.82532706665</v>
      </c>
      <c r="I22" s="19">
        <v>7.6200000000000004E-2</v>
      </c>
      <c r="J22" s="19">
        <v>3.8300000000000001E-2</v>
      </c>
      <c r="K22" s="20">
        <f t="shared" si="7"/>
        <v>3.7900000000000003E-2</v>
      </c>
      <c r="L22" s="6">
        <f t="shared" si="4"/>
        <v>2485.1539408268732</v>
      </c>
      <c r="M22" s="7">
        <f t="shared" si="5"/>
        <v>1249.0996841688877</v>
      </c>
      <c r="N22" s="8">
        <f t="shared" si="6"/>
        <v>1236.0542566579857</v>
      </c>
    </row>
    <row r="23" spans="1:16" s="17" customFormat="1" ht="14.5">
      <c r="A23" s="16">
        <v>44530</v>
      </c>
      <c r="B23" s="33">
        <v>519498.38</v>
      </c>
      <c r="C23" s="41">
        <f>'NERCAMRT - Depreciation'!R61</f>
        <v>-8939.9401666666672</v>
      </c>
      <c r="D23" s="41">
        <f t="shared" si="0"/>
        <v>510558.43983333337</v>
      </c>
      <c r="E23" s="32">
        <f t="shared" si="1"/>
        <v>107217.272365</v>
      </c>
      <c r="F23" s="29">
        <f t="shared" si="2"/>
        <v>403341.16746833338</v>
      </c>
      <c r="G23" s="1">
        <v>0.98499999999999999</v>
      </c>
      <c r="H23" s="2">
        <f t="shared" si="3"/>
        <v>397291.04995630839</v>
      </c>
      <c r="I23" s="19">
        <v>7.6200000000000004E-2</v>
      </c>
      <c r="J23" s="19">
        <v>3.8300000000000001E-2</v>
      </c>
      <c r="K23" s="20">
        <f t="shared" si="7"/>
        <v>3.7900000000000003E-2</v>
      </c>
      <c r="L23" s="6">
        <f t="shared" si="4"/>
        <v>2522.7981672225583</v>
      </c>
      <c r="M23" s="7">
        <f t="shared" si="5"/>
        <v>1268.0206011105508</v>
      </c>
      <c r="N23" s="8">
        <f t="shared" si="6"/>
        <v>1254.7775661120074</v>
      </c>
    </row>
    <row r="24" spans="1:16" s="17" customFormat="1" ht="14.5">
      <c r="A24" s="16">
        <v>44561</v>
      </c>
      <c r="B24" s="33">
        <v>531650.99</v>
      </c>
      <c r="C24" s="41">
        <f>'NERCAMRT - Depreciation'!R62</f>
        <v>-9797.9530000000013</v>
      </c>
      <c r="D24" s="41">
        <f t="shared" si="0"/>
        <v>521853.03700000001</v>
      </c>
      <c r="E24" s="32">
        <f t="shared" si="1"/>
        <v>109589.13777</v>
      </c>
      <c r="F24" s="29">
        <f t="shared" si="2"/>
        <v>412263.89922999998</v>
      </c>
      <c r="G24" s="1">
        <v>0.98499999999999999</v>
      </c>
      <c r="H24" s="2">
        <f t="shared" si="3"/>
        <v>406079.94074155</v>
      </c>
      <c r="I24" s="19">
        <v>7.6200000000000004E-2</v>
      </c>
      <c r="J24" s="19">
        <v>3.8300000000000001E-2</v>
      </c>
      <c r="K24" s="20">
        <f t="shared" si="7"/>
        <v>3.7900000000000003E-2</v>
      </c>
      <c r="L24" s="6">
        <f t="shared" si="4"/>
        <v>2578.6076237088428</v>
      </c>
      <c r="M24" s="7">
        <f t="shared" si="5"/>
        <v>1296.0718108667804</v>
      </c>
      <c r="N24" s="8">
        <f t="shared" si="6"/>
        <v>1282.5358128420623</v>
      </c>
    </row>
    <row r="25" spans="1:16" s="17" customFormat="1" ht="14.5">
      <c r="A25" s="16">
        <v>44592</v>
      </c>
      <c r="B25" s="33">
        <v>563594.51</v>
      </c>
      <c r="C25" s="41">
        <f>'NERCAMRT - Depreciation'!R64</f>
        <v>-10655.965833333335</v>
      </c>
      <c r="D25" s="41">
        <f t="shared" si="0"/>
        <v>552938.54416666669</v>
      </c>
      <c r="E25" s="32">
        <f t="shared" si="1"/>
        <v>116117.094275</v>
      </c>
      <c r="F25" s="29">
        <f t="shared" si="2"/>
        <v>436821.44989166671</v>
      </c>
      <c r="G25" s="1">
        <v>0.98499999999999999</v>
      </c>
      <c r="H25" s="2">
        <f t="shared" si="3"/>
        <v>430269.12814329169</v>
      </c>
      <c r="I25" s="19">
        <v>7.6200000000000004E-2</v>
      </c>
      <c r="J25" s="19">
        <v>3.8300000000000001E-2</v>
      </c>
      <c r="K25" s="20">
        <f t="shared" si="7"/>
        <v>3.7900000000000003E-2</v>
      </c>
      <c r="L25" s="6">
        <f t="shared" si="4"/>
        <v>2732.208963709902</v>
      </c>
      <c r="M25" s="7">
        <f t="shared" si="5"/>
        <v>1373.2756339906728</v>
      </c>
      <c r="N25" s="8">
        <f t="shared" si="6"/>
        <v>1358.9333297192297</v>
      </c>
    </row>
    <row r="26" spans="1:16" s="17" customFormat="1" ht="14.5">
      <c r="A26" s="16">
        <v>44620</v>
      </c>
      <c r="B26" s="33">
        <v>612809.3600000001</v>
      </c>
      <c r="C26" s="41">
        <f>'NERCAMRT - Depreciation'!R65</f>
        <v>-11513.97866666667</v>
      </c>
      <c r="D26" s="41">
        <f t="shared" si="0"/>
        <v>601295.38133333344</v>
      </c>
      <c r="E26" s="32">
        <f t="shared" si="1"/>
        <v>126272.03008000001</v>
      </c>
      <c r="F26" s="29">
        <f t="shared" si="2"/>
        <v>475023.35125333344</v>
      </c>
      <c r="G26" s="1">
        <v>0.98499999999999999</v>
      </c>
      <c r="H26" s="2">
        <f t="shared" si="3"/>
        <v>467898.00098453346</v>
      </c>
      <c r="I26" s="19">
        <v>7.6200000000000004E-2</v>
      </c>
      <c r="J26" s="19">
        <v>3.8300000000000001E-2</v>
      </c>
      <c r="K26" s="20">
        <f t="shared" si="7"/>
        <v>3.7900000000000003E-2</v>
      </c>
      <c r="L26" s="6">
        <f t="shared" si="4"/>
        <v>2971.1523062517876</v>
      </c>
      <c r="M26" s="7">
        <f t="shared" si="5"/>
        <v>1493.3744531423026</v>
      </c>
      <c r="N26" s="8">
        <f t="shared" si="6"/>
        <v>1477.7778531094848</v>
      </c>
      <c r="O26" s="33"/>
      <c r="P26" s="33"/>
    </row>
    <row r="27" spans="1:16" s="17" customFormat="1" ht="14.5">
      <c r="A27" s="16">
        <v>44651</v>
      </c>
      <c r="B27" s="33">
        <v>614082.07000000007</v>
      </c>
      <c r="C27" s="41">
        <f>'NERCAMRT - Depreciation'!R66</f>
        <v>-12371.991500000004</v>
      </c>
      <c r="D27" s="41">
        <f t="shared" si="0"/>
        <v>601710.07850000006</v>
      </c>
      <c r="E27" s="32">
        <f t="shared" si="1"/>
        <v>126359.11648500001</v>
      </c>
      <c r="F27" s="29">
        <f t="shared" si="2"/>
        <v>475350.96201500006</v>
      </c>
      <c r="G27" s="1">
        <v>0.98499999999999999</v>
      </c>
      <c r="H27" s="2">
        <f t="shared" si="3"/>
        <v>468220.69758477504</v>
      </c>
      <c r="I27" s="19">
        <v>7.6200000000000004E-2</v>
      </c>
      <c r="J27" s="19">
        <v>3.8300000000000001E-2</v>
      </c>
      <c r="K27" s="20">
        <f t="shared" si="7"/>
        <v>3.7900000000000003E-2</v>
      </c>
      <c r="L27" s="6">
        <f t="shared" si="4"/>
        <v>2973.201429663322</v>
      </c>
      <c r="M27" s="7">
        <f t="shared" si="5"/>
        <v>1494.4043931247404</v>
      </c>
      <c r="N27" s="8">
        <f t="shared" si="6"/>
        <v>1478.7970365385811</v>
      </c>
    </row>
    <row r="28" spans="1:16" s="17" customFormat="1" ht="14.5">
      <c r="A28" s="16">
        <v>44681</v>
      </c>
      <c r="B28" s="33">
        <v>620566.1399999999</v>
      </c>
      <c r="C28" s="41">
        <f>'NERCAMRT - Depreciation'!R67</f>
        <v>-13230.004333333338</v>
      </c>
      <c r="D28" s="41">
        <f t="shared" si="0"/>
        <v>607336.13566666655</v>
      </c>
      <c r="E28" s="32">
        <f t="shared" si="1"/>
        <v>127540.58848999997</v>
      </c>
      <c r="F28" s="29">
        <f t="shared" si="2"/>
        <v>479795.54717666656</v>
      </c>
      <c r="G28" s="1">
        <v>0.98499999999999999</v>
      </c>
      <c r="H28" s="2">
        <f t="shared" si="3"/>
        <v>472598.61396901653</v>
      </c>
      <c r="I28" s="19">
        <v>7.6200000000000004E-2</v>
      </c>
      <c r="J28" s="19">
        <v>3.8300000000000001E-2</v>
      </c>
      <c r="K28" s="20">
        <f t="shared" si="7"/>
        <v>3.7900000000000003E-2</v>
      </c>
      <c r="L28" s="6">
        <f t="shared" si="4"/>
        <v>3001.0011987032553</v>
      </c>
      <c r="M28" s="7">
        <f t="shared" si="5"/>
        <v>1508.3772429177777</v>
      </c>
      <c r="N28" s="8">
        <f t="shared" si="6"/>
        <v>1492.6239557854772</v>
      </c>
    </row>
    <row r="29" spans="1:16" s="17" customFormat="1" ht="14.5">
      <c r="A29" s="16">
        <v>44712</v>
      </c>
      <c r="B29" s="33">
        <v>623019.64</v>
      </c>
      <c r="C29" s="41">
        <f>'NERCAMRT - Depreciation'!R68</f>
        <v>-14088.017166666672</v>
      </c>
      <c r="D29" s="41">
        <f t="shared" si="0"/>
        <v>608931.62283333333</v>
      </c>
      <c r="E29" s="32">
        <f t="shared" si="1"/>
        <v>127875.640795</v>
      </c>
      <c r="F29" s="29">
        <f t="shared" si="2"/>
        <v>481055.98203833331</v>
      </c>
      <c r="G29" s="1">
        <v>0.98499999999999999</v>
      </c>
      <c r="H29" s="2">
        <f t="shared" si="3"/>
        <v>473840.14230775833</v>
      </c>
      <c r="I29" s="19">
        <v>7.6200000000000004E-2</v>
      </c>
      <c r="J29" s="19">
        <v>3.8300000000000001E-2</v>
      </c>
      <c r="K29" s="20">
        <f t="shared" si="7"/>
        <v>3.7900000000000003E-2</v>
      </c>
      <c r="L29" s="6">
        <f t="shared" si="4"/>
        <v>3008.8849036542656</v>
      </c>
      <c r="M29" s="7">
        <f t="shared" si="5"/>
        <v>1512.3397875322619</v>
      </c>
      <c r="N29" s="8">
        <f t="shared" si="6"/>
        <v>1496.5451161220035</v>
      </c>
    </row>
    <row r="30" spans="1:16" s="17" customFormat="1" ht="14.5">
      <c r="A30" s="16">
        <v>44742</v>
      </c>
      <c r="B30" s="33">
        <v>625998.52</v>
      </c>
      <c r="C30" s="41">
        <f>'NERCAMRT - Depreciation'!R69</f>
        <v>-14946.030000000006</v>
      </c>
      <c r="D30" s="41">
        <f t="shared" si="0"/>
        <v>611052.49</v>
      </c>
      <c r="E30" s="32">
        <f t="shared" si="1"/>
        <v>128321.0229</v>
      </c>
      <c r="F30" s="29">
        <f t="shared" si="2"/>
        <v>482731.46710000001</v>
      </c>
      <c r="G30" s="1">
        <v>0.98499999999999999</v>
      </c>
      <c r="H30" s="2">
        <f t="shared" si="3"/>
        <v>475490.49509350001</v>
      </c>
      <c r="I30" s="19">
        <v>7.6200000000000004E-2</v>
      </c>
      <c r="J30" s="19">
        <v>3.8300000000000001E-2</v>
      </c>
      <c r="K30" s="20">
        <f t="shared" si="7"/>
        <v>3.7900000000000003E-2</v>
      </c>
      <c r="L30" s="6">
        <f t="shared" si="4"/>
        <v>3019.3646438437249</v>
      </c>
      <c r="M30" s="7">
        <f t="shared" si="5"/>
        <v>1517.6071635067544</v>
      </c>
      <c r="N30" s="8">
        <f t="shared" si="6"/>
        <v>1501.757480336971</v>
      </c>
    </row>
    <row r="31" spans="1:16" s="17" customFormat="1" ht="14.5">
      <c r="A31" s="16">
        <v>44773</v>
      </c>
      <c r="B31" s="33">
        <v>634760.4</v>
      </c>
      <c r="C31" s="41">
        <f>'NERCAMRT - Depreciation'!R70</f>
        <v>-15804.04283333334</v>
      </c>
      <c r="D31" s="41">
        <f t="shared" si="0"/>
        <v>618956.35716666665</v>
      </c>
      <c r="E31" s="32">
        <f t="shared" si="1"/>
        <v>129980.83500499999</v>
      </c>
      <c r="F31" s="29">
        <f t="shared" si="2"/>
        <v>488975.52216166665</v>
      </c>
      <c r="G31" s="1">
        <v>0.98499999999999999</v>
      </c>
      <c r="H31" s="2">
        <f t="shared" si="3"/>
        <v>481640.88932924165</v>
      </c>
      <c r="I31" s="19">
        <v>7.6200000000000004E-2</v>
      </c>
      <c r="J31" s="19">
        <v>3.8300000000000001E-2</v>
      </c>
      <c r="K31" s="20">
        <f t="shared" si="7"/>
        <v>3.7900000000000003E-2</v>
      </c>
      <c r="L31" s="6">
        <f t="shared" si="4"/>
        <v>3058.4196472406843</v>
      </c>
      <c r="M31" s="7">
        <f t="shared" si="5"/>
        <v>1537.2371717758297</v>
      </c>
      <c r="N31" s="8">
        <f t="shared" si="6"/>
        <v>1521.1824754648551</v>
      </c>
    </row>
    <row r="32" spans="1:16" s="17" customFormat="1" ht="14.5">
      <c r="A32" s="16">
        <v>44804</v>
      </c>
      <c r="B32" s="33">
        <v>638809.73</v>
      </c>
      <c r="C32" s="41">
        <f>'NERCAMRT - Depreciation'!R71</f>
        <v>-16662.055666666674</v>
      </c>
      <c r="D32" s="41">
        <f t="shared" si="0"/>
        <v>622147.67433333327</v>
      </c>
      <c r="E32" s="32">
        <f t="shared" si="1"/>
        <v>130651.01160999999</v>
      </c>
      <c r="F32" s="29">
        <f t="shared" si="2"/>
        <v>491496.66272333328</v>
      </c>
      <c r="G32" s="1">
        <v>0.98499999999999999</v>
      </c>
      <c r="H32" s="2">
        <f t="shared" si="3"/>
        <v>484124.21278248326</v>
      </c>
      <c r="I32" s="19">
        <v>7.6200000000000004E-2</v>
      </c>
      <c r="J32" s="19">
        <v>3.8300000000000001E-2</v>
      </c>
      <c r="K32" s="20">
        <f t="shared" si="7"/>
        <v>3.7900000000000003E-2</v>
      </c>
      <c r="L32" s="6">
        <f t="shared" si="4"/>
        <v>3074.1887511687687</v>
      </c>
      <c r="M32" s="7">
        <f t="shared" si="5"/>
        <v>1545.1631124640924</v>
      </c>
      <c r="N32" s="8">
        <f t="shared" si="6"/>
        <v>1529.0256387046763</v>
      </c>
    </row>
    <row r="33" spans="1:17" s="17" customFormat="1" ht="14.5">
      <c r="A33" s="16">
        <v>44834</v>
      </c>
      <c r="B33" s="33">
        <v>643921.73</v>
      </c>
      <c r="C33" s="41">
        <f>'NERCAMRT - Depreciation'!R72</f>
        <v>-17520.068500000008</v>
      </c>
      <c r="D33" s="41">
        <f t="shared" si="0"/>
        <v>626401.66149999993</v>
      </c>
      <c r="E33" s="32">
        <f t="shared" si="1"/>
        <v>131544.34891499998</v>
      </c>
      <c r="F33" s="29">
        <f t="shared" si="2"/>
        <v>494857.31258499995</v>
      </c>
      <c r="G33" s="1">
        <v>0.98499999999999999</v>
      </c>
      <c r="H33" s="2">
        <f t="shared" si="3"/>
        <v>487434.45289622492</v>
      </c>
      <c r="I33" s="19">
        <v>7.6200000000000004E-2</v>
      </c>
      <c r="J33" s="19">
        <v>3.8300000000000001E-2</v>
      </c>
      <c r="K33" s="20">
        <f t="shared" si="7"/>
        <v>3.7900000000000003E-2</v>
      </c>
      <c r="L33" s="6">
        <f t="shared" si="4"/>
        <v>3095.2087758910279</v>
      </c>
      <c r="M33" s="7">
        <f t="shared" si="5"/>
        <v>1555.7282954937846</v>
      </c>
      <c r="N33" s="8">
        <f t="shared" si="6"/>
        <v>1539.4804803972438</v>
      </c>
    </row>
    <row r="34" spans="1:17" s="17" customFormat="1" ht="14.5">
      <c r="A34" s="16">
        <v>44865</v>
      </c>
      <c r="B34" s="33">
        <v>650141.99</v>
      </c>
      <c r="C34" s="41">
        <f>'NERCAMRT - Depreciation'!R73</f>
        <v>-18378.081333333343</v>
      </c>
      <c r="D34" s="41">
        <f t="shared" si="0"/>
        <v>631763.9086666666</v>
      </c>
      <c r="E34" s="32">
        <f t="shared" si="1"/>
        <v>132670.42081999997</v>
      </c>
      <c r="F34" s="29">
        <f t="shared" si="2"/>
        <v>499093.4878466666</v>
      </c>
      <c r="G34" s="1">
        <v>0.98499999999999999</v>
      </c>
      <c r="H34" s="2">
        <f t="shared" si="3"/>
        <v>491607.08552896656</v>
      </c>
      <c r="I34" s="19">
        <v>7.6200000000000004E-2</v>
      </c>
      <c r="J34" s="19">
        <v>3.8300000000000001E-2</v>
      </c>
      <c r="K34" s="20">
        <f t="shared" si="7"/>
        <v>3.7900000000000003E-2</v>
      </c>
      <c r="L34" s="6">
        <f t="shared" si="4"/>
        <v>3121.7049931089382</v>
      </c>
      <c r="M34" s="7">
        <f t="shared" si="5"/>
        <v>1569.0459479799517</v>
      </c>
      <c r="N34" s="8">
        <f t="shared" si="6"/>
        <v>1552.659045128986</v>
      </c>
    </row>
    <row r="35" spans="1:17" s="17" customFormat="1" ht="14.5">
      <c r="A35" s="16">
        <v>44895</v>
      </c>
      <c r="B35" s="33">
        <v>665052.23</v>
      </c>
      <c r="C35" s="41">
        <f>'NERCAMRT - Depreciation'!R74</f>
        <v>-19236.094166666677</v>
      </c>
      <c r="D35" s="41">
        <f t="shared" si="0"/>
        <v>645816.13583333325</v>
      </c>
      <c r="E35" s="32">
        <f t="shared" si="1"/>
        <v>135621.38852499999</v>
      </c>
      <c r="F35" s="29">
        <f t="shared" si="2"/>
        <v>510194.74730833329</v>
      </c>
      <c r="G35" s="1">
        <v>0.98499999999999999</v>
      </c>
      <c r="H35" s="2">
        <f t="shared" si="3"/>
        <v>502541.82609870826</v>
      </c>
      <c r="I35" s="19">
        <v>7.6200000000000004E-2</v>
      </c>
      <c r="J35" s="19">
        <v>3.8300000000000001E-2</v>
      </c>
      <c r="K35" s="20">
        <f t="shared" si="7"/>
        <v>3.7900000000000003E-2</v>
      </c>
      <c r="L35" s="6">
        <f t="shared" si="4"/>
        <v>3191.1405957267975</v>
      </c>
      <c r="M35" s="7">
        <f t="shared" si="5"/>
        <v>1603.9459949650438</v>
      </c>
      <c r="N35" s="8">
        <f t="shared" si="6"/>
        <v>1587.1946007617537</v>
      </c>
    </row>
    <row r="36" spans="1:17" s="17" customFormat="1" ht="14.5">
      <c r="A36" s="16">
        <v>44926</v>
      </c>
      <c r="B36" s="33">
        <v>671489.67</v>
      </c>
      <c r="C36" s="41">
        <f>'NERCAMRT - Depreciation'!R75</f>
        <v>-20094.107000000011</v>
      </c>
      <c r="D36" s="41">
        <f t="shared" si="0"/>
        <v>651395.56300000008</v>
      </c>
      <c r="E36" s="32">
        <f t="shared" si="1"/>
        <v>136793.06823</v>
      </c>
      <c r="F36" s="29">
        <f t="shared" si="2"/>
        <v>514602.49477000011</v>
      </c>
      <c r="G36" s="1">
        <v>0.98499999999999999</v>
      </c>
      <c r="H36" s="2">
        <f t="shared" si="3"/>
        <v>506883.45734845009</v>
      </c>
      <c r="I36" s="19">
        <v>7.6200000000000004E-2</v>
      </c>
      <c r="J36" s="19">
        <v>3.8300000000000001E-2</v>
      </c>
      <c r="K36" s="20">
        <f t="shared" si="7"/>
        <v>3.7900000000000003E-2</v>
      </c>
      <c r="L36" s="6">
        <f t="shared" si="4"/>
        <v>3218.7099541626581</v>
      </c>
      <c r="M36" s="7">
        <f t="shared" si="5"/>
        <v>1617.8030347038032</v>
      </c>
      <c r="N36" s="8">
        <f t="shared" si="6"/>
        <v>1600.9069194588549</v>
      </c>
    </row>
    <row r="37" spans="1:17" s="17" customFormat="1" ht="14.5">
      <c r="A37" s="16">
        <v>44957</v>
      </c>
      <c r="B37" s="33">
        <v>676762.36</v>
      </c>
      <c r="C37" s="41">
        <f>'NERCAMRT - Depreciation'!R77</f>
        <v>-20952.119833333345</v>
      </c>
      <c r="D37" s="41">
        <f t="shared" si="0"/>
        <v>655810.24016666668</v>
      </c>
      <c r="E37" s="32">
        <f t="shared" si="1"/>
        <v>137720.15043499999</v>
      </c>
      <c r="F37" s="29">
        <f t="shared" si="2"/>
        <v>518090.08973166673</v>
      </c>
      <c r="G37" s="1">
        <v>0.98499999999999999</v>
      </c>
      <c r="H37" s="2">
        <f t="shared" si="3"/>
        <v>510318.73838569171</v>
      </c>
      <c r="I37" s="19">
        <v>7.6200000000000004E-2</v>
      </c>
      <c r="J37" s="19">
        <v>3.8300000000000001E-2</v>
      </c>
      <c r="K37" s="20">
        <f t="shared" si="7"/>
        <v>3.7900000000000003E-2</v>
      </c>
      <c r="L37" s="6">
        <f t="shared" si="4"/>
        <v>3240.5239887491425</v>
      </c>
      <c r="M37" s="7">
        <f t="shared" si="5"/>
        <v>1628.7673066809994</v>
      </c>
      <c r="N37" s="8">
        <f t="shared" si="6"/>
        <v>1611.7566820681432</v>
      </c>
    </row>
    <row r="38" spans="1:17" s="17" customFormat="1" ht="14.5">
      <c r="A38" s="16">
        <v>44985</v>
      </c>
      <c r="B38" s="33">
        <v>704400.01</v>
      </c>
      <c r="C38" s="41">
        <f>'NERCAMRT - Depreciation'!R78</f>
        <v>-21810.132666666679</v>
      </c>
      <c r="D38" s="41">
        <f t="shared" si="0"/>
        <v>682589.87733333337</v>
      </c>
      <c r="E38" s="32">
        <f t="shared" si="1"/>
        <v>143343.87424</v>
      </c>
      <c r="F38" s="29">
        <f t="shared" si="2"/>
        <v>539246.00309333333</v>
      </c>
      <c r="G38" s="1">
        <v>0.98499999999999999</v>
      </c>
      <c r="H38" s="2">
        <f t="shared" si="3"/>
        <v>531157.31304693327</v>
      </c>
      <c r="I38" s="19">
        <v>7.6200000000000004E-2</v>
      </c>
      <c r="J38" s="19">
        <v>3.8300000000000001E-2</v>
      </c>
      <c r="K38" s="20">
        <f t="shared" si="7"/>
        <v>3.7900000000000003E-2</v>
      </c>
      <c r="L38" s="6">
        <f t="shared" si="4"/>
        <v>3372.8489378480263</v>
      </c>
      <c r="M38" s="7">
        <f t="shared" si="5"/>
        <v>1695.2770908081286</v>
      </c>
      <c r="N38" s="8">
        <f t="shared" si="6"/>
        <v>1677.5718470398976</v>
      </c>
    </row>
    <row r="39" spans="1:17" s="17" customFormat="1" ht="14.5">
      <c r="A39" s="16">
        <v>45016</v>
      </c>
      <c r="B39" s="33">
        <v>710076.57</v>
      </c>
      <c r="C39" s="41">
        <f>'NERCAMRT - Depreciation'!R79</f>
        <v>-22668.145500000013</v>
      </c>
      <c r="D39" s="41">
        <f t="shared" si="0"/>
        <v>687408.42449999996</v>
      </c>
      <c r="E39" s="32">
        <f t="shared" si="1"/>
        <v>144355.769145</v>
      </c>
      <c r="F39" s="29">
        <f t="shared" si="2"/>
        <v>543052.65535499994</v>
      </c>
      <c r="G39" s="1">
        <v>0.98499999999999999</v>
      </c>
      <c r="H39" s="2">
        <f t="shared" si="3"/>
        <v>534906.86552467488</v>
      </c>
      <c r="I39" s="19">
        <v>7.6200000000000004E-2</v>
      </c>
      <c r="J39" s="19">
        <v>3.8300000000000001E-2</v>
      </c>
      <c r="K39" s="20">
        <f t="shared" si="7"/>
        <v>3.7900000000000003E-2</v>
      </c>
      <c r="L39" s="6">
        <f t="shared" si="4"/>
        <v>3396.658596081686</v>
      </c>
      <c r="M39" s="7">
        <f t="shared" si="5"/>
        <v>1707.2444124662541</v>
      </c>
      <c r="N39" s="8">
        <f t="shared" si="6"/>
        <v>1689.4141836154315</v>
      </c>
      <c r="P39" s="112"/>
      <c r="Q39" s="113"/>
    </row>
    <row r="40" spans="1:17" s="17" customFormat="1" ht="14.5">
      <c r="A40" s="16">
        <v>45046</v>
      </c>
      <c r="B40" s="33">
        <v>714118.31</v>
      </c>
      <c r="C40" s="41">
        <f>'NERCAMRT - Depreciation'!R80</f>
        <v>-23526.158333333347</v>
      </c>
      <c r="D40" s="41">
        <f t="shared" si="0"/>
        <v>690592.15166666673</v>
      </c>
      <c r="E40" s="32">
        <f t="shared" si="1"/>
        <v>145024.35185000001</v>
      </c>
      <c r="F40" s="29">
        <f t="shared" si="2"/>
        <v>545567.79981666675</v>
      </c>
      <c r="G40" s="1">
        <v>0.98499999999999999</v>
      </c>
      <c r="H40" s="2">
        <f t="shared" si="3"/>
        <v>537384.28281941672</v>
      </c>
      <c r="I40" s="19">
        <v>7.6200000000000004E-2</v>
      </c>
      <c r="J40" s="19">
        <v>3.8300000000000001E-2</v>
      </c>
      <c r="K40" s="20">
        <f t="shared" si="7"/>
        <v>3.7900000000000003E-2</v>
      </c>
      <c r="L40" s="6">
        <f t="shared" si="4"/>
        <v>3412.390195903296</v>
      </c>
      <c r="M40" s="7">
        <f t="shared" si="5"/>
        <v>1715.1515026653051</v>
      </c>
      <c r="N40" s="8">
        <f t="shared" si="6"/>
        <v>1697.2386932379914</v>
      </c>
    </row>
    <row r="41" spans="1:17" s="17" customFormat="1" ht="14.5">
      <c r="A41" s="16">
        <v>45077</v>
      </c>
      <c r="B41" s="33">
        <v>719191.43</v>
      </c>
      <c r="C41" s="41">
        <f>'NERCAMRT - Depreciation'!R81</f>
        <v>-24384.171166666682</v>
      </c>
      <c r="D41" s="41">
        <f t="shared" si="0"/>
        <v>694807.25883333338</v>
      </c>
      <c r="E41" s="32">
        <f t="shared" si="1"/>
        <v>145909.524355</v>
      </c>
      <c r="F41" s="29">
        <f t="shared" si="2"/>
        <v>548897.73447833338</v>
      </c>
      <c r="G41" s="1">
        <v>0.98499999999999999</v>
      </c>
      <c r="H41" s="2">
        <f t="shared" si="3"/>
        <v>540664.26846115838</v>
      </c>
      <c r="I41" s="19">
        <v>7.6200000000000004E-2</v>
      </c>
      <c r="J41" s="19">
        <v>3.8300000000000001E-2</v>
      </c>
      <c r="K41" s="20">
        <f t="shared" si="7"/>
        <v>3.7900000000000003E-2</v>
      </c>
      <c r="L41" s="6">
        <f t="shared" si="4"/>
        <v>3433.2181047283557</v>
      </c>
      <c r="M41" s="7">
        <f t="shared" si="5"/>
        <v>1725.6201235051974</v>
      </c>
      <c r="N41" s="8">
        <f t="shared" si="6"/>
        <v>1707.5979812231587</v>
      </c>
    </row>
    <row r="42" spans="1:17" s="17" customFormat="1" ht="14.5">
      <c r="A42" s="16">
        <v>45107</v>
      </c>
      <c r="B42" s="33">
        <v>724232.87</v>
      </c>
      <c r="C42" s="41">
        <f>'NERCAMRT - Depreciation'!R82</f>
        <v>-25242.184000000016</v>
      </c>
      <c r="D42" s="41">
        <f t="shared" si="0"/>
        <v>698990.68599999999</v>
      </c>
      <c r="E42" s="32">
        <f t="shared" si="1"/>
        <v>146788.04405999999</v>
      </c>
      <c r="F42" s="29">
        <f t="shared" si="2"/>
        <v>552202.64194</v>
      </c>
      <c r="G42" s="1">
        <v>0.98499999999999999</v>
      </c>
      <c r="H42" s="2">
        <f t="shared" si="3"/>
        <v>543919.60231089999</v>
      </c>
      <c r="I42" s="19">
        <v>7.6200000000000004E-2</v>
      </c>
      <c r="J42" s="19">
        <v>3.8300000000000001E-2</v>
      </c>
      <c r="K42" s="20">
        <f t="shared" si="7"/>
        <v>3.7900000000000003E-2</v>
      </c>
      <c r="L42" s="6">
        <f t="shared" si="4"/>
        <v>3453.8894746742153</v>
      </c>
      <c r="M42" s="7">
        <f t="shared" si="5"/>
        <v>1736.0100640422891</v>
      </c>
      <c r="N42" s="8">
        <f t="shared" si="6"/>
        <v>1717.8794106319258</v>
      </c>
    </row>
    <row r="43" spans="1:17" s="17" customFormat="1" ht="14.5">
      <c r="A43" s="16">
        <v>45138</v>
      </c>
      <c r="B43" s="33">
        <v>727652.61</v>
      </c>
      <c r="C43" s="41">
        <f>'NERCAMRT - Depreciation'!R83</f>
        <v>-26100.19683333335</v>
      </c>
      <c r="D43" s="41">
        <f t="shared" si="0"/>
        <v>701552.41316666664</v>
      </c>
      <c r="E43" s="32">
        <f t="shared" si="1"/>
        <v>147326.006765</v>
      </c>
      <c r="F43" s="29">
        <f t="shared" si="2"/>
        <v>554226.40640166658</v>
      </c>
      <c r="G43" s="1">
        <v>0.98499999999999999</v>
      </c>
      <c r="H43" s="2">
        <f t="shared" si="3"/>
        <v>545913.01030564157</v>
      </c>
      <c r="I43" s="19">
        <v>7.6200000000000004E-2</v>
      </c>
      <c r="J43" s="19">
        <v>3.8300000000000001E-2</v>
      </c>
      <c r="K43" s="20">
        <f t="shared" si="7"/>
        <v>3.7900000000000003E-2</v>
      </c>
      <c r="L43" s="6">
        <f t="shared" si="4"/>
        <v>3466.5476154408243</v>
      </c>
      <c r="M43" s="7">
        <f t="shared" si="5"/>
        <v>1742.3723578921727</v>
      </c>
      <c r="N43" s="8">
        <f t="shared" si="6"/>
        <v>1724.1752575486514</v>
      </c>
    </row>
    <row r="44" spans="1:17" s="17" customFormat="1" ht="14.5">
      <c r="A44" s="16">
        <v>45169</v>
      </c>
      <c r="B44" s="33">
        <v>733104.85</v>
      </c>
      <c r="C44" s="41">
        <f>'NERCAMRT - Depreciation'!R84</f>
        <v>-26958.209666666684</v>
      </c>
      <c r="D44" s="41">
        <f t="shared" si="0"/>
        <v>706146.64033333329</v>
      </c>
      <c r="E44" s="32">
        <f t="shared" si="1"/>
        <v>148290.79446999999</v>
      </c>
      <c r="F44" s="29">
        <f t="shared" si="2"/>
        <v>557855.84586333332</v>
      </c>
      <c r="G44" s="1">
        <v>0.98499999999999999</v>
      </c>
      <c r="H44" s="2">
        <f t="shared" si="3"/>
        <v>549488.00817538332</v>
      </c>
      <c r="I44" s="19">
        <v>7.6200000000000004E-2</v>
      </c>
      <c r="J44" s="19">
        <v>3.8300000000000001E-2</v>
      </c>
      <c r="K44" s="20">
        <f t="shared" si="7"/>
        <v>3.7900000000000003E-2</v>
      </c>
      <c r="L44" s="6">
        <f t="shared" si="4"/>
        <v>3489.2488519136841</v>
      </c>
      <c r="M44" s="7">
        <f t="shared" si="5"/>
        <v>1753.7825594264316</v>
      </c>
      <c r="N44" s="8">
        <f t="shared" si="6"/>
        <v>1735.4662924872525</v>
      </c>
    </row>
    <row r="45" spans="1:17" s="17" customFormat="1" ht="14.5">
      <c r="A45" s="16">
        <v>45199</v>
      </c>
      <c r="B45" s="33">
        <v>738088.51</v>
      </c>
      <c r="C45" s="41">
        <f>'NERCAMRT - Depreciation'!R85</f>
        <v>-27816.222500000018</v>
      </c>
      <c r="D45" s="41">
        <f t="shared" si="0"/>
        <v>710272.28749999998</v>
      </c>
      <c r="E45" s="32">
        <f t="shared" si="1"/>
        <v>149157.180375</v>
      </c>
      <c r="F45" s="29">
        <f t="shared" si="2"/>
        <v>561115.10712499998</v>
      </c>
      <c r="G45" s="1">
        <v>0.98499999999999999</v>
      </c>
      <c r="H45" s="2">
        <f t="shared" si="3"/>
        <v>552698.38051812502</v>
      </c>
      <c r="I45" s="19">
        <v>7.6200000000000004E-2</v>
      </c>
      <c r="J45" s="19">
        <v>3.8300000000000001E-2</v>
      </c>
      <c r="K45" s="20">
        <f t="shared" si="7"/>
        <v>3.7900000000000003E-2</v>
      </c>
      <c r="L45" s="6">
        <f t="shared" si="4"/>
        <v>3509.6347162900943</v>
      </c>
      <c r="M45" s="7">
        <f t="shared" si="5"/>
        <v>1764.0289978203491</v>
      </c>
      <c r="N45" s="8">
        <f t="shared" si="6"/>
        <v>1745.6057184697449</v>
      </c>
    </row>
    <row r="46" spans="1:17" s="17" customFormat="1" ht="14.5">
      <c r="A46" s="16">
        <v>45230</v>
      </c>
      <c r="B46" s="33">
        <v>743767.24</v>
      </c>
      <c r="C46" s="41">
        <f>'NERCAMRT - Depreciation'!R86</f>
        <v>-28674.235333333352</v>
      </c>
      <c r="D46" s="41">
        <f t="shared" si="0"/>
        <v>715093.00466666662</v>
      </c>
      <c r="E46" s="32">
        <f t="shared" si="1"/>
        <v>150169.53097999998</v>
      </c>
      <c r="F46" s="29">
        <f t="shared" si="2"/>
        <v>564923.47368666669</v>
      </c>
      <c r="G46" s="1">
        <v>0.98499999999999999</v>
      </c>
      <c r="H46" s="2">
        <f t="shared" si="3"/>
        <v>556449.62158136663</v>
      </c>
      <c r="I46" s="19">
        <v>7.6200000000000004E-2</v>
      </c>
      <c r="J46" s="19">
        <v>3.8300000000000001E-2</v>
      </c>
      <c r="K46" s="20">
        <f t="shared" si="7"/>
        <v>3.7900000000000003E-2</v>
      </c>
      <c r="L46" s="6">
        <f t="shared" si="4"/>
        <v>3533.4550970416785</v>
      </c>
      <c r="M46" s="7">
        <f t="shared" si="5"/>
        <v>1776.0017088805287</v>
      </c>
      <c r="N46" s="8">
        <f t="shared" si="6"/>
        <v>1757.4533881611496</v>
      </c>
    </row>
    <row r="47" spans="1:17" s="17" customFormat="1" ht="14.5">
      <c r="A47" s="16">
        <v>45260</v>
      </c>
      <c r="B47" s="33">
        <v>740752.03</v>
      </c>
      <c r="C47" s="41">
        <f>'NERCAMRT - Depreciation'!R87</f>
        <v>-29532.248166666686</v>
      </c>
      <c r="D47" s="41">
        <f t="shared" si="0"/>
        <v>711219.78183333331</v>
      </c>
      <c r="E47" s="32">
        <f t="shared" si="1"/>
        <v>149356.15418499999</v>
      </c>
      <c r="F47" s="29">
        <f t="shared" si="2"/>
        <v>561863.62764833332</v>
      </c>
      <c r="G47" s="1">
        <v>0.98499999999999999</v>
      </c>
      <c r="H47" s="2">
        <f t="shared" si="3"/>
        <v>553435.67323360837</v>
      </c>
      <c r="I47" s="19">
        <v>7.6200000000000004E-2</v>
      </c>
      <c r="J47" s="19">
        <v>3.8300000000000001E-2</v>
      </c>
      <c r="K47" s="20">
        <f t="shared" si="7"/>
        <v>3.7900000000000003E-2</v>
      </c>
      <c r="L47" s="6">
        <f t="shared" si="4"/>
        <v>3514.3165250334132</v>
      </c>
      <c r="M47" s="7">
        <f t="shared" si="5"/>
        <v>1766.3821904039335</v>
      </c>
      <c r="N47" s="8">
        <f t="shared" si="6"/>
        <v>1747.93433462948</v>
      </c>
    </row>
    <row r="48" spans="1:17" s="17" customFormat="1" ht="14.5">
      <c r="A48" s="16">
        <v>45291</v>
      </c>
      <c r="B48" s="33">
        <v>749937.83</v>
      </c>
      <c r="C48" s="41">
        <f>'NERCAMRT - Depreciation'!R88</f>
        <v>-30390.26100000002</v>
      </c>
      <c r="D48" s="41">
        <f t="shared" si="0"/>
        <v>719547.5689999999</v>
      </c>
      <c r="E48" s="32">
        <f t="shared" si="1"/>
        <v>151104.98948999998</v>
      </c>
      <c r="F48" s="29">
        <f t="shared" si="2"/>
        <v>568442.57950999995</v>
      </c>
      <c r="G48" s="1">
        <v>0.98499999999999999</v>
      </c>
      <c r="H48" s="2">
        <f t="shared" si="3"/>
        <v>559915.94081734994</v>
      </c>
      <c r="I48" s="19">
        <v>7.6200000000000004E-2</v>
      </c>
      <c r="J48" s="19">
        <v>3.8300000000000001E-2</v>
      </c>
      <c r="K48" s="20">
        <f t="shared" si="7"/>
        <v>3.7900000000000003E-2</v>
      </c>
      <c r="L48" s="6">
        <f t="shared" si="4"/>
        <v>3555.4662241901719</v>
      </c>
      <c r="M48" s="7">
        <f t="shared" si="5"/>
        <v>1787.0650444420419</v>
      </c>
      <c r="N48" s="8">
        <f t="shared" si="6"/>
        <v>1768.4011797481305</v>
      </c>
    </row>
    <row r="49" spans="1:14" s="17" customFormat="1" ht="14.5">
      <c r="A49" s="100">
        <v>45322</v>
      </c>
      <c r="B49" s="97">
        <v>754610.42</v>
      </c>
      <c r="C49" s="104">
        <f>'NERCAMRT - Depreciation'!R90</f>
        <v>-33816.687424731208</v>
      </c>
      <c r="D49" s="104">
        <f>B49+C49</f>
        <v>720793.73257526883</v>
      </c>
      <c r="E49" s="101">
        <f>(D49*$E$7)</f>
        <v>151366.68384080645</v>
      </c>
      <c r="F49" s="102">
        <f>+D49-E49</f>
        <v>569427.04873446235</v>
      </c>
      <c r="G49" s="98">
        <f>(0.985*(15/31))+(0.986*(16/31))</f>
        <v>0.98551612903225805</v>
      </c>
      <c r="H49" s="101">
        <f>+F49*G49</f>
        <v>561179.54083505028</v>
      </c>
      <c r="I49" s="99">
        <f>(0.0762*(15/31))+(0.0821*(16/31))</f>
        <v>7.924516129032258E-2</v>
      </c>
      <c r="J49" s="99">
        <f>(0.0383*(15/31))+(0.0478*(16/31))</f>
        <v>4.3203225806451612E-2</v>
      </c>
      <c r="K49" s="99">
        <f t="shared" si="7"/>
        <v>3.6041935483870968E-2</v>
      </c>
      <c r="L49" s="6">
        <f>(H49*I49)/12</f>
        <v>3705.896935525227</v>
      </c>
      <c r="M49" s="7">
        <f>(H49*J49)/12</f>
        <v>2020.3972017214592</v>
      </c>
      <c r="N49" s="8">
        <f>(H49*K49)/12</f>
        <v>1685.4997338037681</v>
      </c>
    </row>
    <row r="50" spans="1:14" s="17" customFormat="1" ht="14.5">
      <c r="A50" s="16">
        <v>45351</v>
      </c>
      <c r="B50" s="33">
        <v>755725.46</v>
      </c>
      <c r="C50" s="41">
        <f>'NERCAMRT - Depreciation'!R91</f>
        <v>-39651.001591397879</v>
      </c>
      <c r="D50" s="41">
        <f t="shared" ref="D50:D60" si="8">B50+C50</f>
        <v>716074.45840860205</v>
      </c>
      <c r="E50" s="32">
        <f t="shared" ref="E50:E60" si="9">(D50*$E$7)</f>
        <v>150375.63626580642</v>
      </c>
      <c r="F50" s="29">
        <f t="shared" ref="F50:F60" si="10">+D50-E50</f>
        <v>565698.82214279566</v>
      </c>
      <c r="G50" s="17">
        <v>0.98599999999999999</v>
      </c>
      <c r="H50" s="32">
        <f t="shared" ref="H50:H60" si="11">+F50*G50</f>
        <v>557779.0386327965</v>
      </c>
      <c r="I50" s="20">
        <v>8.2100000000000006E-2</v>
      </c>
      <c r="J50" s="20">
        <v>4.7800000000000002E-2</v>
      </c>
      <c r="K50" s="20">
        <f t="shared" si="7"/>
        <v>3.4300000000000004E-2</v>
      </c>
      <c r="L50" s="6">
        <f t="shared" ref="L50:L60" si="12">(H50*I50)/12</f>
        <v>3816.1382559793833</v>
      </c>
      <c r="M50" s="7">
        <f t="shared" ref="M50:M60" si="13">(H50*J50)/12</f>
        <v>2221.8198372206393</v>
      </c>
      <c r="N50" s="8">
        <f t="shared" ref="N50:N60" si="14">(H50*K50)/12</f>
        <v>1594.3184187587433</v>
      </c>
    </row>
    <row r="51" spans="1:14" s="17" customFormat="1" ht="14.5">
      <c r="A51" s="16">
        <v>45382</v>
      </c>
      <c r="B51" s="33">
        <v>756699.95</v>
      </c>
      <c r="C51" s="41">
        <f>'NERCAMRT - Depreciation'!R92</f>
        <v>-45485.315758064549</v>
      </c>
      <c r="D51" s="41">
        <f t="shared" si="8"/>
        <v>711214.63424193545</v>
      </c>
      <c r="E51" s="32">
        <f t="shared" si="9"/>
        <v>149355.07319080643</v>
      </c>
      <c r="F51" s="29">
        <f t="shared" si="10"/>
        <v>561859.56105112901</v>
      </c>
      <c r="G51" s="17">
        <v>0.98599999999999999</v>
      </c>
      <c r="H51" s="32">
        <f t="shared" si="11"/>
        <v>553993.52719641326</v>
      </c>
      <c r="I51" s="20">
        <v>8.2100000000000006E-2</v>
      </c>
      <c r="J51" s="20">
        <v>4.7800000000000002E-2</v>
      </c>
      <c r="K51" s="20">
        <f t="shared" si="7"/>
        <v>3.4300000000000004E-2</v>
      </c>
      <c r="L51" s="6">
        <f t="shared" si="12"/>
        <v>3790.2390485687943</v>
      </c>
      <c r="M51" s="7">
        <f t="shared" si="13"/>
        <v>2206.7408833323793</v>
      </c>
      <c r="N51" s="8">
        <f t="shared" si="14"/>
        <v>1583.4981652364147</v>
      </c>
    </row>
    <row r="52" spans="1:14" s="17" customFormat="1" ht="14.5">
      <c r="A52" s="16">
        <v>45412</v>
      </c>
      <c r="B52" s="33">
        <v>757835.22</v>
      </c>
      <c r="C52" s="41">
        <f>'NERCAMRT - Depreciation'!R93</f>
        <v>-51319.62992473122</v>
      </c>
      <c r="D52" s="41">
        <f t="shared" si="8"/>
        <v>706515.59007526876</v>
      </c>
      <c r="E52" s="32">
        <f t="shared" si="9"/>
        <v>148368.27391580644</v>
      </c>
      <c r="F52" s="29">
        <f t="shared" si="10"/>
        <v>558147.31615946232</v>
      </c>
      <c r="G52" s="17">
        <v>0.98599999999999999</v>
      </c>
      <c r="H52" s="32">
        <f t="shared" si="11"/>
        <v>550333.25373322982</v>
      </c>
      <c r="I52" s="20">
        <v>8.2100000000000006E-2</v>
      </c>
      <c r="J52" s="20">
        <v>4.7800000000000002E-2</v>
      </c>
      <c r="K52" s="20">
        <f t="shared" si="7"/>
        <v>3.4300000000000004E-2</v>
      </c>
      <c r="L52" s="6">
        <f t="shared" si="12"/>
        <v>3765.1966776248478</v>
      </c>
      <c r="M52" s="7">
        <f t="shared" si="13"/>
        <v>2192.1607940373656</v>
      </c>
      <c r="N52" s="8">
        <f t="shared" si="14"/>
        <v>1573.0358835874822</v>
      </c>
    </row>
    <row r="53" spans="1:14" s="17" customFormat="1" ht="14.5">
      <c r="A53" s="16">
        <v>45443</v>
      </c>
      <c r="B53" s="33">
        <v>757621.6</v>
      </c>
      <c r="C53" s="41">
        <f>'NERCAMRT - Depreciation'!R94</f>
        <v>-57153.944091397891</v>
      </c>
      <c r="D53" s="41">
        <f t="shared" si="8"/>
        <v>700467.65590860206</v>
      </c>
      <c r="E53" s="32">
        <f t="shared" si="9"/>
        <v>147098.20774080642</v>
      </c>
      <c r="F53" s="29">
        <f t="shared" si="10"/>
        <v>553369.44816779566</v>
      </c>
      <c r="G53" s="17">
        <v>0.98599999999999999</v>
      </c>
      <c r="H53" s="32">
        <f t="shared" si="11"/>
        <v>545622.27589344652</v>
      </c>
      <c r="I53" s="20">
        <v>8.2100000000000006E-2</v>
      </c>
      <c r="J53" s="20">
        <v>4.7800000000000002E-2</v>
      </c>
      <c r="K53" s="20">
        <f t="shared" si="7"/>
        <v>3.4300000000000004E-2</v>
      </c>
      <c r="L53" s="6">
        <f t="shared" si="12"/>
        <v>3732.9657375709971</v>
      </c>
      <c r="M53" s="7">
        <f t="shared" si="13"/>
        <v>2173.3953989755623</v>
      </c>
      <c r="N53" s="8">
        <f t="shared" si="14"/>
        <v>1559.5703385954348</v>
      </c>
    </row>
    <row r="54" spans="1:14" s="17" customFormat="1" ht="14.5">
      <c r="A54" s="16">
        <v>45473</v>
      </c>
      <c r="B54" s="33">
        <v>758084.39</v>
      </c>
      <c r="C54" s="41">
        <f>'NERCAMRT - Depreciation'!R95</f>
        <v>-62988.258258064561</v>
      </c>
      <c r="D54" s="41">
        <f t="shared" si="8"/>
        <v>695096.1317419355</v>
      </c>
      <c r="E54" s="32">
        <f t="shared" si="9"/>
        <v>145970.18766580644</v>
      </c>
      <c r="F54" s="29">
        <f t="shared" si="10"/>
        <v>549125.944076129</v>
      </c>
      <c r="G54" s="17">
        <v>0.98599999999999999</v>
      </c>
      <c r="H54" s="32">
        <f t="shared" si="11"/>
        <v>541438.18085906317</v>
      </c>
      <c r="I54" s="20">
        <v>8.2100000000000006E-2</v>
      </c>
      <c r="J54" s="20">
        <v>4.7800000000000002E-2</v>
      </c>
      <c r="K54" s="20">
        <f t="shared" si="7"/>
        <v>3.4300000000000004E-2</v>
      </c>
      <c r="L54" s="6">
        <f t="shared" si="12"/>
        <v>3704.3395540440906</v>
      </c>
      <c r="M54" s="7">
        <f t="shared" si="13"/>
        <v>2156.7287537552684</v>
      </c>
      <c r="N54" s="8">
        <f t="shared" si="14"/>
        <v>1547.6108002888225</v>
      </c>
    </row>
    <row r="55" spans="1:14" s="17" customFormat="1" ht="14.5">
      <c r="A55" s="16">
        <v>45504</v>
      </c>
      <c r="B55" s="33">
        <v>758365.29</v>
      </c>
      <c r="C55" s="41">
        <f>'NERCAMRT - Depreciation'!R96</f>
        <v>-68822.572424731232</v>
      </c>
      <c r="D55" s="41">
        <f t="shared" si="8"/>
        <v>689542.71757526882</v>
      </c>
      <c r="E55" s="32">
        <f t="shared" si="9"/>
        <v>144803.97069080645</v>
      </c>
      <c r="F55" s="29">
        <f t="shared" si="10"/>
        <v>544738.74688446242</v>
      </c>
      <c r="G55" s="17">
        <v>0.98599999999999999</v>
      </c>
      <c r="H55" s="32">
        <f t="shared" si="11"/>
        <v>537112.40442807996</v>
      </c>
      <c r="I55" s="20">
        <v>8.2100000000000006E-2</v>
      </c>
      <c r="J55" s="20">
        <v>4.7800000000000002E-2</v>
      </c>
      <c r="K55" s="20">
        <f t="shared" si="7"/>
        <v>3.4300000000000004E-2</v>
      </c>
      <c r="L55" s="6">
        <f t="shared" si="12"/>
        <v>3674.7440336287805</v>
      </c>
      <c r="M55" s="7">
        <f t="shared" si="13"/>
        <v>2139.4977443051853</v>
      </c>
      <c r="N55" s="8">
        <f t="shared" si="14"/>
        <v>1535.2462893235954</v>
      </c>
    </row>
    <row r="56" spans="1:14" s="17" customFormat="1" ht="14.5">
      <c r="A56" s="16">
        <v>45535</v>
      </c>
      <c r="B56" s="33">
        <v>758459.44</v>
      </c>
      <c r="C56" s="41">
        <f>'NERCAMRT - Depreciation'!R97</f>
        <v>-74656.886591397895</v>
      </c>
      <c r="D56" s="41">
        <f t="shared" si="8"/>
        <v>683802.55340860202</v>
      </c>
      <c r="E56" s="32">
        <f t="shared" si="9"/>
        <v>143598.53621580641</v>
      </c>
      <c r="F56" s="29">
        <f t="shared" si="10"/>
        <v>540204.01719279564</v>
      </c>
      <c r="G56" s="17">
        <v>0.98599999999999999</v>
      </c>
      <c r="H56" s="32">
        <f t="shared" si="11"/>
        <v>532641.16095209646</v>
      </c>
      <c r="I56" s="20">
        <v>8.2100000000000006E-2</v>
      </c>
      <c r="J56" s="20">
        <v>4.7800000000000002E-2</v>
      </c>
      <c r="K56" s="20">
        <f t="shared" si="7"/>
        <v>3.4300000000000004E-2</v>
      </c>
      <c r="L56" s="6">
        <f t="shared" si="12"/>
        <v>3644.1532761805938</v>
      </c>
      <c r="M56" s="7">
        <f t="shared" si="13"/>
        <v>2121.6872911258511</v>
      </c>
      <c r="N56" s="8">
        <f t="shared" si="14"/>
        <v>1522.4659850547425</v>
      </c>
    </row>
    <row r="57" spans="1:14" s="17" customFormat="1" ht="14.5">
      <c r="A57" s="16">
        <v>45565</v>
      </c>
      <c r="B57" s="33">
        <v>758520.82</v>
      </c>
      <c r="C57" s="41">
        <f>'NERCAMRT - Depreciation'!R98</f>
        <v>-80491.200758064559</v>
      </c>
      <c r="D57" s="41">
        <f t="shared" si="8"/>
        <v>678029.61924193543</v>
      </c>
      <c r="E57" s="32">
        <f t="shared" si="9"/>
        <v>142386.22004080642</v>
      </c>
      <c r="F57" s="29">
        <f t="shared" si="10"/>
        <v>535643.39920112898</v>
      </c>
      <c r="G57" s="17">
        <v>0.98599999999999999</v>
      </c>
      <c r="H57" s="32">
        <f t="shared" si="11"/>
        <v>528144.39161231322</v>
      </c>
      <c r="I57" s="20">
        <v>8.2100000000000006E-2</v>
      </c>
      <c r="J57" s="20">
        <v>4.7800000000000002E-2</v>
      </c>
      <c r="K57" s="20">
        <f t="shared" si="7"/>
        <v>3.4300000000000004E-2</v>
      </c>
      <c r="L57" s="6">
        <f t="shared" si="12"/>
        <v>3613.3878792809101</v>
      </c>
      <c r="M57" s="7">
        <f t="shared" si="13"/>
        <v>2103.7751599223811</v>
      </c>
      <c r="N57" s="8">
        <f t="shared" si="14"/>
        <v>1509.6127193585289</v>
      </c>
    </row>
    <row r="58" spans="1:14" s="17" customFormat="1" ht="14.5">
      <c r="A58" s="16">
        <v>45596</v>
      </c>
      <c r="B58" s="33">
        <v>758543.17</v>
      </c>
      <c r="C58" s="41">
        <f>'NERCAMRT - Depreciation'!R99</f>
        <v>-86325.514924731222</v>
      </c>
      <c r="D58" s="41">
        <f t="shared" si="8"/>
        <v>672217.65507526882</v>
      </c>
      <c r="E58" s="32">
        <f t="shared" si="9"/>
        <v>141165.70756580646</v>
      </c>
      <c r="F58" s="29">
        <f t="shared" si="10"/>
        <v>531051.94750946236</v>
      </c>
      <c r="G58" s="17">
        <v>0.98599999999999999</v>
      </c>
      <c r="H58" s="32">
        <f t="shared" si="11"/>
        <v>523617.22024432989</v>
      </c>
      <c r="I58" s="20">
        <v>8.2100000000000006E-2</v>
      </c>
      <c r="J58" s="20">
        <v>4.7800000000000002E-2</v>
      </c>
      <c r="K58" s="20">
        <f t="shared" si="7"/>
        <v>3.4300000000000004E-2</v>
      </c>
      <c r="L58" s="6">
        <f t="shared" si="12"/>
        <v>3582.4144818382906</v>
      </c>
      <c r="M58" s="7">
        <f t="shared" si="13"/>
        <v>2085.7419273065807</v>
      </c>
      <c r="N58" s="8">
        <f t="shared" si="14"/>
        <v>1496.6725545317097</v>
      </c>
    </row>
    <row r="59" spans="1:14" s="17" customFormat="1" ht="14.5">
      <c r="A59" s="16">
        <v>45626</v>
      </c>
      <c r="B59" s="33">
        <v>758543.08</v>
      </c>
      <c r="C59" s="41">
        <f>'NERCAMRT - Depreciation'!R100</f>
        <v>-92159.829091397885</v>
      </c>
      <c r="D59" s="41">
        <f t="shared" si="8"/>
        <v>666383.25090860203</v>
      </c>
      <c r="E59" s="32">
        <f t="shared" si="9"/>
        <v>139940.48269080641</v>
      </c>
      <c r="F59" s="29">
        <f t="shared" si="10"/>
        <v>526442.76821779564</v>
      </c>
      <c r="G59" s="17">
        <v>0.98599999999999999</v>
      </c>
      <c r="H59" s="32">
        <f t="shared" si="11"/>
        <v>519072.5694627465</v>
      </c>
      <c r="I59" s="20">
        <v>8.2100000000000006E-2</v>
      </c>
      <c r="J59" s="20">
        <v>4.7800000000000002E-2</v>
      </c>
      <c r="K59" s="20">
        <f t="shared" si="7"/>
        <v>3.4300000000000004E-2</v>
      </c>
      <c r="L59" s="6">
        <f t="shared" si="12"/>
        <v>3551.3214960742912</v>
      </c>
      <c r="M59" s="7">
        <f t="shared" si="13"/>
        <v>2067.6390683599402</v>
      </c>
      <c r="N59" s="8">
        <f t="shared" si="14"/>
        <v>1483.6824277143505</v>
      </c>
    </row>
    <row r="60" spans="1:14" s="17" customFormat="1" ht="14.5">
      <c r="A60" s="16">
        <v>45657</v>
      </c>
      <c r="B60" s="33">
        <v>758551.48</v>
      </c>
      <c r="C60" s="41">
        <f>'NERCAMRT - Depreciation'!R101</f>
        <v>-97994.143258064549</v>
      </c>
      <c r="D60" s="41">
        <f t="shared" si="8"/>
        <v>660557.33674193546</v>
      </c>
      <c r="E60" s="32">
        <f t="shared" si="9"/>
        <v>138717.04071580645</v>
      </c>
      <c r="F60" s="29">
        <f t="shared" si="10"/>
        <v>521840.29602612904</v>
      </c>
      <c r="G60" s="17">
        <v>0.98599999999999999</v>
      </c>
      <c r="H60" s="32">
        <f t="shared" si="11"/>
        <v>514534.53188176325</v>
      </c>
      <c r="I60" s="20">
        <v>8.2100000000000006E-2</v>
      </c>
      <c r="J60" s="20">
        <v>4.7800000000000002E-2</v>
      </c>
      <c r="K60" s="20">
        <f t="shared" si="7"/>
        <v>3.4300000000000004E-2</v>
      </c>
      <c r="L60" s="6">
        <f t="shared" si="12"/>
        <v>3520.2737556243974</v>
      </c>
      <c r="M60" s="7">
        <f t="shared" si="13"/>
        <v>2049.5625519956902</v>
      </c>
      <c r="N60" s="8">
        <f t="shared" si="14"/>
        <v>1470.7112036287069</v>
      </c>
    </row>
    <row r="61" spans="1:14">
      <c r="A61" s="16"/>
      <c r="B61" s="38"/>
      <c r="C61" s="38"/>
      <c r="D61" s="38"/>
      <c r="E61" s="4"/>
      <c r="F61" s="4"/>
      <c r="G61" s="17"/>
      <c r="H61" s="17"/>
      <c r="I61" s="105"/>
      <c r="J61" s="105"/>
      <c r="K61" s="106" t="s">
        <v>12</v>
      </c>
      <c r="L61" s="15">
        <f>SUM(L12:L60)</f>
        <v>149096.44899597196</v>
      </c>
      <c r="M61" s="15">
        <f t="shared" ref="M61:N61" si="15">SUM(M12:M60)</f>
        <v>78327.754979289151</v>
      </c>
      <c r="N61" s="15">
        <f t="shared" si="15"/>
        <v>70768.694016682828</v>
      </c>
    </row>
    <row r="64" spans="1:14">
      <c r="G64" s="31"/>
      <c r="H64" s="31"/>
      <c r="I64" s="31"/>
    </row>
    <row r="75" spans="18:18">
      <c r="R75" s="31"/>
    </row>
  </sheetData>
  <conditionalFormatting sqref="B12:B60">
    <cfRule type="cellIs" dxfId="0" priority="1" stopIfTrue="1" operator="equal">
      <formula>0</formula>
    </cfRule>
  </conditionalFormatting>
  <pageMargins left="0.27" right="0.25" top="0.42" bottom="0.42" header="0.3" footer="0.3"/>
  <pageSetup scale="6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74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G175" sqref="G175"/>
    </sheetView>
  </sheetViews>
  <sheetFormatPr defaultRowHeight="14.5"/>
  <cols>
    <col min="1" max="1" width="16.26953125" style="43" customWidth="1"/>
    <col min="2" max="2" width="9.1796875" style="43" customWidth="1"/>
    <col min="3" max="3" width="14.1796875" style="43" customWidth="1"/>
    <col min="4" max="6" width="14.453125" style="43" customWidth="1"/>
    <col min="7" max="9" width="14.26953125" style="43" customWidth="1"/>
    <col min="10" max="14" width="14.453125" style="43" customWidth="1"/>
    <col min="15" max="15" width="1.7265625" customWidth="1"/>
    <col min="16" max="19" width="14.81640625" customWidth="1"/>
  </cols>
  <sheetData>
    <row r="1" spans="1:19">
      <c r="A1" s="43" t="s">
        <v>40</v>
      </c>
      <c r="N1" s="72"/>
    </row>
    <row r="2" spans="1:19">
      <c r="A2" s="43" t="s">
        <v>41</v>
      </c>
    </row>
    <row r="3" spans="1:19" ht="15" thickBo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9" ht="15.75" customHeight="1" thickBot="1">
      <c r="A4" s="45" t="s">
        <v>42</v>
      </c>
      <c r="B4" s="117" t="s">
        <v>43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9" ht="15.75" customHeight="1" thickBot="1">
      <c r="A5" s="46" t="s">
        <v>44</v>
      </c>
      <c r="B5" s="119" t="s">
        <v>62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7" spans="1:19" ht="15" thickBo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9" ht="15" thickBot="1">
      <c r="A8" s="44"/>
      <c r="B8" s="44"/>
      <c r="C8" s="121" t="s">
        <v>45</v>
      </c>
      <c r="D8" s="122"/>
      <c r="E8" s="122"/>
      <c r="F8" s="123"/>
      <c r="G8" s="121" t="s">
        <v>45</v>
      </c>
      <c r="H8" s="122"/>
      <c r="I8" s="122"/>
      <c r="J8" s="123"/>
      <c r="K8" s="121" t="s">
        <v>45</v>
      </c>
      <c r="L8" s="122"/>
      <c r="M8" s="122"/>
      <c r="N8" s="123"/>
      <c r="P8" s="127" t="s">
        <v>60</v>
      </c>
      <c r="Q8" s="128"/>
      <c r="R8" s="128"/>
      <c r="S8" s="129"/>
    </row>
    <row r="9" spans="1:19" ht="15" thickBot="1">
      <c r="A9" s="47"/>
      <c r="B9" s="47"/>
      <c r="C9" s="124" t="s">
        <v>46</v>
      </c>
      <c r="D9" s="125"/>
      <c r="E9" s="125"/>
      <c r="F9" s="126"/>
      <c r="G9" s="124" t="s">
        <v>47</v>
      </c>
      <c r="H9" s="125"/>
      <c r="I9" s="125"/>
      <c r="J9" s="126"/>
      <c r="K9" s="124" t="s">
        <v>68</v>
      </c>
      <c r="L9" s="125"/>
      <c r="M9" s="125"/>
      <c r="N9" s="126"/>
      <c r="P9" s="127" t="s">
        <v>61</v>
      </c>
      <c r="Q9" s="128"/>
      <c r="R9" s="128"/>
      <c r="S9" s="129"/>
    </row>
    <row r="10" spans="1:19" ht="15" thickBot="1">
      <c r="A10" s="48" t="s">
        <v>48</v>
      </c>
      <c r="B10" s="50" t="s">
        <v>49</v>
      </c>
      <c r="C10" s="49">
        <v>4040001</v>
      </c>
      <c r="D10" s="49">
        <v>4040001</v>
      </c>
      <c r="E10" s="49">
        <v>4040001</v>
      </c>
      <c r="F10" s="49">
        <v>1823538</v>
      </c>
      <c r="G10" s="49">
        <v>4040001</v>
      </c>
      <c r="H10" s="49">
        <v>4040001</v>
      </c>
      <c r="I10" s="49">
        <v>4040001</v>
      </c>
      <c r="J10" s="49">
        <v>1823538</v>
      </c>
      <c r="K10" s="49">
        <v>4040001</v>
      </c>
      <c r="L10" s="49">
        <v>4040001</v>
      </c>
      <c r="M10" s="49">
        <v>4040001</v>
      </c>
      <c r="N10" s="49">
        <v>1823538</v>
      </c>
    </row>
    <row r="11" spans="1:19" ht="15" thickBot="1">
      <c r="A11" s="50" t="s">
        <v>50</v>
      </c>
      <c r="B11" s="50"/>
      <c r="C11" s="45">
        <v>110</v>
      </c>
      <c r="D11" s="45">
        <v>117</v>
      </c>
      <c r="E11" s="45">
        <v>180</v>
      </c>
      <c r="F11" s="45" t="s">
        <v>4</v>
      </c>
      <c r="G11" s="45">
        <v>110</v>
      </c>
      <c r="H11" s="45">
        <v>117</v>
      </c>
      <c r="I11" s="45">
        <v>180</v>
      </c>
      <c r="J11" s="45" t="s">
        <v>4</v>
      </c>
      <c r="K11" s="45">
        <v>110</v>
      </c>
      <c r="L11" s="45">
        <v>117</v>
      </c>
      <c r="M11" s="45">
        <v>180</v>
      </c>
      <c r="N11" s="45" t="s">
        <v>4</v>
      </c>
      <c r="P11" s="45">
        <v>110</v>
      </c>
      <c r="Q11" s="45">
        <v>117</v>
      </c>
      <c r="R11" s="45">
        <v>180</v>
      </c>
      <c r="S11" s="73" t="s">
        <v>4</v>
      </c>
    </row>
    <row r="12" spans="1:19">
      <c r="A12" s="51">
        <v>2018</v>
      </c>
      <c r="B12" s="94">
        <v>1</v>
      </c>
      <c r="C12" s="85">
        <v>104.39</v>
      </c>
      <c r="D12" s="52">
        <v>211.78677419354838</v>
      </c>
      <c r="E12" s="52">
        <v>59.598709677419357</v>
      </c>
      <c r="F12" s="53">
        <f>-SUM(C12:E12)</f>
        <v>-375.77548387096778</v>
      </c>
      <c r="G12" s="54"/>
      <c r="H12" s="55"/>
      <c r="I12" s="55"/>
      <c r="J12" s="56"/>
      <c r="K12" s="61"/>
      <c r="L12" s="44"/>
      <c r="M12" s="44"/>
      <c r="N12" s="60"/>
    </row>
    <row r="13" spans="1:19">
      <c r="A13" s="57"/>
      <c r="B13" s="81">
        <v>2</v>
      </c>
      <c r="C13" s="85">
        <v>248.93</v>
      </c>
      <c r="D13" s="52">
        <v>505.03</v>
      </c>
      <c r="E13" s="52">
        <v>142.12</v>
      </c>
      <c r="F13" s="58">
        <f>-SUM(C13:E13)</f>
        <v>-896.08</v>
      </c>
      <c r="G13" s="59"/>
      <c r="H13" s="44"/>
      <c r="I13" s="44"/>
      <c r="J13" s="60"/>
      <c r="K13" s="61"/>
      <c r="L13" s="44"/>
      <c r="M13" s="44"/>
      <c r="N13" s="60"/>
    </row>
    <row r="14" spans="1:19">
      <c r="A14" s="57"/>
      <c r="B14" s="81">
        <v>3</v>
      </c>
      <c r="C14" s="85">
        <v>248.93</v>
      </c>
      <c r="D14" s="52">
        <v>505.03</v>
      </c>
      <c r="E14" s="52">
        <v>142.12</v>
      </c>
      <c r="F14" s="58">
        <f t="shared" ref="F14:F23" si="0">-SUM(C14:E14)</f>
        <v>-896.08</v>
      </c>
      <c r="G14" s="59"/>
      <c r="H14" s="44"/>
      <c r="I14" s="44"/>
      <c r="J14" s="60"/>
      <c r="K14" s="61"/>
      <c r="L14" s="44"/>
      <c r="M14" s="44"/>
      <c r="N14" s="60"/>
    </row>
    <row r="15" spans="1:19">
      <c r="A15" s="57"/>
      <c r="B15" s="81">
        <v>4</v>
      </c>
      <c r="C15" s="85">
        <v>248.93</v>
      </c>
      <c r="D15" s="52">
        <v>505.03</v>
      </c>
      <c r="E15" s="52">
        <v>142.12</v>
      </c>
      <c r="F15" s="58">
        <f t="shared" si="0"/>
        <v>-896.08</v>
      </c>
      <c r="G15" s="59"/>
      <c r="H15" s="44"/>
      <c r="I15" s="44"/>
      <c r="J15" s="60"/>
      <c r="K15" s="61"/>
      <c r="L15" s="44"/>
      <c r="M15" s="44"/>
      <c r="N15" s="60"/>
    </row>
    <row r="16" spans="1:19">
      <c r="A16" s="57"/>
      <c r="B16" s="81">
        <v>5</v>
      </c>
      <c r="C16" s="85">
        <v>248.93</v>
      </c>
      <c r="D16" s="52">
        <v>505.03</v>
      </c>
      <c r="E16" s="52">
        <v>142.12</v>
      </c>
      <c r="F16" s="58">
        <f t="shared" si="0"/>
        <v>-896.08</v>
      </c>
      <c r="G16" s="59"/>
      <c r="H16" s="44"/>
      <c r="I16" s="44"/>
      <c r="J16" s="60"/>
      <c r="K16" s="61"/>
      <c r="L16" s="44"/>
      <c r="M16" s="44"/>
      <c r="N16" s="60"/>
    </row>
    <row r="17" spans="1:14">
      <c r="A17" s="57"/>
      <c r="B17" s="81">
        <v>6</v>
      </c>
      <c r="C17" s="85">
        <v>248.93</v>
      </c>
      <c r="D17" s="52">
        <v>505.03</v>
      </c>
      <c r="E17" s="52">
        <v>142.12</v>
      </c>
      <c r="F17" s="58">
        <f t="shared" si="0"/>
        <v>-896.08</v>
      </c>
      <c r="G17" s="59"/>
      <c r="H17" s="44"/>
      <c r="I17" s="44"/>
      <c r="J17" s="60"/>
      <c r="K17" s="61"/>
      <c r="L17" s="44"/>
      <c r="M17" s="44"/>
      <c r="N17" s="60"/>
    </row>
    <row r="18" spans="1:14">
      <c r="A18" s="57"/>
      <c r="B18" s="81">
        <v>7</v>
      </c>
      <c r="C18" s="85">
        <v>248.93</v>
      </c>
      <c r="D18" s="52">
        <v>505.03</v>
      </c>
      <c r="E18" s="52">
        <v>142.12</v>
      </c>
      <c r="F18" s="58">
        <f t="shared" si="0"/>
        <v>-896.08</v>
      </c>
      <c r="G18" s="59"/>
      <c r="H18" s="44"/>
      <c r="I18" s="44"/>
      <c r="J18" s="60"/>
      <c r="K18" s="61"/>
      <c r="L18" s="44"/>
      <c r="M18" s="44"/>
      <c r="N18" s="60"/>
    </row>
    <row r="19" spans="1:14">
      <c r="A19" s="57"/>
      <c r="B19" s="81">
        <v>8</v>
      </c>
      <c r="C19" s="85">
        <v>248.93</v>
      </c>
      <c r="D19" s="52">
        <v>505.03</v>
      </c>
      <c r="E19" s="52">
        <v>142.12</v>
      </c>
      <c r="F19" s="58">
        <f t="shared" si="0"/>
        <v>-896.08</v>
      </c>
      <c r="G19" s="59"/>
      <c r="H19" s="44"/>
      <c r="I19" s="44"/>
      <c r="J19" s="60"/>
      <c r="K19" s="61"/>
      <c r="L19" s="44"/>
      <c r="M19" s="44"/>
      <c r="N19" s="60"/>
    </row>
    <row r="20" spans="1:14">
      <c r="A20" s="57"/>
      <c r="B20" s="81">
        <v>9</v>
      </c>
      <c r="C20" s="85">
        <v>248.93</v>
      </c>
      <c r="D20" s="52">
        <v>505.03</v>
      </c>
      <c r="E20" s="52">
        <v>142.12</v>
      </c>
      <c r="F20" s="58">
        <f t="shared" si="0"/>
        <v>-896.08</v>
      </c>
      <c r="G20" s="61"/>
      <c r="H20" s="44"/>
      <c r="I20" s="44"/>
      <c r="J20" s="60"/>
      <c r="K20" s="61"/>
      <c r="L20" s="44"/>
      <c r="M20" s="44"/>
      <c r="N20" s="60"/>
    </row>
    <row r="21" spans="1:14">
      <c r="A21" s="57"/>
      <c r="B21" s="81">
        <v>10</v>
      </c>
      <c r="C21" s="85">
        <v>248.93</v>
      </c>
      <c r="D21" s="52">
        <v>505.03</v>
      </c>
      <c r="E21" s="52">
        <v>142.12</v>
      </c>
      <c r="F21" s="58">
        <f t="shared" si="0"/>
        <v>-896.08</v>
      </c>
      <c r="G21" s="61"/>
      <c r="H21" s="44"/>
      <c r="I21" s="44"/>
      <c r="J21" s="60"/>
      <c r="K21" s="61"/>
      <c r="L21" s="44"/>
      <c r="M21" s="44"/>
      <c r="N21" s="60"/>
    </row>
    <row r="22" spans="1:14">
      <c r="A22" s="57"/>
      <c r="B22" s="81">
        <v>11</v>
      </c>
      <c r="C22" s="85">
        <v>248.93</v>
      </c>
      <c r="D22" s="52">
        <v>505.03</v>
      </c>
      <c r="E22" s="52">
        <v>142.12</v>
      </c>
      <c r="F22" s="58">
        <f t="shared" si="0"/>
        <v>-896.08</v>
      </c>
      <c r="G22" s="61"/>
      <c r="H22" s="44"/>
      <c r="I22" s="44"/>
      <c r="J22" s="60"/>
      <c r="K22" s="61"/>
      <c r="L22" s="44"/>
      <c r="M22" s="44"/>
      <c r="N22" s="60"/>
    </row>
    <row r="23" spans="1:14">
      <c r="A23" s="57"/>
      <c r="B23" s="81">
        <v>12</v>
      </c>
      <c r="C23" s="85">
        <v>248.93</v>
      </c>
      <c r="D23" s="52">
        <v>505.03</v>
      </c>
      <c r="E23" s="52">
        <v>142.12</v>
      </c>
      <c r="F23" s="58">
        <f t="shared" si="0"/>
        <v>-896.08</v>
      </c>
      <c r="G23" s="61"/>
      <c r="H23" s="44"/>
      <c r="I23" s="44"/>
      <c r="J23" s="60"/>
      <c r="K23" s="61"/>
      <c r="L23" s="44"/>
      <c r="M23" s="44"/>
      <c r="N23" s="60"/>
    </row>
    <row r="24" spans="1:14" ht="15" thickBot="1">
      <c r="A24" s="57" t="s">
        <v>51</v>
      </c>
      <c r="B24" s="81"/>
      <c r="C24" s="62"/>
      <c r="D24" s="63"/>
      <c r="E24" s="63"/>
      <c r="F24" s="64">
        <f>SUM(F12:F23)</f>
        <v>-10232.655483870967</v>
      </c>
      <c r="G24" s="61"/>
      <c r="H24" s="44"/>
      <c r="I24" s="44"/>
      <c r="J24" s="60"/>
      <c r="K24" s="61"/>
      <c r="L24" s="44"/>
      <c r="M24" s="44"/>
      <c r="N24" s="60"/>
    </row>
    <row r="25" spans="1:14" ht="15" thickTop="1">
      <c r="A25" s="57">
        <v>2019</v>
      </c>
      <c r="B25" s="81">
        <v>1</v>
      </c>
      <c r="C25" s="85">
        <v>248.93</v>
      </c>
      <c r="D25" s="52">
        <v>505.03</v>
      </c>
      <c r="E25" s="52">
        <v>142.12</v>
      </c>
      <c r="F25" s="58">
        <f t="shared" ref="F25:F36" si="1">-SUM(C25:E25)</f>
        <v>-896.08</v>
      </c>
      <c r="G25" s="59"/>
      <c r="H25" s="44"/>
      <c r="I25" s="44"/>
      <c r="J25" s="60"/>
      <c r="K25" s="61"/>
      <c r="L25" s="44"/>
      <c r="M25" s="44"/>
      <c r="N25" s="60"/>
    </row>
    <row r="26" spans="1:14">
      <c r="A26" s="57"/>
      <c r="B26" s="81">
        <v>2</v>
      </c>
      <c r="C26" s="85">
        <v>248.93</v>
      </c>
      <c r="D26" s="52">
        <v>505.03</v>
      </c>
      <c r="E26" s="52">
        <v>142.12</v>
      </c>
      <c r="F26" s="58">
        <f t="shared" si="1"/>
        <v>-896.08</v>
      </c>
      <c r="G26" s="59"/>
      <c r="H26" s="44"/>
      <c r="I26" s="44"/>
      <c r="J26" s="60"/>
      <c r="K26" s="61"/>
      <c r="L26" s="44"/>
      <c r="M26" s="44"/>
      <c r="N26" s="60"/>
    </row>
    <row r="27" spans="1:14">
      <c r="A27" s="57"/>
      <c r="B27" s="81">
        <v>3</v>
      </c>
      <c r="C27" s="85">
        <v>248.93</v>
      </c>
      <c r="D27" s="52">
        <v>505.03</v>
      </c>
      <c r="E27" s="52">
        <v>142.12</v>
      </c>
      <c r="F27" s="58">
        <f t="shared" si="1"/>
        <v>-896.08</v>
      </c>
      <c r="G27" s="59"/>
      <c r="H27" s="44"/>
      <c r="I27" s="44"/>
      <c r="J27" s="60"/>
      <c r="K27" s="61"/>
      <c r="L27" s="44"/>
      <c r="M27" s="44"/>
      <c r="N27" s="60"/>
    </row>
    <row r="28" spans="1:14">
      <c r="A28" s="57"/>
      <c r="B28" s="81">
        <v>4</v>
      </c>
      <c r="C28" s="85">
        <v>248.93</v>
      </c>
      <c r="D28" s="52">
        <v>505.03</v>
      </c>
      <c r="E28" s="52">
        <v>142.12</v>
      </c>
      <c r="F28" s="58">
        <f t="shared" si="1"/>
        <v>-896.08</v>
      </c>
      <c r="G28" s="59"/>
      <c r="H28" s="44"/>
      <c r="I28" s="44"/>
      <c r="J28" s="60"/>
      <c r="K28" s="61"/>
      <c r="L28" s="44"/>
      <c r="M28" s="44"/>
      <c r="N28" s="60"/>
    </row>
    <row r="29" spans="1:14">
      <c r="A29" s="57"/>
      <c r="B29" s="81">
        <v>5</v>
      </c>
      <c r="C29" s="85">
        <v>248.93</v>
      </c>
      <c r="D29" s="52">
        <v>505.03</v>
      </c>
      <c r="E29" s="52">
        <v>142.12</v>
      </c>
      <c r="F29" s="58">
        <f t="shared" si="1"/>
        <v>-896.08</v>
      </c>
      <c r="G29" s="59"/>
      <c r="H29" s="44"/>
      <c r="I29" s="44"/>
      <c r="J29" s="60"/>
      <c r="K29" s="61"/>
      <c r="L29" s="44"/>
      <c r="M29" s="44"/>
      <c r="N29" s="60"/>
    </row>
    <row r="30" spans="1:14">
      <c r="A30" s="57"/>
      <c r="B30" s="81">
        <v>6</v>
      </c>
      <c r="C30" s="85">
        <v>248.93</v>
      </c>
      <c r="D30" s="52">
        <v>505.03</v>
      </c>
      <c r="E30" s="52">
        <v>142.12</v>
      </c>
      <c r="F30" s="58">
        <f t="shared" si="1"/>
        <v>-896.08</v>
      </c>
      <c r="G30" s="59"/>
      <c r="H30" s="44"/>
      <c r="I30" s="44"/>
      <c r="J30" s="60"/>
      <c r="K30" s="61"/>
      <c r="L30" s="44"/>
      <c r="M30" s="44"/>
      <c r="N30" s="60"/>
    </row>
    <row r="31" spans="1:14">
      <c r="A31" s="57"/>
      <c r="B31" s="81">
        <v>7</v>
      </c>
      <c r="C31" s="85">
        <v>248.93</v>
      </c>
      <c r="D31" s="52">
        <v>505.03</v>
      </c>
      <c r="E31" s="52">
        <v>142.12</v>
      </c>
      <c r="F31" s="58">
        <f t="shared" si="1"/>
        <v>-896.08</v>
      </c>
      <c r="G31" s="59"/>
      <c r="H31" s="44"/>
      <c r="I31" s="44"/>
      <c r="J31" s="60"/>
      <c r="K31" s="61"/>
      <c r="L31" s="44"/>
      <c r="M31" s="44"/>
      <c r="N31" s="60"/>
    </row>
    <row r="32" spans="1:14">
      <c r="A32" s="57"/>
      <c r="B32" s="81">
        <v>8</v>
      </c>
      <c r="C32" s="85">
        <v>248.93</v>
      </c>
      <c r="D32" s="52">
        <v>505.03</v>
      </c>
      <c r="E32" s="52">
        <v>142.12</v>
      </c>
      <c r="F32" s="58">
        <f t="shared" si="1"/>
        <v>-896.08</v>
      </c>
      <c r="G32" s="59"/>
      <c r="H32" s="44"/>
      <c r="I32" s="44"/>
      <c r="J32" s="60"/>
      <c r="K32" s="61"/>
      <c r="L32" s="44"/>
      <c r="M32" s="44"/>
      <c r="N32" s="60"/>
    </row>
    <row r="33" spans="1:14">
      <c r="A33" s="57"/>
      <c r="B33" s="81">
        <v>9</v>
      </c>
      <c r="C33" s="85">
        <v>248.93</v>
      </c>
      <c r="D33" s="52">
        <v>505.03</v>
      </c>
      <c r="E33" s="52">
        <v>142.12</v>
      </c>
      <c r="F33" s="58">
        <f t="shared" si="1"/>
        <v>-896.08</v>
      </c>
      <c r="G33" s="59"/>
      <c r="H33" s="44"/>
      <c r="I33" s="44"/>
      <c r="J33" s="60"/>
      <c r="K33" s="61"/>
      <c r="L33" s="44"/>
      <c r="M33" s="44"/>
      <c r="N33" s="60"/>
    </row>
    <row r="34" spans="1:14">
      <c r="A34" s="57"/>
      <c r="B34" s="81">
        <v>10</v>
      </c>
      <c r="C34" s="85">
        <v>248.93</v>
      </c>
      <c r="D34" s="52">
        <v>505.03</v>
      </c>
      <c r="E34" s="52">
        <v>142.12</v>
      </c>
      <c r="F34" s="58">
        <f t="shared" si="1"/>
        <v>-896.08</v>
      </c>
      <c r="G34" s="59"/>
      <c r="H34" s="44"/>
      <c r="I34" s="44"/>
      <c r="J34" s="60"/>
      <c r="K34" s="61"/>
      <c r="L34" s="44"/>
      <c r="M34" s="44"/>
      <c r="N34" s="60"/>
    </row>
    <row r="35" spans="1:14">
      <c r="A35" s="57"/>
      <c r="B35" s="81">
        <v>11</v>
      </c>
      <c r="C35" s="85">
        <v>248.93</v>
      </c>
      <c r="D35" s="52">
        <v>505.03</v>
      </c>
      <c r="E35" s="52">
        <v>142.12</v>
      </c>
      <c r="F35" s="58">
        <f t="shared" si="1"/>
        <v>-896.08</v>
      </c>
      <c r="G35" s="59"/>
      <c r="H35" s="44"/>
      <c r="I35" s="44"/>
      <c r="J35" s="60"/>
      <c r="K35" s="61"/>
      <c r="L35" s="44"/>
      <c r="M35" s="44"/>
      <c r="N35" s="60"/>
    </row>
    <row r="36" spans="1:14">
      <c r="A36" s="57"/>
      <c r="B36" s="81">
        <v>12</v>
      </c>
      <c r="C36" s="85">
        <v>248.93</v>
      </c>
      <c r="D36" s="52">
        <v>505.03</v>
      </c>
      <c r="E36" s="52">
        <v>142.12</v>
      </c>
      <c r="F36" s="58">
        <f t="shared" si="1"/>
        <v>-896.08</v>
      </c>
      <c r="G36" s="61"/>
      <c r="H36" s="44"/>
      <c r="I36" s="44"/>
      <c r="J36" s="60"/>
      <c r="K36" s="61"/>
      <c r="L36" s="44"/>
      <c r="M36" s="44"/>
      <c r="N36" s="60"/>
    </row>
    <row r="37" spans="1:14" ht="15" thickBot="1">
      <c r="A37" s="57" t="s">
        <v>52</v>
      </c>
      <c r="B37" s="81"/>
      <c r="C37" s="62"/>
      <c r="D37" s="63"/>
      <c r="E37" s="63"/>
      <c r="F37" s="64">
        <f>SUM(F25:F36)</f>
        <v>-10752.960000000001</v>
      </c>
      <c r="G37" s="61"/>
      <c r="H37" s="44"/>
      <c r="I37" s="44"/>
      <c r="J37" s="60"/>
      <c r="K37" s="61"/>
      <c r="L37" s="44"/>
      <c r="M37" s="44"/>
      <c r="N37" s="60"/>
    </row>
    <row r="38" spans="1:14" ht="15" thickTop="1">
      <c r="A38" s="57">
        <v>2020</v>
      </c>
      <c r="B38" s="81">
        <v>1</v>
      </c>
      <c r="C38" s="85">
        <v>248.93</v>
      </c>
      <c r="D38" s="52">
        <v>505.03</v>
      </c>
      <c r="E38" s="52">
        <v>142.12</v>
      </c>
      <c r="F38" s="58">
        <f t="shared" ref="F38:F77" si="2">-SUM(C38:E38)</f>
        <v>-896.08</v>
      </c>
      <c r="G38" s="59"/>
      <c r="H38" s="44"/>
      <c r="I38" s="44"/>
      <c r="J38" s="60"/>
      <c r="K38" s="61"/>
      <c r="L38" s="44"/>
      <c r="M38" s="44"/>
      <c r="N38" s="60"/>
    </row>
    <row r="39" spans="1:14">
      <c r="A39" s="57"/>
      <c r="B39" s="81">
        <v>2</v>
      </c>
      <c r="C39" s="85">
        <v>248.93</v>
      </c>
      <c r="D39" s="52">
        <v>505.03</v>
      </c>
      <c r="E39" s="52">
        <v>142.12</v>
      </c>
      <c r="F39" s="58">
        <f t="shared" si="2"/>
        <v>-896.08</v>
      </c>
      <c r="G39" s="59"/>
      <c r="H39" s="44"/>
      <c r="I39" s="44"/>
      <c r="J39" s="60"/>
      <c r="K39" s="61"/>
      <c r="L39" s="44"/>
      <c r="M39" s="44"/>
      <c r="N39" s="60"/>
    </row>
    <row r="40" spans="1:14">
      <c r="A40" s="57"/>
      <c r="B40" s="81">
        <v>3</v>
      </c>
      <c r="C40" s="85">
        <v>248.93</v>
      </c>
      <c r="D40" s="52">
        <v>505.03</v>
      </c>
      <c r="E40" s="52">
        <v>142.12</v>
      </c>
      <c r="F40" s="58">
        <f t="shared" si="2"/>
        <v>-896.08</v>
      </c>
      <c r="G40" s="59"/>
      <c r="H40" s="44"/>
      <c r="I40" s="44"/>
      <c r="J40" s="60"/>
      <c r="K40" s="61"/>
      <c r="L40" s="44"/>
      <c r="M40" s="44"/>
      <c r="N40" s="60"/>
    </row>
    <row r="41" spans="1:14">
      <c r="A41" s="57"/>
      <c r="B41" s="81">
        <v>4</v>
      </c>
      <c r="C41" s="85">
        <v>248.93</v>
      </c>
      <c r="D41" s="52">
        <v>505.03</v>
      </c>
      <c r="E41" s="52">
        <v>142.12</v>
      </c>
      <c r="F41" s="58">
        <f t="shared" si="2"/>
        <v>-896.08</v>
      </c>
      <c r="G41" s="59"/>
      <c r="H41" s="44"/>
      <c r="I41" s="44"/>
      <c r="J41" s="60"/>
      <c r="K41" s="61"/>
      <c r="L41" s="44"/>
      <c r="M41" s="44"/>
      <c r="N41" s="60"/>
    </row>
    <row r="42" spans="1:14">
      <c r="A42" s="57"/>
      <c r="B42" s="81">
        <v>5</v>
      </c>
      <c r="C42" s="85">
        <v>248.93</v>
      </c>
      <c r="D42" s="52">
        <v>505.03</v>
      </c>
      <c r="E42" s="52">
        <v>142.12</v>
      </c>
      <c r="F42" s="58">
        <f t="shared" si="2"/>
        <v>-896.08</v>
      </c>
      <c r="G42" s="59"/>
      <c r="H42" s="44"/>
      <c r="I42" s="44"/>
      <c r="J42" s="60"/>
      <c r="K42" s="61"/>
      <c r="L42" s="44"/>
      <c r="M42" s="44"/>
      <c r="N42" s="60"/>
    </row>
    <row r="43" spans="1:14">
      <c r="A43" s="57"/>
      <c r="B43" s="81">
        <v>6</v>
      </c>
      <c r="C43" s="85">
        <v>248.93</v>
      </c>
      <c r="D43" s="52">
        <v>505.03</v>
      </c>
      <c r="E43" s="52">
        <v>142.12</v>
      </c>
      <c r="F43" s="58">
        <f t="shared" si="2"/>
        <v>-896.08</v>
      </c>
      <c r="G43" s="59"/>
      <c r="H43" s="44"/>
      <c r="I43" s="44"/>
      <c r="J43" s="60"/>
      <c r="K43" s="61"/>
      <c r="L43" s="44"/>
      <c r="M43" s="44"/>
      <c r="N43" s="60"/>
    </row>
    <row r="44" spans="1:14">
      <c r="A44" s="57"/>
      <c r="B44" s="81">
        <v>7</v>
      </c>
      <c r="C44" s="85">
        <v>248.93</v>
      </c>
      <c r="D44" s="52">
        <v>505.03</v>
      </c>
      <c r="E44" s="52">
        <v>142.12</v>
      </c>
      <c r="F44" s="58">
        <f t="shared" si="2"/>
        <v>-896.08</v>
      </c>
      <c r="G44" s="59"/>
      <c r="H44" s="44"/>
      <c r="I44" s="44"/>
      <c r="J44" s="60"/>
      <c r="K44" s="61"/>
      <c r="L44" s="44"/>
      <c r="M44" s="44"/>
      <c r="N44" s="60"/>
    </row>
    <row r="45" spans="1:14">
      <c r="A45" s="57"/>
      <c r="B45" s="81">
        <v>8</v>
      </c>
      <c r="C45" s="85">
        <v>248.93</v>
      </c>
      <c r="D45" s="52">
        <v>505.03</v>
      </c>
      <c r="E45" s="52">
        <v>142.12</v>
      </c>
      <c r="F45" s="58">
        <f t="shared" si="2"/>
        <v>-896.08</v>
      </c>
      <c r="G45" s="59"/>
      <c r="H45" s="44"/>
      <c r="I45" s="44"/>
      <c r="J45" s="60"/>
      <c r="K45" s="61"/>
      <c r="L45" s="44"/>
      <c r="M45" s="44"/>
      <c r="N45" s="60"/>
    </row>
    <row r="46" spans="1:14">
      <c r="A46" s="57"/>
      <c r="B46" s="81">
        <v>9</v>
      </c>
      <c r="C46" s="85">
        <v>248.93</v>
      </c>
      <c r="D46" s="52">
        <v>505.03</v>
      </c>
      <c r="E46" s="52">
        <v>142.12</v>
      </c>
      <c r="F46" s="58">
        <f t="shared" si="2"/>
        <v>-896.08</v>
      </c>
      <c r="G46" s="59"/>
      <c r="H46" s="44"/>
      <c r="I46" s="44"/>
      <c r="J46" s="60"/>
      <c r="K46" s="61"/>
      <c r="L46" s="44"/>
      <c r="M46" s="44"/>
      <c r="N46" s="60"/>
    </row>
    <row r="47" spans="1:14">
      <c r="A47" s="57"/>
      <c r="B47" s="81">
        <v>10</v>
      </c>
      <c r="C47" s="85">
        <v>248.93</v>
      </c>
      <c r="D47" s="52">
        <v>505.03</v>
      </c>
      <c r="E47" s="52">
        <v>142.12</v>
      </c>
      <c r="F47" s="58">
        <f t="shared" si="2"/>
        <v>-896.08</v>
      </c>
      <c r="G47" s="59"/>
      <c r="H47" s="44"/>
      <c r="I47" s="44"/>
      <c r="J47" s="60"/>
      <c r="K47" s="61"/>
      <c r="L47" s="44"/>
      <c r="M47" s="44"/>
      <c r="N47" s="60"/>
    </row>
    <row r="48" spans="1:14">
      <c r="A48" s="57"/>
      <c r="B48" s="81">
        <v>11</v>
      </c>
      <c r="C48" s="85">
        <v>248.93</v>
      </c>
      <c r="D48" s="52">
        <v>505.03</v>
      </c>
      <c r="E48" s="52">
        <v>142.12</v>
      </c>
      <c r="F48" s="58">
        <f t="shared" si="2"/>
        <v>-896.08</v>
      </c>
      <c r="G48" s="59"/>
      <c r="H48" s="44"/>
      <c r="I48" s="44"/>
      <c r="J48" s="60"/>
      <c r="K48" s="61"/>
      <c r="L48" s="44"/>
      <c r="M48" s="44"/>
      <c r="N48" s="60"/>
    </row>
    <row r="49" spans="1:20" ht="15" thickBot="1">
      <c r="A49" s="57"/>
      <c r="B49" s="81">
        <v>12</v>
      </c>
      <c r="C49" s="85">
        <v>248.93</v>
      </c>
      <c r="D49" s="52">
        <v>505.03</v>
      </c>
      <c r="E49" s="52">
        <v>142.12</v>
      </c>
      <c r="F49" s="58">
        <f t="shared" si="2"/>
        <v>-896.08</v>
      </c>
      <c r="G49" s="61"/>
      <c r="H49" s="44"/>
      <c r="I49" s="44"/>
      <c r="J49" s="60"/>
      <c r="K49" s="61"/>
      <c r="L49" s="44"/>
      <c r="M49" s="44"/>
      <c r="N49" s="60"/>
    </row>
    <row r="50" spans="1:20" ht="15" thickBot="1">
      <c r="A50" s="57" t="s">
        <v>53</v>
      </c>
      <c r="B50" s="81"/>
      <c r="C50" s="62"/>
      <c r="D50" s="63"/>
      <c r="E50" s="63"/>
      <c r="F50" s="64">
        <f>SUM(F38:F49)</f>
        <v>-10752.960000000001</v>
      </c>
      <c r="G50" s="61"/>
      <c r="H50" s="44"/>
      <c r="I50" s="44"/>
      <c r="J50" s="60"/>
      <c r="K50" s="61"/>
      <c r="L50" s="44"/>
      <c r="M50" s="44"/>
      <c r="N50" s="60"/>
      <c r="P50" s="75">
        <v>101884.63</v>
      </c>
      <c r="Q50" s="75">
        <v>184733.72</v>
      </c>
      <c r="R50" s="74">
        <v>51480.770000000004</v>
      </c>
      <c r="S50" s="75">
        <v>338099.12</v>
      </c>
    </row>
    <row r="51" spans="1:20" ht="15" thickTop="1">
      <c r="A51" s="57">
        <v>2021</v>
      </c>
      <c r="B51" s="81">
        <v>1</v>
      </c>
      <c r="C51" s="85">
        <v>248.93</v>
      </c>
      <c r="D51" s="52">
        <v>505.03</v>
      </c>
      <c r="E51" s="52">
        <v>142.12</v>
      </c>
      <c r="F51" s="58">
        <f t="shared" si="2"/>
        <v>-896.08</v>
      </c>
      <c r="G51" s="65">
        <f>G53*(13/31)</f>
        <v>712.09687634408601</v>
      </c>
      <c r="H51" s="66">
        <f>H53*(13/31)</f>
        <v>1291.1496559139787</v>
      </c>
      <c r="I51" s="66">
        <f>I53*(13/31)</f>
        <v>359.81183333333337</v>
      </c>
      <c r="J51" s="67">
        <f>-SUM(G51:I51)</f>
        <v>-2363.0583655913979</v>
      </c>
      <c r="K51" s="65"/>
      <c r="L51" s="66"/>
      <c r="M51" s="66"/>
      <c r="N51" s="67"/>
      <c r="P51" s="41">
        <f>-(G51)</f>
        <v>-712.09687634408601</v>
      </c>
      <c r="Q51" s="41">
        <f>-(H51)</f>
        <v>-1291.1496559139787</v>
      </c>
      <c r="R51" s="41">
        <f>-(I51)</f>
        <v>-359.81183333333337</v>
      </c>
      <c r="S51" s="41">
        <f>(J51)</f>
        <v>-2363.0583655913979</v>
      </c>
      <c r="T51" s="41"/>
    </row>
    <row r="52" spans="1:20">
      <c r="A52" s="57"/>
      <c r="B52" s="81">
        <v>2</v>
      </c>
      <c r="C52" s="85">
        <v>248.93</v>
      </c>
      <c r="D52" s="52">
        <v>505.03</v>
      </c>
      <c r="E52" s="52">
        <v>142.12</v>
      </c>
      <c r="F52" s="58">
        <f t="shared" si="2"/>
        <v>-896.08</v>
      </c>
      <c r="G52" s="85">
        <v>1698.0771666666667</v>
      </c>
      <c r="H52" s="52">
        <v>3078.8953333333334</v>
      </c>
      <c r="I52" s="52">
        <v>858.01283333333333</v>
      </c>
      <c r="J52" s="67">
        <f t="shared" ref="J52:J114" si="3">-SUM(G52:I52)</f>
        <v>-5634.9853333333331</v>
      </c>
      <c r="K52" s="65"/>
      <c r="L52" s="66"/>
      <c r="M52" s="66"/>
      <c r="N52" s="67"/>
      <c r="P52" s="41">
        <f t="shared" ref="P52:P62" si="4">P51-G52</f>
        <v>-2410.1740430107529</v>
      </c>
      <c r="Q52" s="41">
        <f t="shared" ref="Q52:Q62" si="5">Q51-H52</f>
        <v>-4370.0449892473116</v>
      </c>
      <c r="R52" s="41">
        <f t="shared" ref="R52:R62" si="6">R51-I52</f>
        <v>-1217.8246666666666</v>
      </c>
      <c r="S52" s="41">
        <f t="shared" ref="S52:S62" si="7">S51+J52</f>
        <v>-7998.043698924731</v>
      </c>
    </row>
    <row r="53" spans="1:20">
      <c r="A53" s="57"/>
      <c r="B53" s="81">
        <v>3</v>
      </c>
      <c r="C53" s="85">
        <v>248.93</v>
      </c>
      <c r="D53" s="52">
        <v>505.03</v>
      </c>
      <c r="E53" s="52">
        <v>142.12</v>
      </c>
      <c r="F53" s="58">
        <f t="shared" si="2"/>
        <v>-896.08</v>
      </c>
      <c r="G53" s="85">
        <v>1698.0771666666667</v>
      </c>
      <c r="H53" s="52">
        <v>3078.8953333333334</v>
      </c>
      <c r="I53" s="52">
        <v>858.01283333333333</v>
      </c>
      <c r="J53" s="67">
        <f t="shared" si="3"/>
        <v>-5634.9853333333331</v>
      </c>
      <c r="K53" s="65"/>
      <c r="L53" s="66"/>
      <c r="M53" s="66"/>
      <c r="N53" s="67"/>
      <c r="P53" s="41">
        <f t="shared" si="4"/>
        <v>-4108.2512096774199</v>
      </c>
      <c r="Q53" s="41">
        <f t="shared" si="5"/>
        <v>-7448.9403225806454</v>
      </c>
      <c r="R53" s="41">
        <f t="shared" si="6"/>
        <v>-2075.8375000000001</v>
      </c>
      <c r="S53" s="41">
        <f t="shared" si="7"/>
        <v>-13633.029032258064</v>
      </c>
    </row>
    <row r="54" spans="1:20">
      <c r="A54" s="57"/>
      <c r="B54" s="81">
        <v>4</v>
      </c>
      <c r="C54" s="85">
        <v>248.93</v>
      </c>
      <c r="D54" s="52">
        <v>505.03</v>
      </c>
      <c r="E54" s="52">
        <v>142.12</v>
      </c>
      <c r="F54" s="58">
        <f t="shared" si="2"/>
        <v>-896.08</v>
      </c>
      <c r="G54" s="85">
        <v>1698.0771666666667</v>
      </c>
      <c r="H54" s="52">
        <v>3078.8953333333334</v>
      </c>
      <c r="I54" s="52">
        <v>858.01283333333333</v>
      </c>
      <c r="J54" s="67">
        <f t="shared" si="3"/>
        <v>-5634.9853333333331</v>
      </c>
      <c r="K54" s="65"/>
      <c r="L54" s="66"/>
      <c r="M54" s="66"/>
      <c r="N54" s="67"/>
      <c r="P54" s="41">
        <f t="shared" si="4"/>
        <v>-5806.3283763440868</v>
      </c>
      <c r="Q54" s="41">
        <f t="shared" si="5"/>
        <v>-10527.835655913979</v>
      </c>
      <c r="R54" s="41">
        <f t="shared" si="6"/>
        <v>-2933.8503333333333</v>
      </c>
      <c r="S54" s="41">
        <f t="shared" si="7"/>
        <v>-19268.014365591396</v>
      </c>
    </row>
    <row r="55" spans="1:20">
      <c r="A55" s="57"/>
      <c r="B55" s="81">
        <v>5</v>
      </c>
      <c r="C55" s="85">
        <v>248.93</v>
      </c>
      <c r="D55" s="52">
        <v>505.03</v>
      </c>
      <c r="E55" s="52">
        <v>142.12</v>
      </c>
      <c r="F55" s="58">
        <f t="shared" si="2"/>
        <v>-896.08</v>
      </c>
      <c r="G55" s="85">
        <v>1698.0771666666667</v>
      </c>
      <c r="H55" s="52">
        <v>3078.8953333333334</v>
      </c>
      <c r="I55" s="52">
        <v>858.01283333333333</v>
      </c>
      <c r="J55" s="67">
        <f t="shared" si="3"/>
        <v>-5634.9853333333331</v>
      </c>
      <c r="K55" s="65"/>
      <c r="L55" s="66"/>
      <c r="M55" s="66"/>
      <c r="N55" s="67"/>
      <c r="P55" s="41">
        <f t="shared" si="4"/>
        <v>-7504.4055430107537</v>
      </c>
      <c r="Q55" s="41">
        <f t="shared" si="5"/>
        <v>-13606.730989247313</v>
      </c>
      <c r="R55" s="41">
        <f t="shared" si="6"/>
        <v>-3791.8631666666665</v>
      </c>
      <c r="S55" s="41">
        <f t="shared" si="7"/>
        <v>-24902.99969892473</v>
      </c>
    </row>
    <row r="56" spans="1:20">
      <c r="A56" s="57"/>
      <c r="B56" s="81">
        <v>6</v>
      </c>
      <c r="C56" s="85">
        <v>248.93</v>
      </c>
      <c r="D56" s="52">
        <v>505.03</v>
      </c>
      <c r="E56" s="52">
        <v>142.12</v>
      </c>
      <c r="F56" s="58">
        <f t="shared" si="2"/>
        <v>-896.08</v>
      </c>
      <c r="G56" s="85">
        <v>1698.0771666666667</v>
      </c>
      <c r="H56" s="52">
        <v>3078.8953333333334</v>
      </c>
      <c r="I56" s="52">
        <v>858.01283333333333</v>
      </c>
      <c r="J56" s="67">
        <f t="shared" si="3"/>
        <v>-5634.9853333333331</v>
      </c>
      <c r="K56" s="65"/>
      <c r="L56" s="66"/>
      <c r="M56" s="66"/>
      <c r="N56" s="67"/>
      <c r="P56" s="41">
        <f t="shared" si="4"/>
        <v>-9202.4827096774206</v>
      </c>
      <c r="Q56" s="41">
        <f t="shared" si="5"/>
        <v>-16685.626322580647</v>
      </c>
      <c r="R56" s="41">
        <f t="shared" si="6"/>
        <v>-4649.8760000000002</v>
      </c>
      <c r="S56" s="41">
        <f t="shared" si="7"/>
        <v>-30537.985032258064</v>
      </c>
    </row>
    <row r="57" spans="1:20">
      <c r="A57" s="57"/>
      <c r="B57" s="81">
        <v>7</v>
      </c>
      <c r="C57" s="85">
        <v>248.93</v>
      </c>
      <c r="D57" s="52">
        <v>505.03</v>
      </c>
      <c r="E57" s="52">
        <v>142.12</v>
      </c>
      <c r="F57" s="58">
        <f t="shared" si="2"/>
        <v>-896.08</v>
      </c>
      <c r="G57" s="85">
        <v>1698.0771666666667</v>
      </c>
      <c r="H57" s="52">
        <v>3078.8953333333334</v>
      </c>
      <c r="I57" s="52">
        <v>858.01283333333333</v>
      </c>
      <c r="J57" s="67">
        <f t="shared" si="3"/>
        <v>-5634.9853333333331</v>
      </c>
      <c r="K57" s="65"/>
      <c r="L57" s="66"/>
      <c r="M57" s="66"/>
      <c r="N57" s="67"/>
      <c r="P57" s="41">
        <f t="shared" si="4"/>
        <v>-10900.559876344087</v>
      </c>
      <c r="Q57" s="41">
        <f t="shared" si="5"/>
        <v>-19764.521655913981</v>
      </c>
      <c r="R57" s="41">
        <f t="shared" si="6"/>
        <v>-5507.8888333333334</v>
      </c>
      <c r="S57" s="41">
        <f t="shared" si="7"/>
        <v>-36172.970365591398</v>
      </c>
    </row>
    <row r="58" spans="1:20">
      <c r="A58" s="57"/>
      <c r="B58" s="81">
        <v>8</v>
      </c>
      <c r="C58" s="85">
        <v>248.93</v>
      </c>
      <c r="D58" s="52">
        <v>505.03</v>
      </c>
      <c r="E58" s="52">
        <v>142.12</v>
      </c>
      <c r="F58" s="58">
        <f t="shared" si="2"/>
        <v>-896.08</v>
      </c>
      <c r="G58" s="85">
        <v>1698.0771666666667</v>
      </c>
      <c r="H58" s="52">
        <v>3078.8953333333334</v>
      </c>
      <c r="I58" s="52">
        <v>858.01283333333333</v>
      </c>
      <c r="J58" s="67">
        <f t="shared" si="3"/>
        <v>-5634.9853333333331</v>
      </c>
      <c r="K58" s="65"/>
      <c r="L58" s="66"/>
      <c r="M58" s="66"/>
      <c r="N58" s="67"/>
      <c r="P58" s="41">
        <f t="shared" si="4"/>
        <v>-12598.637043010753</v>
      </c>
      <c r="Q58" s="41">
        <f t="shared" si="5"/>
        <v>-22843.416989247315</v>
      </c>
      <c r="R58" s="41">
        <f t="shared" si="6"/>
        <v>-6365.9016666666666</v>
      </c>
      <c r="S58" s="41">
        <f t="shared" si="7"/>
        <v>-41807.955698924728</v>
      </c>
    </row>
    <row r="59" spans="1:20">
      <c r="A59" s="57"/>
      <c r="B59" s="81">
        <v>9</v>
      </c>
      <c r="C59" s="85">
        <v>248.93</v>
      </c>
      <c r="D59" s="52">
        <v>505.03</v>
      </c>
      <c r="E59" s="52">
        <v>142.12</v>
      </c>
      <c r="F59" s="58">
        <f t="shared" si="2"/>
        <v>-896.08</v>
      </c>
      <c r="G59" s="85">
        <v>1698.0771666666667</v>
      </c>
      <c r="H59" s="52">
        <v>3078.8953333333334</v>
      </c>
      <c r="I59" s="52">
        <v>858.01283333333333</v>
      </c>
      <c r="J59" s="67">
        <f t="shared" si="3"/>
        <v>-5634.9853333333331</v>
      </c>
      <c r="K59" s="65"/>
      <c r="L59" s="66"/>
      <c r="M59" s="66"/>
      <c r="N59" s="67"/>
      <c r="P59" s="41">
        <f t="shared" si="4"/>
        <v>-14296.714209677419</v>
      </c>
      <c r="Q59" s="41">
        <f t="shared" si="5"/>
        <v>-25922.312322580648</v>
      </c>
      <c r="R59" s="41">
        <f t="shared" si="6"/>
        <v>-7223.9144999999999</v>
      </c>
      <c r="S59" s="41">
        <f t="shared" si="7"/>
        <v>-47442.941032258059</v>
      </c>
    </row>
    <row r="60" spans="1:20">
      <c r="A60" s="57"/>
      <c r="B60" s="81">
        <v>10</v>
      </c>
      <c r="C60" s="85">
        <v>248.93</v>
      </c>
      <c r="D60" s="52">
        <v>505.03</v>
      </c>
      <c r="E60" s="52">
        <v>142.12</v>
      </c>
      <c r="F60" s="58">
        <f t="shared" si="2"/>
        <v>-896.08</v>
      </c>
      <c r="G60" s="85">
        <v>1698.0771666666667</v>
      </c>
      <c r="H60" s="52">
        <v>3078.8953333333334</v>
      </c>
      <c r="I60" s="52">
        <v>858.01283333333333</v>
      </c>
      <c r="J60" s="67">
        <f t="shared" si="3"/>
        <v>-5634.9853333333331</v>
      </c>
      <c r="K60" s="65"/>
      <c r="L60" s="66"/>
      <c r="M60" s="66"/>
      <c r="N60" s="67"/>
      <c r="P60" s="41">
        <f t="shared" si="4"/>
        <v>-15994.791376344085</v>
      </c>
      <c r="Q60" s="41">
        <f t="shared" si="5"/>
        <v>-29001.207655913982</v>
      </c>
      <c r="R60" s="41">
        <f t="shared" si="6"/>
        <v>-8081.9273333333331</v>
      </c>
      <c r="S60" s="41">
        <f t="shared" si="7"/>
        <v>-53077.926365591389</v>
      </c>
    </row>
    <row r="61" spans="1:20">
      <c r="A61" s="57"/>
      <c r="B61" s="81">
        <v>11</v>
      </c>
      <c r="C61" s="85">
        <v>248.93</v>
      </c>
      <c r="D61" s="52">
        <v>505.03</v>
      </c>
      <c r="E61" s="52">
        <v>142.12</v>
      </c>
      <c r="F61" s="58">
        <f t="shared" si="2"/>
        <v>-896.08</v>
      </c>
      <c r="G61" s="85">
        <v>1698.0771666666667</v>
      </c>
      <c r="H61" s="52">
        <v>3078.8953333333334</v>
      </c>
      <c r="I61" s="52">
        <v>858.01283333333333</v>
      </c>
      <c r="J61" s="67">
        <f t="shared" si="3"/>
        <v>-5634.9853333333331</v>
      </c>
      <c r="K61" s="65"/>
      <c r="L61" s="66"/>
      <c r="M61" s="66"/>
      <c r="N61" s="67"/>
      <c r="P61" s="41">
        <f t="shared" si="4"/>
        <v>-17692.868543010751</v>
      </c>
      <c r="Q61" s="41">
        <f t="shared" si="5"/>
        <v>-32080.102989247316</v>
      </c>
      <c r="R61" s="41">
        <f t="shared" si="6"/>
        <v>-8939.9401666666672</v>
      </c>
      <c r="S61" s="41">
        <f t="shared" si="7"/>
        <v>-58712.91169892472</v>
      </c>
    </row>
    <row r="62" spans="1:20">
      <c r="A62" s="57"/>
      <c r="B62" s="81">
        <v>12</v>
      </c>
      <c r="C62" s="85">
        <v>248.93</v>
      </c>
      <c r="D62" s="52">
        <v>505.03</v>
      </c>
      <c r="E62" s="52">
        <v>142.12</v>
      </c>
      <c r="F62" s="58">
        <f t="shared" si="2"/>
        <v>-896.08</v>
      </c>
      <c r="G62" s="85">
        <v>1698.0771666666667</v>
      </c>
      <c r="H62" s="52">
        <v>3078.8953333333334</v>
      </c>
      <c r="I62" s="52">
        <v>858.01283333333333</v>
      </c>
      <c r="J62" s="67">
        <f t="shared" si="3"/>
        <v>-5634.9853333333331</v>
      </c>
      <c r="K62" s="65"/>
      <c r="L62" s="66"/>
      <c r="M62" s="66"/>
      <c r="N62" s="67"/>
      <c r="P62" s="41">
        <f t="shared" si="4"/>
        <v>-19390.945709677417</v>
      </c>
      <c r="Q62" s="41">
        <f t="shared" si="5"/>
        <v>-35158.99832258065</v>
      </c>
      <c r="R62" s="41">
        <f t="shared" si="6"/>
        <v>-9797.9530000000013</v>
      </c>
      <c r="S62" s="41">
        <f t="shared" si="7"/>
        <v>-64347.89703225805</v>
      </c>
    </row>
    <row r="63" spans="1:20" ht="15" thickBot="1">
      <c r="A63" s="57" t="s">
        <v>54</v>
      </c>
      <c r="B63" s="81"/>
      <c r="C63" s="62"/>
      <c r="D63" s="63"/>
      <c r="E63" s="63"/>
      <c r="F63" s="64">
        <f>SUM(F51:F62)</f>
        <v>-10752.960000000001</v>
      </c>
      <c r="G63" s="62"/>
      <c r="H63" s="63"/>
      <c r="I63" s="63"/>
      <c r="J63" s="64">
        <f>SUM(J51:J62)</f>
        <v>-64347.89703225805</v>
      </c>
      <c r="K63" s="96"/>
      <c r="L63" s="82"/>
      <c r="M63" s="82"/>
      <c r="N63" s="88"/>
      <c r="P63" s="41"/>
      <c r="Q63" s="41"/>
      <c r="R63" s="41"/>
      <c r="S63" s="41"/>
    </row>
    <row r="64" spans="1:20" ht="15" thickTop="1">
      <c r="A64" s="57">
        <v>2022</v>
      </c>
      <c r="B64" s="81">
        <v>1</v>
      </c>
      <c r="C64" s="85">
        <v>248.93</v>
      </c>
      <c r="D64" s="52">
        <v>505.03</v>
      </c>
      <c r="E64" s="52">
        <v>142.12</v>
      </c>
      <c r="F64" s="58">
        <f t="shared" si="2"/>
        <v>-896.08</v>
      </c>
      <c r="G64" s="85">
        <v>1698.0771666666667</v>
      </c>
      <c r="H64" s="52">
        <v>3078.8953333333334</v>
      </c>
      <c r="I64" s="52">
        <v>858.01283333333333</v>
      </c>
      <c r="J64" s="67">
        <f t="shared" si="3"/>
        <v>-5634.9853333333331</v>
      </c>
      <c r="K64" s="65"/>
      <c r="L64" s="66"/>
      <c r="M64" s="66"/>
      <c r="N64" s="67"/>
      <c r="P64" s="41">
        <f>P62-G64</f>
        <v>-21089.022876344083</v>
      </c>
      <c r="Q64" s="41">
        <f>Q62-H64</f>
        <v>-38237.893655913984</v>
      </c>
      <c r="R64" s="41">
        <f>R62-I64</f>
        <v>-10655.965833333335</v>
      </c>
      <c r="S64" s="41">
        <f>S62+J64</f>
        <v>-69982.882365591387</v>
      </c>
    </row>
    <row r="65" spans="1:19">
      <c r="A65" s="57"/>
      <c r="B65" s="81">
        <v>2</v>
      </c>
      <c r="C65" s="85">
        <v>248.93</v>
      </c>
      <c r="D65" s="52">
        <v>505.03</v>
      </c>
      <c r="E65" s="52">
        <v>142.12</v>
      </c>
      <c r="F65" s="58">
        <f t="shared" si="2"/>
        <v>-896.08</v>
      </c>
      <c r="G65" s="85">
        <v>1698.0771666666667</v>
      </c>
      <c r="H65" s="52">
        <v>3078.8953333333334</v>
      </c>
      <c r="I65" s="52">
        <v>858.01283333333333</v>
      </c>
      <c r="J65" s="67">
        <f t="shared" si="3"/>
        <v>-5634.9853333333331</v>
      </c>
      <c r="K65" s="65"/>
      <c r="L65" s="66"/>
      <c r="M65" s="66"/>
      <c r="N65" s="67"/>
      <c r="P65" s="41">
        <f t="shared" ref="P65:P75" si="8">P64-G65</f>
        <v>-22787.100043010749</v>
      </c>
      <c r="Q65" s="41">
        <f t="shared" ref="Q65:Q75" si="9">Q64-H65</f>
        <v>-41316.788989247318</v>
      </c>
      <c r="R65" s="41">
        <f t="shared" ref="R65:R75" si="10">R64-I65</f>
        <v>-11513.97866666667</v>
      </c>
      <c r="S65" s="41">
        <f t="shared" ref="S65:S75" si="11">S64+J65</f>
        <v>-75617.867698924718</v>
      </c>
    </row>
    <row r="66" spans="1:19">
      <c r="A66" s="57"/>
      <c r="B66" s="81">
        <v>3</v>
      </c>
      <c r="C66" s="85">
        <v>248.93</v>
      </c>
      <c r="D66" s="52">
        <v>505.03</v>
      </c>
      <c r="E66" s="52">
        <v>142.12</v>
      </c>
      <c r="F66" s="58">
        <f t="shared" si="2"/>
        <v>-896.08</v>
      </c>
      <c r="G66" s="85">
        <v>1698.0771666666667</v>
      </c>
      <c r="H66" s="52">
        <v>3078.8953333333334</v>
      </c>
      <c r="I66" s="52">
        <v>858.01283333333333</v>
      </c>
      <c r="J66" s="67">
        <f t="shared" si="3"/>
        <v>-5634.9853333333331</v>
      </c>
      <c r="K66" s="65"/>
      <c r="L66" s="66"/>
      <c r="M66" s="66"/>
      <c r="N66" s="67"/>
      <c r="P66" s="41">
        <f t="shared" si="8"/>
        <v>-24485.177209677415</v>
      </c>
      <c r="Q66" s="41">
        <f t="shared" si="9"/>
        <v>-44395.684322580651</v>
      </c>
      <c r="R66" s="41">
        <f t="shared" si="10"/>
        <v>-12371.991500000004</v>
      </c>
      <c r="S66" s="41">
        <f t="shared" si="11"/>
        <v>-81252.853032258048</v>
      </c>
    </row>
    <row r="67" spans="1:19">
      <c r="A67" s="57"/>
      <c r="B67" s="81">
        <v>4</v>
      </c>
      <c r="C67" s="85">
        <v>248.93</v>
      </c>
      <c r="D67" s="52">
        <v>505.03</v>
      </c>
      <c r="E67" s="52">
        <v>142.12</v>
      </c>
      <c r="F67" s="58">
        <f t="shared" si="2"/>
        <v>-896.08</v>
      </c>
      <c r="G67" s="85">
        <v>1698.0771666666667</v>
      </c>
      <c r="H67" s="52">
        <v>3078.8953333333334</v>
      </c>
      <c r="I67" s="52">
        <v>858.01283333333333</v>
      </c>
      <c r="J67" s="67">
        <f t="shared" si="3"/>
        <v>-5634.9853333333331</v>
      </c>
      <c r="K67" s="65"/>
      <c r="L67" s="66"/>
      <c r="M67" s="66"/>
      <c r="N67" s="67"/>
      <c r="P67" s="41">
        <f t="shared" si="8"/>
        <v>-26183.254376344081</v>
      </c>
      <c r="Q67" s="41">
        <f t="shared" si="9"/>
        <v>-47474.579655913985</v>
      </c>
      <c r="R67" s="41">
        <f t="shared" si="10"/>
        <v>-13230.004333333338</v>
      </c>
      <c r="S67" s="41">
        <f t="shared" si="11"/>
        <v>-86887.838365591379</v>
      </c>
    </row>
    <row r="68" spans="1:19">
      <c r="A68" s="57"/>
      <c r="B68" s="81">
        <v>5</v>
      </c>
      <c r="C68" s="85">
        <v>248.93</v>
      </c>
      <c r="D68" s="52">
        <v>505.03</v>
      </c>
      <c r="E68" s="52">
        <v>142.12</v>
      </c>
      <c r="F68" s="58">
        <f t="shared" si="2"/>
        <v>-896.08</v>
      </c>
      <c r="G68" s="85">
        <v>1698.0771666666667</v>
      </c>
      <c r="H68" s="52">
        <v>3078.8953333333334</v>
      </c>
      <c r="I68" s="52">
        <v>858.01283333333333</v>
      </c>
      <c r="J68" s="67">
        <f t="shared" si="3"/>
        <v>-5634.9853333333331</v>
      </c>
      <c r="K68" s="65"/>
      <c r="L68" s="66"/>
      <c r="M68" s="66"/>
      <c r="N68" s="67"/>
      <c r="P68" s="41">
        <f t="shared" si="8"/>
        <v>-27881.331543010747</v>
      </c>
      <c r="Q68" s="41">
        <f t="shared" si="9"/>
        <v>-50553.474989247319</v>
      </c>
      <c r="R68" s="41">
        <f t="shared" si="10"/>
        <v>-14088.017166666672</v>
      </c>
      <c r="S68" s="41">
        <f t="shared" si="11"/>
        <v>-92522.823698924709</v>
      </c>
    </row>
    <row r="69" spans="1:19">
      <c r="A69" s="57"/>
      <c r="B69" s="81">
        <v>6</v>
      </c>
      <c r="C69" s="85">
        <v>248.93</v>
      </c>
      <c r="D69" s="52">
        <v>505.03</v>
      </c>
      <c r="E69" s="52">
        <v>142.12</v>
      </c>
      <c r="F69" s="58">
        <f t="shared" si="2"/>
        <v>-896.08</v>
      </c>
      <c r="G69" s="85">
        <v>1698.0771666666667</v>
      </c>
      <c r="H69" s="52">
        <v>3078.8953333333334</v>
      </c>
      <c r="I69" s="52">
        <v>858.01283333333333</v>
      </c>
      <c r="J69" s="67">
        <f t="shared" si="3"/>
        <v>-5634.9853333333331</v>
      </c>
      <c r="K69" s="65"/>
      <c r="L69" s="66"/>
      <c r="M69" s="66"/>
      <c r="N69" s="67"/>
      <c r="P69" s="41">
        <f t="shared" si="8"/>
        <v>-29579.408709677413</v>
      </c>
      <c r="Q69" s="41">
        <f t="shared" si="9"/>
        <v>-53632.370322580653</v>
      </c>
      <c r="R69" s="41">
        <f t="shared" si="10"/>
        <v>-14946.030000000006</v>
      </c>
      <c r="S69" s="41">
        <f t="shared" si="11"/>
        <v>-98157.809032258039</v>
      </c>
    </row>
    <row r="70" spans="1:19">
      <c r="A70" s="57"/>
      <c r="B70" s="81">
        <v>7</v>
      </c>
      <c r="C70" s="85">
        <v>248.93</v>
      </c>
      <c r="D70" s="52">
        <v>505.03</v>
      </c>
      <c r="E70" s="52">
        <v>142.12</v>
      </c>
      <c r="F70" s="58">
        <f t="shared" si="2"/>
        <v>-896.08</v>
      </c>
      <c r="G70" s="85">
        <v>1698.0771666666667</v>
      </c>
      <c r="H70" s="52">
        <v>3078.8953333333334</v>
      </c>
      <c r="I70" s="52">
        <v>858.01283333333333</v>
      </c>
      <c r="J70" s="67">
        <f t="shared" si="3"/>
        <v>-5634.9853333333331</v>
      </c>
      <c r="K70" s="65"/>
      <c r="L70" s="66"/>
      <c r="M70" s="66"/>
      <c r="N70" s="67"/>
      <c r="P70" s="41">
        <f t="shared" si="8"/>
        <v>-31277.485876344079</v>
      </c>
      <c r="Q70" s="41">
        <f t="shared" si="9"/>
        <v>-56711.265655913987</v>
      </c>
      <c r="R70" s="41">
        <f t="shared" si="10"/>
        <v>-15804.04283333334</v>
      </c>
      <c r="S70" s="41">
        <f t="shared" si="11"/>
        <v>-103792.79436559137</v>
      </c>
    </row>
    <row r="71" spans="1:19">
      <c r="A71" s="57"/>
      <c r="B71" s="81">
        <v>8</v>
      </c>
      <c r="C71" s="85">
        <v>248.93</v>
      </c>
      <c r="D71" s="52">
        <v>505.03</v>
      </c>
      <c r="E71" s="52">
        <v>142.12</v>
      </c>
      <c r="F71" s="58">
        <f t="shared" si="2"/>
        <v>-896.08</v>
      </c>
      <c r="G71" s="85">
        <v>1698.0771666666667</v>
      </c>
      <c r="H71" s="52">
        <v>3078.8953333333334</v>
      </c>
      <c r="I71" s="52">
        <v>858.01283333333333</v>
      </c>
      <c r="J71" s="67">
        <f t="shared" si="3"/>
        <v>-5634.9853333333331</v>
      </c>
      <c r="K71" s="65"/>
      <c r="L71" s="66"/>
      <c r="M71" s="66"/>
      <c r="N71" s="67"/>
      <c r="P71" s="41">
        <f t="shared" si="8"/>
        <v>-32975.563043010749</v>
      </c>
      <c r="Q71" s="41">
        <f t="shared" si="9"/>
        <v>-59790.160989247321</v>
      </c>
      <c r="R71" s="41">
        <f t="shared" si="10"/>
        <v>-16662.055666666674</v>
      </c>
      <c r="S71" s="41">
        <f t="shared" si="11"/>
        <v>-109427.7796989247</v>
      </c>
    </row>
    <row r="72" spans="1:19">
      <c r="A72" s="57"/>
      <c r="B72" s="81">
        <v>9</v>
      </c>
      <c r="C72" s="85">
        <v>248.93</v>
      </c>
      <c r="D72" s="52">
        <v>505.03</v>
      </c>
      <c r="E72" s="52">
        <v>142.12</v>
      </c>
      <c r="F72" s="58">
        <f t="shared" si="2"/>
        <v>-896.08</v>
      </c>
      <c r="G72" s="85">
        <v>1698.0771666666667</v>
      </c>
      <c r="H72" s="52">
        <v>3078.8953333333334</v>
      </c>
      <c r="I72" s="52">
        <v>858.01283333333333</v>
      </c>
      <c r="J72" s="67">
        <f t="shared" si="3"/>
        <v>-5634.9853333333331</v>
      </c>
      <c r="K72" s="65"/>
      <c r="L72" s="66"/>
      <c r="M72" s="66"/>
      <c r="N72" s="67"/>
      <c r="P72" s="41">
        <f t="shared" si="8"/>
        <v>-34673.640209677418</v>
      </c>
      <c r="Q72" s="41">
        <f t="shared" si="9"/>
        <v>-62869.056322580655</v>
      </c>
      <c r="R72" s="41">
        <f t="shared" si="10"/>
        <v>-17520.068500000008</v>
      </c>
      <c r="S72" s="41">
        <f t="shared" si="11"/>
        <v>-115062.76503225803</v>
      </c>
    </row>
    <row r="73" spans="1:19">
      <c r="A73" s="57"/>
      <c r="B73" s="81">
        <v>10</v>
      </c>
      <c r="C73" s="85">
        <v>248.93</v>
      </c>
      <c r="D73" s="52">
        <v>505.03</v>
      </c>
      <c r="E73" s="52">
        <v>142.12</v>
      </c>
      <c r="F73" s="58">
        <f t="shared" si="2"/>
        <v>-896.08</v>
      </c>
      <c r="G73" s="85">
        <v>1698.0771666666667</v>
      </c>
      <c r="H73" s="52">
        <v>3078.8953333333334</v>
      </c>
      <c r="I73" s="52">
        <v>858.01283333333333</v>
      </c>
      <c r="J73" s="67">
        <f t="shared" si="3"/>
        <v>-5634.9853333333331</v>
      </c>
      <c r="K73" s="65"/>
      <c r="L73" s="66"/>
      <c r="M73" s="66"/>
      <c r="N73" s="67"/>
      <c r="P73" s="41">
        <f t="shared" si="8"/>
        <v>-36371.717376344088</v>
      </c>
      <c r="Q73" s="41">
        <f t="shared" si="9"/>
        <v>-65947.951655913988</v>
      </c>
      <c r="R73" s="41">
        <f t="shared" si="10"/>
        <v>-18378.081333333343</v>
      </c>
      <c r="S73" s="41">
        <f t="shared" si="11"/>
        <v>-120697.75036559136</v>
      </c>
    </row>
    <row r="74" spans="1:19">
      <c r="A74" s="57"/>
      <c r="B74" s="81">
        <v>11</v>
      </c>
      <c r="C74" s="85">
        <v>248.93</v>
      </c>
      <c r="D74" s="52">
        <v>505.03</v>
      </c>
      <c r="E74" s="52">
        <v>142.12</v>
      </c>
      <c r="F74" s="58">
        <f t="shared" si="2"/>
        <v>-896.08</v>
      </c>
      <c r="G74" s="85">
        <v>1698.0771666666667</v>
      </c>
      <c r="H74" s="52">
        <v>3078.8953333333334</v>
      </c>
      <c r="I74" s="52">
        <v>858.01283333333333</v>
      </c>
      <c r="J74" s="67">
        <f t="shared" si="3"/>
        <v>-5634.9853333333331</v>
      </c>
      <c r="K74" s="65"/>
      <c r="L74" s="66"/>
      <c r="M74" s="66"/>
      <c r="N74" s="67"/>
      <c r="P74" s="41">
        <f t="shared" si="8"/>
        <v>-38069.794543010757</v>
      </c>
      <c r="Q74" s="41">
        <f t="shared" si="9"/>
        <v>-69026.846989247322</v>
      </c>
      <c r="R74" s="41">
        <f t="shared" si="10"/>
        <v>-19236.094166666677</v>
      </c>
      <c r="S74" s="41">
        <f t="shared" si="11"/>
        <v>-126332.73569892469</v>
      </c>
    </row>
    <row r="75" spans="1:19">
      <c r="A75" s="57"/>
      <c r="B75" s="81">
        <v>12</v>
      </c>
      <c r="C75" s="85">
        <v>248.93</v>
      </c>
      <c r="D75" s="52">
        <v>505.03</v>
      </c>
      <c r="E75" s="52">
        <v>142.12</v>
      </c>
      <c r="F75" s="58">
        <f t="shared" si="2"/>
        <v>-896.08</v>
      </c>
      <c r="G75" s="85">
        <v>1698.0771666666667</v>
      </c>
      <c r="H75" s="52">
        <v>3078.8953333333334</v>
      </c>
      <c r="I75" s="52">
        <v>858.01283333333333</v>
      </c>
      <c r="J75" s="67">
        <f t="shared" si="3"/>
        <v>-5634.9853333333331</v>
      </c>
      <c r="K75" s="65"/>
      <c r="L75" s="66"/>
      <c r="M75" s="66"/>
      <c r="N75" s="67"/>
      <c r="P75" s="41">
        <f t="shared" si="8"/>
        <v>-39767.871709677427</v>
      </c>
      <c r="Q75" s="41">
        <f t="shared" si="9"/>
        <v>-72105.742322580656</v>
      </c>
      <c r="R75" s="41">
        <f t="shared" si="10"/>
        <v>-20094.107000000011</v>
      </c>
      <c r="S75" s="41">
        <f t="shared" si="11"/>
        <v>-131967.72103225804</v>
      </c>
    </row>
    <row r="76" spans="1:19" ht="15" thickBot="1">
      <c r="A76" s="57" t="s">
        <v>55</v>
      </c>
      <c r="B76" s="81"/>
      <c r="C76" s="62"/>
      <c r="D76" s="63"/>
      <c r="E76" s="63"/>
      <c r="F76" s="64">
        <f>SUM(F64:F75)</f>
        <v>-10752.960000000001</v>
      </c>
      <c r="G76" s="62"/>
      <c r="H76" s="63"/>
      <c r="I76" s="63"/>
      <c r="J76" s="64">
        <f>SUM(J64:J75)</f>
        <v>-67619.823999999979</v>
      </c>
      <c r="K76" s="96"/>
      <c r="L76" s="82"/>
      <c r="M76" s="82"/>
      <c r="N76" s="88"/>
      <c r="P76" s="41"/>
      <c r="Q76" s="41"/>
      <c r="R76" s="41"/>
      <c r="S76" s="41"/>
    </row>
    <row r="77" spans="1:19" ht="15" thickTop="1">
      <c r="A77" s="57">
        <v>2023</v>
      </c>
      <c r="B77" s="81">
        <v>1</v>
      </c>
      <c r="C77" s="85">
        <f>C75*(18/31)</f>
        <v>144.54000000000002</v>
      </c>
      <c r="D77" s="66">
        <f>D75*(18/31)</f>
        <v>293.24322580645162</v>
      </c>
      <c r="E77" s="66">
        <f>E75*(18/31)</f>
        <v>82.521290322580654</v>
      </c>
      <c r="F77" s="58">
        <f t="shared" si="2"/>
        <v>-520.30451612903232</v>
      </c>
      <c r="G77" s="85">
        <v>1698.0771666666667</v>
      </c>
      <c r="H77" s="52">
        <v>3078.8953333333334</v>
      </c>
      <c r="I77" s="52">
        <v>858.01283333333333</v>
      </c>
      <c r="J77" s="67">
        <f t="shared" si="3"/>
        <v>-5634.9853333333331</v>
      </c>
      <c r="K77" s="65"/>
      <c r="L77" s="66"/>
      <c r="M77" s="66"/>
      <c r="N77" s="67"/>
      <c r="P77" s="41">
        <f>P75-G77</f>
        <v>-41465.948876344097</v>
      </c>
      <c r="Q77" s="41">
        <f>Q75-H77</f>
        <v>-75184.63765591399</v>
      </c>
      <c r="R77" s="41">
        <f>R75-I77</f>
        <v>-20952.119833333345</v>
      </c>
      <c r="S77" s="41">
        <f>S75+J77</f>
        <v>-137602.70636559138</v>
      </c>
    </row>
    <row r="78" spans="1:19">
      <c r="A78" s="57"/>
      <c r="B78" s="81">
        <v>2</v>
      </c>
      <c r="C78" s="65">
        <v>0</v>
      </c>
      <c r="D78" s="66">
        <v>0</v>
      </c>
      <c r="E78" s="66">
        <v>0</v>
      </c>
      <c r="F78" s="58">
        <v>0</v>
      </c>
      <c r="G78" s="85">
        <v>1698.0771666666667</v>
      </c>
      <c r="H78" s="52">
        <v>3078.8953333333334</v>
      </c>
      <c r="I78" s="52">
        <v>858.01283333333333</v>
      </c>
      <c r="J78" s="67">
        <f t="shared" si="3"/>
        <v>-5634.9853333333331</v>
      </c>
      <c r="K78" s="65"/>
      <c r="L78" s="66"/>
      <c r="M78" s="66"/>
      <c r="N78" s="67"/>
      <c r="P78" s="41">
        <f t="shared" ref="P78:P88" si="12">P77-G78</f>
        <v>-43164.026043010766</v>
      </c>
      <c r="Q78" s="41">
        <f t="shared" ref="Q78:Q88" si="13">Q77-H78</f>
        <v>-78263.532989247324</v>
      </c>
      <c r="R78" s="41">
        <f t="shared" ref="R78:R88" si="14">R77-I78</f>
        <v>-21810.132666666679</v>
      </c>
      <c r="S78" s="41">
        <f t="shared" ref="S78:S88" si="15">S77+J78</f>
        <v>-143237.69169892473</v>
      </c>
    </row>
    <row r="79" spans="1:19">
      <c r="A79" s="57"/>
      <c r="B79" s="81">
        <v>3</v>
      </c>
      <c r="C79" s="65">
        <v>0</v>
      </c>
      <c r="D79" s="66">
        <v>0</v>
      </c>
      <c r="E79" s="66">
        <v>0</v>
      </c>
      <c r="F79" s="58">
        <v>0</v>
      </c>
      <c r="G79" s="85">
        <v>1698.0771666666667</v>
      </c>
      <c r="H79" s="52">
        <v>3078.8953333333334</v>
      </c>
      <c r="I79" s="52">
        <v>858.01283333333333</v>
      </c>
      <c r="J79" s="67">
        <f t="shared" si="3"/>
        <v>-5634.9853333333331</v>
      </c>
      <c r="K79" s="65"/>
      <c r="L79" s="66"/>
      <c r="M79" s="66"/>
      <c r="N79" s="67"/>
      <c r="P79" s="41">
        <f t="shared" si="12"/>
        <v>-44862.103209677436</v>
      </c>
      <c r="Q79" s="41">
        <f t="shared" si="13"/>
        <v>-81342.428322580658</v>
      </c>
      <c r="R79" s="41">
        <f t="shared" si="14"/>
        <v>-22668.145500000013</v>
      </c>
      <c r="S79" s="41">
        <f t="shared" si="15"/>
        <v>-148872.67703225807</v>
      </c>
    </row>
    <row r="80" spans="1:19">
      <c r="A80" s="57"/>
      <c r="B80" s="81">
        <v>4</v>
      </c>
      <c r="C80" s="65">
        <v>0</v>
      </c>
      <c r="D80" s="66">
        <v>0</v>
      </c>
      <c r="E80" s="66">
        <v>0</v>
      </c>
      <c r="F80" s="58">
        <v>0</v>
      </c>
      <c r="G80" s="85">
        <v>1698.0771666666667</v>
      </c>
      <c r="H80" s="52">
        <v>3078.8953333333334</v>
      </c>
      <c r="I80" s="52">
        <v>858.01283333333333</v>
      </c>
      <c r="J80" s="67">
        <f t="shared" si="3"/>
        <v>-5634.9853333333331</v>
      </c>
      <c r="K80" s="65"/>
      <c r="L80" s="66"/>
      <c r="M80" s="66"/>
      <c r="N80" s="67"/>
      <c r="P80" s="41">
        <f t="shared" si="12"/>
        <v>-46560.180376344106</v>
      </c>
      <c r="Q80" s="41">
        <f t="shared" si="13"/>
        <v>-84421.323655913991</v>
      </c>
      <c r="R80" s="41">
        <f t="shared" si="14"/>
        <v>-23526.158333333347</v>
      </c>
      <c r="S80" s="41">
        <f t="shared" si="15"/>
        <v>-154507.66236559142</v>
      </c>
    </row>
    <row r="81" spans="1:19">
      <c r="A81" s="57"/>
      <c r="B81" s="81">
        <v>5</v>
      </c>
      <c r="C81" s="65">
        <v>0</v>
      </c>
      <c r="D81" s="66">
        <v>0</v>
      </c>
      <c r="E81" s="66">
        <v>0</v>
      </c>
      <c r="F81" s="58">
        <v>0</v>
      </c>
      <c r="G81" s="85">
        <v>1698.0771666666667</v>
      </c>
      <c r="H81" s="52">
        <v>3078.8953333333334</v>
      </c>
      <c r="I81" s="52">
        <v>858.01283333333333</v>
      </c>
      <c r="J81" s="67">
        <f t="shared" si="3"/>
        <v>-5634.9853333333331</v>
      </c>
      <c r="K81" s="65"/>
      <c r="L81" s="66"/>
      <c r="M81" s="66"/>
      <c r="N81" s="67"/>
      <c r="P81" s="41">
        <f t="shared" si="12"/>
        <v>-48258.257543010775</v>
      </c>
      <c r="Q81" s="41">
        <f t="shared" si="13"/>
        <v>-87500.218989247325</v>
      </c>
      <c r="R81" s="41">
        <f t="shared" si="14"/>
        <v>-24384.171166666682</v>
      </c>
      <c r="S81" s="41">
        <f t="shared" si="15"/>
        <v>-160142.64769892476</v>
      </c>
    </row>
    <row r="82" spans="1:19">
      <c r="A82" s="57"/>
      <c r="B82" s="81">
        <v>6</v>
      </c>
      <c r="C82" s="65">
        <v>0</v>
      </c>
      <c r="D82" s="66">
        <v>0</v>
      </c>
      <c r="E82" s="66">
        <v>0</v>
      </c>
      <c r="F82" s="58">
        <v>0</v>
      </c>
      <c r="G82" s="85">
        <v>1698.0771666666667</v>
      </c>
      <c r="H82" s="52">
        <v>3078.8953333333334</v>
      </c>
      <c r="I82" s="52">
        <v>858.01283333333333</v>
      </c>
      <c r="J82" s="67">
        <f t="shared" si="3"/>
        <v>-5634.9853333333331</v>
      </c>
      <c r="K82" s="65"/>
      <c r="L82" s="66"/>
      <c r="M82" s="66"/>
      <c r="N82" s="67"/>
      <c r="P82" s="41">
        <f t="shared" si="12"/>
        <v>-49956.334709677445</v>
      </c>
      <c r="Q82" s="41">
        <f t="shared" si="13"/>
        <v>-90579.114322580659</v>
      </c>
      <c r="R82" s="41">
        <f t="shared" si="14"/>
        <v>-25242.184000000016</v>
      </c>
      <c r="S82" s="41">
        <f t="shared" si="15"/>
        <v>-165777.63303225811</v>
      </c>
    </row>
    <row r="83" spans="1:19">
      <c r="A83" s="57"/>
      <c r="B83" s="81">
        <v>7</v>
      </c>
      <c r="C83" s="65">
        <v>0</v>
      </c>
      <c r="D83" s="66">
        <v>0</v>
      </c>
      <c r="E83" s="66">
        <v>0</v>
      </c>
      <c r="F83" s="58">
        <v>0</v>
      </c>
      <c r="G83" s="85">
        <v>1698.0771666666667</v>
      </c>
      <c r="H83" s="52">
        <v>3078.8953333333334</v>
      </c>
      <c r="I83" s="52">
        <v>858.01283333333333</v>
      </c>
      <c r="J83" s="67">
        <f t="shared" si="3"/>
        <v>-5634.9853333333331</v>
      </c>
      <c r="K83" s="65"/>
      <c r="L83" s="66"/>
      <c r="M83" s="66"/>
      <c r="N83" s="67"/>
      <c r="P83" s="41">
        <f t="shared" si="12"/>
        <v>-51654.411876344115</v>
      </c>
      <c r="Q83" s="41">
        <f t="shared" si="13"/>
        <v>-93658.009655913993</v>
      </c>
      <c r="R83" s="41">
        <f t="shared" si="14"/>
        <v>-26100.19683333335</v>
      </c>
      <c r="S83" s="41">
        <f t="shared" si="15"/>
        <v>-171412.61836559145</v>
      </c>
    </row>
    <row r="84" spans="1:19">
      <c r="A84" s="57"/>
      <c r="B84" s="81">
        <v>8</v>
      </c>
      <c r="C84" s="65">
        <v>0</v>
      </c>
      <c r="D84" s="66">
        <v>0</v>
      </c>
      <c r="E84" s="66">
        <v>0</v>
      </c>
      <c r="F84" s="58">
        <v>0</v>
      </c>
      <c r="G84" s="85">
        <v>1698.0771666666667</v>
      </c>
      <c r="H84" s="52">
        <v>3078.8953333333334</v>
      </c>
      <c r="I84" s="52">
        <v>858.01283333333333</v>
      </c>
      <c r="J84" s="67">
        <f t="shared" si="3"/>
        <v>-5634.9853333333331</v>
      </c>
      <c r="K84" s="65"/>
      <c r="L84" s="66"/>
      <c r="M84" s="66"/>
      <c r="N84" s="67"/>
      <c r="P84" s="41">
        <f t="shared" si="12"/>
        <v>-53352.489043010784</v>
      </c>
      <c r="Q84" s="41">
        <f t="shared" si="13"/>
        <v>-96736.904989247327</v>
      </c>
      <c r="R84" s="41">
        <f t="shared" si="14"/>
        <v>-26958.209666666684</v>
      </c>
      <c r="S84" s="41">
        <f t="shared" si="15"/>
        <v>-177047.6036989248</v>
      </c>
    </row>
    <row r="85" spans="1:19">
      <c r="A85" s="57"/>
      <c r="B85" s="81">
        <v>9</v>
      </c>
      <c r="C85" s="65">
        <v>0</v>
      </c>
      <c r="D85" s="66">
        <v>0</v>
      </c>
      <c r="E85" s="66">
        <v>0</v>
      </c>
      <c r="F85" s="58">
        <v>0</v>
      </c>
      <c r="G85" s="85">
        <v>1698.0771666666667</v>
      </c>
      <c r="H85" s="52">
        <v>3078.8953333333334</v>
      </c>
      <c r="I85" s="52">
        <v>858.01283333333333</v>
      </c>
      <c r="J85" s="67">
        <f t="shared" si="3"/>
        <v>-5634.9853333333331</v>
      </c>
      <c r="K85" s="65"/>
      <c r="L85" s="66"/>
      <c r="M85" s="66"/>
      <c r="N85" s="67"/>
      <c r="P85" s="41">
        <f t="shared" si="12"/>
        <v>-55050.566209677454</v>
      </c>
      <c r="Q85" s="41">
        <f t="shared" si="13"/>
        <v>-99815.800322580661</v>
      </c>
      <c r="R85" s="41">
        <f t="shared" si="14"/>
        <v>-27816.222500000018</v>
      </c>
      <c r="S85" s="41">
        <f t="shared" si="15"/>
        <v>-182682.58903225814</v>
      </c>
    </row>
    <row r="86" spans="1:19">
      <c r="A86" s="57"/>
      <c r="B86" s="81">
        <v>10</v>
      </c>
      <c r="C86" s="65">
        <v>0</v>
      </c>
      <c r="D86" s="66">
        <v>0</v>
      </c>
      <c r="E86" s="66">
        <v>0</v>
      </c>
      <c r="F86" s="58">
        <v>0</v>
      </c>
      <c r="G86" s="85">
        <v>1698.0771666666667</v>
      </c>
      <c r="H86" s="52">
        <v>3078.8953333333334</v>
      </c>
      <c r="I86" s="52">
        <v>858.01283333333333</v>
      </c>
      <c r="J86" s="67">
        <f t="shared" si="3"/>
        <v>-5634.9853333333331</v>
      </c>
      <c r="K86" s="65"/>
      <c r="L86" s="66"/>
      <c r="M86" s="66"/>
      <c r="N86" s="67"/>
      <c r="P86" s="41">
        <f t="shared" si="12"/>
        <v>-56748.643376344124</v>
      </c>
      <c r="Q86" s="41">
        <f t="shared" si="13"/>
        <v>-102894.69565591399</v>
      </c>
      <c r="R86" s="41">
        <f t="shared" si="14"/>
        <v>-28674.235333333352</v>
      </c>
      <c r="S86" s="41">
        <f t="shared" si="15"/>
        <v>-188317.57436559148</v>
      </c>
    </row>
    <row r="87" spans="1:19">
      <c r="A87" s="57"/>
      <c r="B87" s="81">
        <v>11</v>
      </c>
      <c r="C87" s="65">
        <v>0</v>
      </c>
      <c r="D87" s="66">
        <v>0</v>
      </c>
      <c r="E87" s="66">
        <v>0</v>
      </c>
      <c r="F87" s="58">
        <v>0</v>
      </c>
      <c r="G87" s="85">
        <v>1698.0771666666667</v>
      </c>
      <c r="H87" s="52">
        <v>3078.8953333333334</v>
      </c>
      <c r="I87" s="52">
        <v>858.01283333333333</v>
      </c>
      <c r="J87" s="67">
        <f t="shared" si="3"/>
        <v>-5634.9853333333331</v>
      </c>
      <c r="K87" s="65"/>
      <c r="L87" s="66"/>
      <c r="M87" s="66"/>
      <c r="N87" s="67"/>
      <c r="P87" s="41">
        <f t="shared" si="12"/>
        <v>-58446.720543010793</v>
      </c>
      <c r="Q87" s="41">
        <f t="shared" si="13"/>
        <v>-105973.59098924733</v>
      </c>
      <c r="R87" s="41">
        <f t="shared" si="14"/>
        <v>-29532.248166666686</v>
      </c>
      <c r="S87" s="41">
        <f t="shared" si="15"/>
        <v>-193952.55969892483</v>
      </c>
    </row>
    <row r="88" spans="1:19">
      <c r="A88" s="57"/>
      <c r="B88" s="81">
        <v>12</v>
      </c>
      <c r="C88" s="65">
        <v>0</v>
      </c>
      <c r="D88" s="66">
        <v>0</v>
      </c>
      <c r="E88" s="66">
        <v>0</v>
      </c>
      <c r="F88" s="58">
        <v>0</v>
      </c>
      <c r="G88" s="85">
        <v>1698.0771666666667</v>
      </c>
      <c r="H88" s="52">
        <v>3078.8953333333334</v>
      </c>
      <c r="I88" s="52">
        <v>858.01283333333333</v>
      </c>
      <c r="J88" s="67">
        <f t="shared" si="3"/>
        <v>-5634.9853333333331</v>
      </c>
      <c r="K88" s="65"/>
      <c r="L88" s="66"/>
      <c r="M88" s="66"/>
      <c r="N88" s="67"/>
      <c r="P88" s="41">
        <f t="shared" si="12"/>
        <v>-60144.797709677463</v>
      </c>
      <c r="Q88" s="41">
        <f t="shared" si="13"/>
        <v>-109052.48632258066</v>
      </c>
      <c r="R88" s="41">
        <f t="shared" si="14"/>
        <v>-30390.26100000002</v>
      </c>
      <c r="S88" s="41">
        <f t="shared" si="15"/>
        <v>-199587.54503225817</v>
      </c>
    </row>
    <row r="89" spans="1:19" ht="15" thickBot="1">
      <c r="A89" s="57" t="s">
        <v>56</v>
      </c>
      <c r="B89" s="81"/>
      <c r="C89" s="62"/>
      <c r="D89" s="63"/>
      <c r="E89" s="63"/>
      <c r="F89" s="64">
        <f>SUM(F77:F88)</f>
        <v>-520.30451612903232</v>
      </c>
      <c r="G89" s="62"/>
      <c r="H89" s="63"/>
      <c r="I89" s="63"/>
      <c r="J89" s="64">
        <f>SUM(J77:J88)</f>
        <v>-67619.823999999979</v>
      </c>
      <c r="K89" s="83"/>
      <c r="L89" s="80"/>
      <c r="M89" s="80"/>
      <c r="N89" s="84"/>
      <c r="P89" s="41"/>
      <c r="Q89" s="41"/>
      <c r="R89" s="41"/>
      <c r="S89" s="41"/>
    </row>
    <row r="90" spans="1:19" ht="15" thickTop="1">
      <c r="A90" s="57">
        <v>2024</v>
      </c>
      <c r="B90" s="81">
        <v>1</v>
      </c>
      <c r="C90" s="61"/>
      <c r="D90" s="44"/>
      <c r="E90" s="44"/>
      <c r="F90" s="60"/>
      <c r="G90" s="85">
        <v>1698.0771666666667</v>
      </c>
      <c r="H90" s="52">
        <v>3078.8953333333334</v>
      </c>
      <c r="I90" s="52">
        <v>858.01283333333333</v>
      </c>
      <c r="J90" s="67">
        <f t="shared" si="3"/>
        <v>-5634.9853333333331</v>
      </c>
      <c r="K90" s="65">
        <f>K91*(16/31)</f>
        <v>3529.7501935483874</v>
      </c>
      <c r="L90" s="66">
        <f>L91*(16/31)</f>
        <v>8215.5369462365579</v>
      </c>
      <c r="M90" s="66">
        <f>M91*(16/31)</f>
        <v>2568.4135913978498</v>
      </c>
      <c r="N90" s="67">
        <f>-SUM(K90:M90)</f>
        <v>-14313.700731182795</v>
      </c>
      <c r="P90" s="41">
        <f>P88-G90-K90</f>
        <v>-65372.625069892521</v>
      </c>
      <c r="Q90" s="41">
        <f>Q88-H90-L90</f>
        <v>-120346.91860215056</v>
      </c>
      <c r="R90" s="41">
        <f>R88-I90-M90</f>
        <v>-33816.687424731208</v>
      </c>
      <c r="S90" s="41">
        <f>S88+J90+N90</f>
        <v>-219536.23109677431</v>
      </c>
    </row>
    <row r="91" spans="1:19">
      <c r="A91" s="57"/>
      <c r="B91" s="81">
        <v>2</v>
      </c>
      <c r="C91" s="61"/>
      <c r="D91" s="44"/>
      <c r="E91" s="44"/>
      <c r="F91" s="60"/>
      <c r="G91" s="85">
        <v>1698.0771666666667</v>
      </c>
      <c r="H91" s="52">
        <v>3078.8953333333334</v>
      </c>
      <c r="I91" s="52">
        <v>858.01283333333333</v>
      </c>
      <c r="J91" s="67">
        <f t="shared" si="3"/>
        <v>-5634.9853333333331</v>
      </c>
      <c r="K91" s="85">
        <f>(410333.46/5)/12</f>
        <v>6838.8910000000005</v>
      </c>
      <c r="L91" s="52">
        <f>(955056.17/5)/12</f>
        <v>15917.602833333332</v>
      </c>
      <c r="M91" s="52">
        <f>(298578.08/5)/12</f>
        <v>4976.3013333333338</v>
      </c>
      <c r="N91" s="67">
        <f t="shared" ref="N91:N101" si="16">-SUM(K91:M91)</f>
        <v>-27732.795166666667</v>
      </c>
      <c r="P91" s="41">
        <f>P90-G91-K91</f>
        <v>-73909.593236559187</v>
      </c>
      <c r="Q91" s="41">
        <f>Q90-H91-L91</f>
        <v>-139343.41676881723</v>
      </c>
      <c r="R91" s="41">
        <f>R90-I91-M91</f>
        <v>-39651.001591397879</v>
      </c>
      <c r="S91" s="41">
        <f>S90+J91+N91</f>
        <v>-252904.01159677433</v>
      </c>
    </row>
    <row r="92" spans="1:19">
      <c r="A92" s="57"/>
      <c r="B92" s="81">
        <v>3</v>
      </c>
      <c r="C92" s="61"/>
      <c r="D92" s="44"/>
      <c r="E92" s="44"/>
      <c r="F92" s="60"/>
      <c r="G92" s="85">
        <v>1698.0771666666667</v>
      </c>
      <c r="H92" s="52">
        <v>3078.8953333333334</v>
      </c>
      <c r="I92" s="52">
        <v>858.01283333333333</v>
      </c>
      <c r="J92" s="67">
        <f t="shared" si="3"/>
        <v>-5634.9853333333331</v>
      </c>
      <c r="K92" s="85">
        <v>6838.8910000000005</v>
      </c>
      <c r="L92" s="52">
        <v>15917.602833333332</v>
      </c>
      <c r="M92" s="52">
        <v>4976.3013333333338</v>
      </c>
      <c r="N92" s="67">
        <f t="shared" si="16"/>
        <v>-27732.795166666667</v>
      </c>
      <c r="P92" s="41">
        <f t="shared" ref="P92:P101" si="17">P91-G92-K92</f>
        <v>-82446.56140322586</v>
      </c>
      <c r="Q92" s="41">
        <f t="shared" ref="Q92:Q101" si="18">Q91-H92-L92</f>
        <v>-158339.91493548389</v>
      </c>
      <c r="R92" s="41">
        <f t="shared" ref="R92:R101" si="19">R91-I92-M92</f>
        <v>-45485.315758064549</v>
      </c>
      <c r="S92" s="41">
        <f t="shared" ref="S92:S101" si="20">S91+J92+N92</f>
        <v>-286271.79209677433</v>
      </c>
    </row>
    <row r="93" spans="1:19">
      <c r="A93" s="57"/>
      <c r="B93" s="81">
        <v>4</v>
      </c>
      <c r="C93" s="61"/>
      <c r="D93" s="44"/>
      <c r="E93" s="44"/>
      <c r="F93" s="60"/>
      <c r="G93" s="85">
        <v>1698.0771666666667</v>
      </c>
      <c r="H93" s="52">
        <v>3078.8953333333334</v>
      </c>
      <c r="I93" s="52">
        <v>858.01283333333333</v>
      </c>
      <c r="J93" s="67">
        <f t="shared" si="3"/>
        <v>-5634.9853333333331</v>
      </c>
      <c r="K93" s="85">
        <v>6838.8910000000005</v>
      </c>
      <c r="L93" s="52">
        <v>15917.602833333332</v>
      </c>
      <c r="M93" s="52">
        <v>4976.3013333333338</v>
      </c>
      <c r="N93" s="67">
        <f t="shared" si="16"/>
        <v>-27732.795166666667</v>
      </c>
      <c r="P93" s="41">
        <f t="shared" si="17"/>
        <v>-90983.529569892533</v>
      </c>
      <c r="Q93" s="41">
        <f t="shared" si="18"/>
        <v>-177336.41310215055</v>
      </c>
      <c r="R93" s="41">
        <f t="shared" si="19"/>
        <v>-51319.62992473122</v>
      </c>
      <c r="S93" s="41">
        <f t="shared" si="20"/>
        <v>-319639.57259677432</v>
      </c>
    </row>
    <row r="94" spans="1:19">
      <c r="A94" s="57"/>
      <c r="B94" s="81">
        <v>5</v>
      </c>
      <c r="C94" s="61"/>
      <c r="D94" s="44"/>
      <c r="E94" s="44"/>
      <c r="F94" s="60"/>
      <c r="G94" s="85">
        <v>1698.0771666666667</v>
      </c>
      <c r="H94" s="52">
        <v>3078.8953333333334</v>
      </c>
      <c r="I94" s="52">
        <v>858.01283333333333</v>
      </c>
      <c r="J94" s="67">
        <f t="shared" si="3"/>
        <v>-5634.9853333333331</v>
      </c>
      <c r="K94" s="85">
        <v>6838.8910000000005</v>
      </c>
      <c r="L94" s="52">
        <v>15917.602833333332</v>
      </c>
      <c r="M94" s="52">
        <v>4976.3013333333338</v>
      </c>
      <c r="N94" s="67">
        <f t="shared" si="16"/>
        <v>-27732.795166666667</v>
      </c>
      <c r="P94" s="41">
        <f t="shared" si="17"/>
        <v>-99520.497736559206</v>
      </c>
      <c r="Q94" s="41">
        <f t="shared" si="18"/>
        <v>-196332.9112688172</v>
      </c>
      <c r="R94" s="41">
        <f t="shared" si="19"/>
        <v>-57153.944091397891</v>
      </c>
      <c r="S94" s="41">
        <f t="shared" si="20"/>
        <v>-353007.35309677431</v>
      </c>
    </row>
    <row r="95" spans="1:19">
      <c r="A95" s="57"/>
      <c r="B95" s="81">
        <v>6</v>
      </c>
      <c r="C95" s="61"/>
      <c r="D95" s="44"/>
      <c r="E95" s="44"/>
      <c r="F95" s="60"/>
      <c r="G95" s="85">
        <v>1698.0771666666667</v>
      </c>
      <c r="H95" s="52">
        <v>3078.8953333333334</v>
      </c>
      <c r="I95" s="52">
        <v>858.01283333333333</v>
      </c>
      <c r="J95" s="67">
        <f t="shared" si="3"/>
        <v>-5634.9853333333331</v>
      </c>
      <c r="K95" s="85">
        <v>6838.8910000000005</v>
      </c>
      <c r="L95" s="52">
        <v>15917.602833333332</v>
      </c>
      <c r="M95" s="52">
        <v>4976.3013333333338</v>
      </c>
      <c r="N95" s="67">
        <f t="shared" si="16"/>
        <v>-27732.795166666667</v>
      </c>
      <c r="P95" s="41">
        <f t="shared" si="17"/>
        <v>-108057.46590322588</v>
      </c>
      <c r="Q95" s="41">
        <f t="shared" si="18"/>
        <v>-215329.40943548386</v>
      </c>
      <c r="R95" s="41">
        <f t="shared" si="19"/>
        <v>-62988.258258064561</v>
      </c>
      <c r="S95" s="41">
        <f t="shared" si="20"/>
        <v>-386375.13359677431</v>
      </c>
    </row>
    <row r="96" spans="1:19">
      <c r="A96" s="57"/>
      <c r="B96" s="81">
        <v>7</v>
      </c>
      <c r="C96" s="61"/>
      <c r="D96" s="44"/>
      <c r="E96" s="44"/>
      <c r="F96" s="60"/>
      <c r="G96" s="85">
        <v>1698.0771666666667</v>
      </c>
      <c r="H96" s="52">
        <v>3078.8953333333334</v>
      </c>
      <c r="I96" s="52">
        <v>858.01283333333333</v>
      </c>
      <c r="J96" s="67">
        <f t="shared" si="3"/>
        <v>-5634.9853333333331</v>
      </c>
      <c r="K96" s="85">
        <v>6838.8910000000005</v>
      </c>
      <c r="L96" s="52">
        <v>15917.602833333332</v>
      </c>
      <c r="M96" s="52">
        <v>4976.3013333333338</v>
      </c>
      <c r="N96" s="67">
        <f t="shared" si="16"/>
        <v>-27732.795166666667</v>
      </c>
      <c r="P96" s="41">
        <f t="shared" si="17"/>
        <v>-116594.43406989255</v>
      </c>
      <c r="Q96" s="41">
        <f t="shared" si="18"/>
        <v>-234325.90760215052</v>
      </c>
      <c r="R96" s="41">
        <f t="shared" si="19"/>
        <v>-68822.572424731232</v>
      </c>
      <c r="S96" s="41">
        <f t="shared" si="20"/>
        <v>-419742.9140967743</v>
      </c>
    </row>
    <row r="97" spans="1:19">
      <c r="A97" s="57"/>
      <c r="B97" s="81">
        <v>8</v>
      </c>
      <c r="C97" s="61"/>
      <c r="D97" s="44"/>
      <c r="E97" s="44"/>
      <c r="F97" s="60"/>
      <c r="G97" s="85">
        <v>1698.0771666666667</v>
      </c>
      <c r="H97" s="52">
        <v>3078.8953333333334</v>
      </c>
      <c r="I97" s="52">
        <v>858.01283333333333</v>
      </c>
      <c r="J97" s="67">
        <f t="shared" si="3"/>
        <v>-5634.9853333333331</v>
      </c>
      <c r="K97" s="85">
        <v>6838.8910000000005</v>
      </c>
      <c r="L97" s="52">
        <v>15917.602833333332</v>
      </c>
      <c r="M97" s="52">
        <v>4976.3013333333338</v>
      </c>
      <c r="N97" s="67">
        <f t="shared" si="16"/>
        <v>-27732.795166666667</v>
      </c>
      <c r="P97" s="41">
        <f t="shared" si="17"/>
        <v>-125131.40223655922</v>
      </c>
      <c r="Q97" s="41">
        <f t="shared" si="18"/>
        <v>-253322.40576881717</v>
      </c>
      <c r="R97" s="41">
        <f t="shared" si="19"/>
        <v>-74656.886591397895</v>
      </c>
      <c r="S97" s="41">
        <f t="shared" si="20"/>
        <v>-453110.69459677429</v>
      </c>
    </row>
    <row r="98" spans="1:19">
      <c r="A98" s="57"/>
      <c r="B98" s="81">
        <v>9</v>
      </c>
      <c r="C98" s="61"/>
      <c r="D98" s="44"/>
      <c r="E98" s="44"/>
      <c r="F98" s="60"/>
      <c r="G98" s="85">
        <v>1698.0771666666667</v>
      </c>
      <c r="H98" s="52">
        <v>3078.8953333333334</v>
      </c>
      <c r="I98" s="52">
        <v>858.01283333333333</v>
      </c>
      <c r="J98" s="67">
        <f t="shared" si="3"/>
        <v>-5634.9853333333331</v>
      </c>
      <c r="K98" s="85">
        <v>6838.8910000000005</v>
      </c>
      <c r="L98" s="52">
        <v>15917.602833333332</v>
      </c>
      <c r="M98" s="52">
        <v>4976.3013333333338</v>
      </c>
      <c r="N98" s="67">
        <f t="shared" si="16"/>
        <v>-27732.795166666667</v>
      </c>
      <c r="P98" s="41">
        <f t="shared" si="17"/>
        <v>-133668.37040322588</v>
      </c>
      <c r="Q98" s="41">
        <f t="shared" si="18"/>
        <v>-272318.90393548383</v>
      </c>
      <c r="R98" s="41">
        <f t="shared" si="19"/>
        <v>-80491.200758064559</v>
      </c>
      <c r="S98" s="41">
        <f t="shared" si="20"/>
        <v>-486478.47509677429</v>
      </c>
    </row>
    <row r="99" spans="1:19">
      <c r="A99" s="57"/>
      <c r="B99" s="81">
        <v>10</v>
      </c>
      <c r="C99" s="61"/>
      <c r="D99" s="44"/>
      <c r="E99" s="44"/>
      <c r="F99" s="60"/>
      <c r="G99" s="85">
        <v>1698.0771666666667</v>
      </c>
      <c r="H99" s="52">
        <v>3078.8953333333334</v>
      </c>
      <c r="I99" s="52">
        <v>858.01283333333333</v>
      </c>
      <c r="J99" s="67">
        <f t="shared" si="3"/>
        <v>-5634.9853333333331</v>
      </c>
      <c r="K99" s="85">
        <v>6838.8910000000005</v>
      </c>
      <c r="L99" s="52">
        <v>15917.602833333332</v>
      </c>
      <c r="M99" s="52">
        <v>4976.3013333333338</v>
      </c>
      <c r="N99" s="67">
        <f t="shared" si="16"/>
        <v>-27732.795166666667</v>
      </c>
      <c r="P99" s="41">
        <f t="shared" si="17"/>
        <v>-142205.33856989254</v>
      </c>
      <c r="Q99" s="41">
        <f t="shared" si="18"/>
        <v>-291315.40210215049</v>
      </c>
      <c r="R99" s="41">
        <f t="shared" si="19"/>
        <v>-86325.514924731222</v>
      </c>
      <c r="S99" s="41">
        <f t="shared" si="20"/>
        <v>-519846.25559677428</v>
      </c>
    </row>
    <row r="100" spans="1:19">
      <c r="A100" s="57"/>
      <c r="B100" s="81">
        <v>11</v>
      </c>
      <c r="C100" s="61"/>
      <c r="D100" s="44"/>
      <c r="E100" s="44"/>
      <c r="F100" s="60"/>
      <c r="G100" s="85">
        <v>1698.0771666666667</v>
      </c>
      <c r="H100" s="52">
        <v>3078.8953333333334</v>
      </c>
      <c r="I100" s="52">
        <v>858.01283333333333</v>
      </c>
      <c r="J100" s="67">
        <f t="shared" si="3"/>
        <v>-5634.9853333333331</v>
      </c>
      <c r="K100" s="85">
        <v>6838.8910000000005</v>
      </c>
      <c r="L100" s="52">
        <v>15917.602833333332</v>
      </c>
      <c r="M100" s="52">
        <v>4976.3013333333338</v>
      </c>
      <c r="N100" s="67">
        <f t="shared" si="16"/>
        <v>-27732.795166666667</v>
      </c>
      <c r="P100" s="41">
        <f t="shared" si="17"/>
        <v>-150742.3067365592</v>
      </c>
      <c r="Q100" s="41">
        <f t="shared" si="18"/>
        <v>-310311.90026881715</v>
      </c>
      <c r="R100" s="41">
        <f t="shared" si="19"/>
        <v>-92159.829091397885</v>
      </c>
      <c r="S100" s="41">
        <f t="shared" si="20"/>
        <v>-553214.03609677427</v>
      </c>
    </row>
    <row r="101" spans="1:19">
      <c r="A101" s="57"/>
      <c r="B101" s="81">
        <v>12</v>
      </c>
      <c r="C101" s="61"/>
      <c r="D101" s="44"/>
      <c r="E101" s="44"/>
      <c r="F101" s="60"/>
      <c r="G101" s="85">
        <v>1698.0771666666667</v>
      </c>
      <c r="H101" s="52">
        <v>3078.8953333333334</v>
      </c>
      <c r="I101" s="52">
        <v>858.01283333333333</v>
      </c>
      <c r="J101" s="67">
        <f t="shared" si="3"/>
        <v>-5634.9853333333331</v>
      </c>
      <c r="K101" s="85">
        <v>6838.8910000000005</v>
      </c>
      <c r="L101" s="52">
        <v>15917.602833333332</v>
      </c>
      <c r="M101" s="52">
        <v>4976.3013333333338</v>
      </c>
      <c r="N101" s="67">
        <f t="shared" si="16"/>
        <v>-27732.795166666667</v>
      </c>
      <c r="P101" s="41">
        <f t="shared" si="17"/>
        <v>-159279.27490322586</v>
      </c>
      <c r="Q101" s="41">
        <f t="shared" si="18"/>
        <v>-329308.3984354838</v>
      </c>
      <c r="R101" s="41">
        <f t="shared" si="19"/>
        <v>-97994.143258064549</v>
      </c>
      <c r="S101" s="41">
        <f t="shared" si="20"/>
        <v>-586581.81659677427</v>
      </c>
    </row>
    <row r="102" spans="1:19" ht="15" thickBot="1">
      <c r="A102" s="57" t="s">
        <v>57</v>
      </c>
      <c r="B102" s="81"/>
      <c r="C102" s="61"/>
      <c r="D102" s="44"/>
      <c r="E102" s="44"/>
      <c r="F102" s="60"/>
      <c r="G102" s="62"/>
      <c r="H102" s="63"/>
      <c r="I102" s="63"/>
      <c r="J102" s="64">
        <f>SUM(J90:J101)</f>
        <v>-67619.823999999979</v>
      </c>
      <c r="K102" s="62"/>
      <c r="L102" s="63"/>
      <c r="M102" s="63"/>
      <c r="N102" s="64">
        <f>SUM(N90:N101)</f>
        <v>-319374.44756451616</v>
      </c>
      <c r="P102" s="41"/>
      <c r="Q102" s="41"/>
      <c r="R102" s="41"/>
      <c r="S102" s="41"/>
    </row>
    <row r="103" spans="1:19" ht="15" thickTop="1">
      <c r="A103" s="57">
        <v>2025</v>
      </c>
      <c r="B103" s="81">
        <v>1</v>
      </c>
      <c r="C103" s="61"/>
      <c r="D103" s="44"/>
      <c r="E103" s="44"/>
      <c r="F103" s="60"/>
      <c r="G103" s="85">
        <v>1698.0771666666667</v>
      </c>
      <c r="H103" s="52">
        <v>3078.8953333333334</v>
      </c>
      <c r="I103" s="52">
        <v>858.01283333333333</v>
      </c>
      <c r="J103" s="67">
        <f t="shared" si="3"/>
        <v>-5634.9853333333331</v>
      </c>
      <c r="K103" s="85">
        <v>6838.8910000000005</v>
      </c>
      <c r="L103" s="52">
        <v>15917.602833333332</v>
      </c>
      <c r="M103" s="52">
        <v>4976.3013333333338</v>
      </c>
      <c r="N103" s="67">
        <f t="shared" ref="N103:N114" si="21">-SUM(K103:M103)</f>
        <v>-27732.795166666667</v>
      </c>
      <c r="P103" s="41">
        <f>P101-G103-K103</f>
        <v>-167816.24306989252</v>
      </c>
      <c r="Q103" s="41">
        <f>Q101-H103-L103</f>
        <v>-348304.89660215046</v>
      </c>
      <c r="R103" s="41">
        <f>R101-I103-M103</f>
        <v>-103828.45742473121</v>
      </c>
      <c r="S103" s="41">
        <f>S101+J103+N103</f>
        <v>-619949.59709677426</v>
      </c>
    </row>
    <row r="104" spans="1:19">
      <c r="A104" s="57"/>
      <c r="B104" s="81">
        <v>2</v>
      </c>
      <c r="C104" s="61"/>
      <c r="D104" s="44"/>
      <c r="E104" s="44"/>
      <c r="F104" s="60"/>
      <c r="G104" s="85">
        <v>1698.0771666666667</v>
      </c>
      <c r="H104" s="52">
        <v>3078.8953333333334</v>
      </c>
      <c r="I104" s="52">
        <v>858.01283333333333</v>
      </c>
      <c r="J104" s="67">
        <f t="shared" si="3"/>
        <v>-5634.9853333333331</v>
      </c>
      <c r="K104" s="85">
        <v>6838.8910000000005</v>
      </c>
      <c r="L104" s="52">
        <v>15917.602833333332</v>
      </c>
      <c r="M104" s="52">
        <v>4976.3013333333338</v>
      </c>
      <c r="N104" s="67">
        <f t="shared" si="21"/>
        <v>-27732.795166666667</v>
      </c>
      <c r="P104" s="41">
        <f>P103-G104-K104</f>
        <v>-176353.21123655917</v>
      </c>
      <c r="Q104" s="41">
        <f>Q103-H104-L104</f>
        <v>-367301.39476881712</v>
      </c>
      <c r="R104" s="41">
        <f>R103-I104-M104</f>
        <v>-109662.77159139788</v>
      </c>
      <c r="S104" s="41">
        <f>S103+J104+N104</f>
        <v>-653317.37759677425</v>
      </c>
    </row>
    <row r="105" spans="1:19">
      <c r="A105" s="57"/>
      <c r="B105" s="81">
        <v>3</v>
      </c>
      <c r="C105" s="61"/>
      <c r="D105" s="44"/>
      <c r="E105" s="44"/>
      <c r="F105" s="60"/>
      <c r="G105" s="85">
        <v>1698.0771666666667</v>
      </c>
      <c r="H105" s="52">
        <v>3078.8953333333334</v>
      </c>
      <c r="I105" s="52">
        <v>858.01283333333333</v>
      </c>
      <c r="J105" s="67">
        <f t="shared" si="3"/>
        <v>-5634.9853333333331</v>
      </c>
      <c r="K105" s="85">
        <v>6838.8910000000005</v>
      </c>
      <c r="L105" s="52">
        <v>15917.602833333332</v>
      </c>
      <c r="M105" s="52">
        <v>4976.3013333333338</v>
      </c>
      <c r="N105" s="67">
        <f t="shared" si="21"/>
        <v>-27732.795166666667</v>
      </c>
      <c r="P105" s="41">
        <f t="shared" ref="P105:P114" si="22">P104-G105-K105</f>
        <v>-184890.17940322583</v>
      </c>
      <c r="Q105" s="41">
        <f t="shared" ref="Q105:Q114" si="23">Q104-H105-L105</f>
        <v>-386297.89293548377</v>
      </c>
      <c r="R105" s="41">
        <f t="shared" ref="R105:R114" si="24">R104-I105-M105</f>
        <v>-115497.08575806454</v>
      </c>
      <c r="S105" s="41">
        <f t="shared" ref="S105:S114" si="25">S104+J105+N105</f>
        <v>-686685.15809677425</v>
      </c>
    </row>
    <row r="106" spans="1:19">
      <c r="A106" s="57"/>
      <c r="B106" s="81">
        <v>4</v>
      </c>
      <c r="C106" s="61"/>
      <c r="D106" s="44"/>
      <c r="E106" s="44"/>
      <c r="F106" s="60"/>
      <c r="G106" s="85">
        <v>1698.0771666666667</v>
      </c>
      <c r="H106" s="52">
        <v>3078.8953333333334</v>
      </c>
      <c r="I106" s="52">
        <v>858.01283333333333</v>
      </c>
      <c r="J106" s="67">
        <f t="shared" si="3"/>
        <v>-5634.9853333333331</v>
      </c>
      <c r="K106" s="85">
        <v>6838.8910000000005</v>
      </c>
      <c r="L106" s="52">
        <v>15917.602833333332</v>
      </c>
      <c r="M106" s="52">
        <v>4976.3013333333338</v>
      </c>
      <c r="N106" s="67">
        <f t="shared" si="21"/>
        <v>-27732.795166666667</v>
      </c>
      <c r="P106" s="41">
        <f t="shared" si="22"/>
        <v>-193427.14756989249</v>
      </c>
      <c r="Q106" s="41">
        <f t="shared" si="23"/>
        <v>-405294.39110215043</v>
      </c>
      <c r="R106" s="41">
        <f t="shared" si="24"/>
        <v>-121331.3999247312</v>
      </c>
      <c r="S106" s="41">
        <f t="shared" si="25"/>
        <v>-720052.93859677424</v>
      </c>
    </row>
    <row r="107" spans="1:19">
      <c r="A107" s="57"/>
      <c r="B107" s="81">
        <v>5</v>
      </c>
      <c r="C107" s="61"/>
      <c r="D107" s="44"/>
      <c r="E107" s="44"/>
      <c r="F107" s="60"/>
      <c r="G107" s="85">
        <v>1698.0771666666667</v>
      </c>
      <c r="H107" s="52">
        <v>3078.8953333333334</v>
      </c>
      <c r="I107" s="52">
        <v>858.01283333333333</v>
      </c>
      <c r="J107" s="67">
        <f t="shared" si="3"/>
        <v>-5634.9853333333331</v>
      </c>
      <c r="K107" s="85">
        <v>6838.8910000000005</v>
      </c>
      <c r="L107" s="52">
        <v>15917.602833333332</v>
      </c>
      <c r="M107" s="52">
        <v>4976.3013333333338</v>
      </c>
      <c r="N107" s="67">
        <f t="shared" si="21"/>
        <v>-27732.795166666667</v>
      </c>
      <c r="P107" s="41">
        <f t="shared" si="22"/>
        <v>-201964.11573655915</v>
      </c>
      <c r="Q107" s="41">
        <f t="shared" si="23"/>
        <v>-424290.88926881709</v>
      </c>
      <c r="R107" s="41">
        <f t="shared" si="24"/>
        <v>-127165.71409139787</v>
      </c>
      <c r="S107" s="41">
        <f t="shared" si="25"/>
        <v>-753420.71909677424</v>
      </c>
    </row>
    <row r="108" spans="1:19">
      <c r="A108" s="57"/>
      <c r="B108" s="81">
        <v>6</v>
      </c>
      <c r="C108" s="61"/>
      <c r="D108" s="44"/>
      <c r="E108" s="44"/>
      <c r="F108" s="60"/>
      <c r="G108" s="85">
        <v>1698.0771666666667</v>
      </c>
      <c r="H108" s="52">
        <v>3078.8953333333334</v>
      </c>
      <c r="I108" s="52">
        <v>858.01283333333333</v>
      </c>
      <c r="J108" s="67">
        <f t="shared" si="3"/>
        <v>-5634.9853333333331</v>
      </c>
      <c r="K108" s="85">
        <v>6838.8910000000005</v>
      </c>
      <c r="L108" s="52">
        <v>15917.602833333332</v>
      </c>
      <c r="M108" s="52">
        <v>4976.3013333333338</v>
      </c>
      <c r="N108" s="67">
        <f t="shared" si="21"/>
        <v>-27732.795166666667</v>
      </c>
      <c r="P108" s="41">
        <f t="shared" si="22"/>
        <v>-210501.08390322581</v>
      </c>
      <c r="Q108" s="41">
        <f t="shared" si="23"/>
        <v>-443287.38743548375</v>
      </c>
      <c r="R108" s="41">
        <f t="shared" si="24"/>
        <v>-133000.02825806453</v>
      </c>
      <c r="S108" s="41">
        <f t="shared" si="25"/>
        <v>-786788.49959677423</v>
      </c>
    </row>
    <row r="109" spans="1:19">
      <c r="A109" s="57"/>
      <c r="B109" s="81">
        <v>7</v>
      </c>
      <c r="C109" s="61"/>
      <c r="D109" s="44"/>
      <c r="E109" s="44"/>
      <c r="F109" s="60"/>
      <c r="G109" s="85">
        <v>1698.0771666666667</v>
      </c>
      <c r="H109" s="52">
        <v>3078.8953333333334</v>
      </c>
      <c r="I109" s="52">
        <v>858.01283333333333</v>
      </c>
      <c r="J109" s="67">
        <f t="shared" si="3"/>
        <v>-5634.9853333333331</v>
      </c>
      <c r="K109" s="85">
        <v>6838.8910000000005</v>
      </c>
      <c r="L109" s="52">
        <v>15917.602833333332</v>
      </c>
      <c r="M109" s="52">
        <v>4976.3013333333338</v>
      </c>
      <c r="N109" s="67">
        <f t="shared" si="21"/>
        <v>-27732.795166666667</v>
      </c>
      <c r="P109" s="41">
        <f t="shared" si="22"/>
        <v>-219038.05206989247</v>
      </c>
      <c r="Q109" s="41">
        <f t="shared" si="23"/>
        <v>-462283.8856021504</v>
      </c>
      <c r="R109" s="41">
        <f t="shared" si="24"/>
        <v>-138834.34242473121</v>
      </c>
      <c r="S109" s="41">
        <f t="shared" si="25"/>
        <v>-820156.28009677422</v>
      </c>
    </row>
    <row r="110" spans="1:19">
      <c r="A110" s="57"/>
      <c r="B110" s="81">
        <v>8</v>
      </c>
      <c r="C110" s="61"/>
      <c r="D110" s="44"/>
      <c r="E110" s="44"/>
      <c r="F110" s="60"/>
      <c r="G110" s="85">
        <v>1698.0771666666667</v>
      </c>
      <c r="H110" s="52">
        <v>3078.8953333333334</v>
      </c>
      <c r="I110" s="52">
        <v>858.01283333333333</v>
      </c>
      <c r="J110" s="67">
        <f t="shared" si="3"/>
        <v>-5634.9853333333331</v>
      </c>
      <c r="K110" s="85">
        <v>6838.8910000000005</v>
      </c>
      <c r="L110" s="52">
        <v>15917.602833333332</v>
      </c>
      <c r="M110" s="52">
        <v>4976.3013333333338</v>
      </c>
      <c r="N110" s="67">
        <f t="shared" si="21"/>
        <v>-27732.795166666667</v>
      </c>
      <c r="P110" s="41">
        <f t="shared" si="22"/>
        <v>-227575.02023655912</v>
      </c>
      <c r="Q110" s="41">
        <f t="shared" si="23"/>
        <v>-481280.38376881706</v>
      </c>
      <c r="R110" s="41">
        <f t="shared" si="24"/>
        <v>-144668.65659139788</v>
      </c>
      <c r="S110" s="41">
        <f t="shared" si="25"/>
        <v>-853524.06059677422</v>
      </c>
    </row>
    <row r="111" spans="1:19">
      <c r="A111" s="57"/>
      <c r="B111" s="81">
        <v>9</v>
      </c>
      <c r="C111" s="61"/>
      <c r="D111" s="44"/>
      <c r="E111" s="44"/>
      <c r="F111" s="60"/>
      <c r="G111" s="85">
        <v>1698.0771666666667</v>
      </c>
      <c r="H111" s="52">
        <v>3078.8953333333334</v>
      </c>
      <c r="I111" s="52">
        <v>858.01283333333333</v>
      </c>
      <c r="J111" s="67">
        <f t="shared" si="3"/>
        <v>-5634.9853333333331</v>
      </c>
      <c r="K111" s="85">
        <v>6838.8910000000005</v>
      </c>
      <c r="L111" s="52">
        <v>15917.602833333332</v>
      </c>
      <c r="M111" s="52">
        <v>4976.3013333333338</v>
      </c>
      <c r="N111" s="67">
        <f t="shared" si="21"/>
        <v>-27732.795166666667</v>
      </c>
      <c r="P111" s="41">
        <f t="shared" si="22"/>
        <v>-236111.98840322578</v>
      </c>
      <c r="Q111" s="41">
        <f t="shared" si="23"/>
        <v>-500276.88193548372</v>
      </c>
      <c r="R111" s="41">
        <f t="shared" si="24"/>
        <v>-150502.97075806456</v>
      </c>
      <c r="S111" s="41">
        <f t="shared" si="25"/>
        <v>-886891.84109677421</v>
      </c>
    </row>
    <row r="112" spans="1:19">
      <c r="A112" s="57"/>
      <c r="B112" s="81">
        <v>10</v>
      </c>
      <c r="C112" s="61"/>
      <c r="D112" s="44"/>
      <c r="E112" s="44"/>
      <c r="F112" s="60"/>
      <c r="G112" s="85">
        <v>1698.0771666666667</v>
      </c>
      <c r="H112" s="52">
        <v>3078.8953333333334</v>
      </c>
      <c r="I112" s="52">
        <v>858.01283333333333</v>
      </c>
      <c r="J112" s="67">
        <f t="shared" si="3"/>
        <v>-5634.9853333333331</v>
      </c>
      <c r="K112" s="85">
        <v>6838.8910000000005</v>
      </c>
      <c r="L112" s="52">
        <v>15917.602833333332</v>
      </c>
      <c r="M112" s="52">
        <v>4976.3013333333338</v>
      </c>
      <c r="N112" s="67">
        <f t="shared" si="21"/>
        <v>-27732.795166666667</v>
      </c>
      <c r="P112" s="41">
        <f t="shared" si="22"/>
        <v>-244648.95656989244</v>
      </c>
      <c r="Q112" s="41">
        <f t="shared" si="23"/>
        <v>-519273.38010215038</v>
      </c>
      <c r="R112" s="41">
        <f t="shared" si="24"/>
        <v>-156337.28492473124</v>
      </c>
      <c r="S112" s="41">
        <f t="shared" si="25"/>
        <v>-920259.6215967742</v>
      </c>
    </row>
    <row r="113" spans="1:19">
      <c r="A113" s="57"/>
      <c r="B113" s="81">
        <v>11</v>
      </c>
      <c r="C113" s="61"/>
      <c r="D113" s="44"/>
      <c r="E113" s="44"/>
      <c r="F113" s="60"/>
      <c r="G113" s="85">
        <v>1698.0771666666667</v>
      </c>
      <c r="H113" s="52">
        <v>3078.8953333333334</v>
      </c>
      <c r="I113" s="52">
        <v>858.01283333333333</v>
      </c>
      <c r="J113" s="67">
        <f t="shared" si="3"/>
        <v>-5634.9853333333331</v>
      </c>
      <c r="K113" s="85">
        <v>6838.8910000000005</v>
      </c>
      <c r="L113" s="52">
        <v>15917.602833333332</v>
      </c>
      <c r="M113" s="52">
        <v>4976.3013333333338</v>
      </c>
      <c r="N113" s="67">
        <f t="shared" si="21"/>
        <v>-27732.795166666667</v>
      </c>
      <c r="P113" s="41">
        <f t="shared" si="22"/>
        <v>-253185.9247365591</v>
      </c>
      <c r="Q113" s="41">
        <f t="shared" si="23"/>
        <v>-538269.87826881709</v>
      </c>
      <c r="R113" s="41">
        <f t="shared" si="24"/>
        <v>-162171.59909139792</v>
      </c>
      <c r="S113" s="41">
        <f t="shared" si="25"/>
        <v>-953627.4020967742</v>
      </c>
    </row>
    <row r="114" spans="1:19">
      <c r="A114" s="57"/>
      <c r="B114" s="81">
        <v>12</v>
      </c>
      <c r="C114" s="61"/>
      <c r="D114" s="44"/>
      <c r="E114" s="44"/>
      <c r="F114" s="60"/>
      <c r="G114" s="85">
        <v>1698.0771666666667</v>
      </c>
      <c r="H114" s="52">
        <v>3078.8953333333334</v>
      </c>
      <c r="I114" s="52">
        <v>858.01283333333333</v>
      </c>
      <c r="J114" s="67">
        <f t="shared" si="3"/>
        <v>-5634.9853333333331</v>
      </c>
      <c r="K114" s="85">
        <v>6838.8910000000005</v>
      </c>
      <c r="L114" s="52">
        <v>15917.602833333332</v>
      </c>
      <c r="M114" s="52">
        <v>4976.3013333333338</v>
      </c>
      <c r="N114" s="67">
        <f t="shared" si="21"/>
        <v>-27732.795166666667</v>
      </c>
      <c r="P114" s="41">
        <f t="shared" si="22"/>
        <v>-261722.89290322576</v>
      </c>
      <c r="Q114" s="41">
        <f t="shared" si="23"/>
        <v>-557266.37643548369</v>
      </c>
      <c r="R114" s="41">
        <f t="shared" si="24"/>
        <v>-168005.9132580646</v>
      </c>
      <c r="S114" s="41">
        <f t="shared" si="25"/>
        <v>-986995.18259677419</v>
      </c>
    </row>
    <row r="115" spans="1:19" ht="15" thickBot="1">
      <c r="A115" s="57" t="s">
        <v>58</v>
      </c>
      <c r="B115" s="81"/>
      <c r="C115" s="61"/>
      <c r="D115" s="44"/>
      <c r="E115" s="44"/>
      <c r="F115" s="60"/>
      <c r="G115" s="62"/>
      <c r="H115" s="63"/>
      <c r="I115" s="63"/>
      <c r="J115" s="64">
        <f>SUM(J103:J114)</f>
        <v>-67619.823999999979</v>
      </c>
      <c r="K115" s="62"/>
      <c r="L115" s="63"/>
      <c r="M115" s="63"/>
      <c r="N115" s="64">
        <f>SUM(N103:N114)</f>
        <v>-332793.54200000007</v>
      </c>
      <c r="P115" s="41"/>
      <c r="Q115" s="41"/>
      <c r="R115" s="41"/>
      <c r="S115" s="41"/>
    </row>
    <row r="116" spans="1:19" ht="15" thickTop="1">
      <c r="A116" s="57">
        <v>2026</v>
      </c>
      <c r="B116" s="81">
        <v>1</v>
      </c>
      <c r="C116" s="61"/>
      <c r="D116" s="44"/>
      <c r="E116" s="44"/>
      <c r="F116" s="60"/>
      <c r="G116" s="65">
        <f>G112*(18/31)</f>
        <v>985.98029032258069</v>
      </c>
      <c r="H116" s="66">
        <f>H112*(18/31)</f>
        <v>1787.7456774193549</v>
      </c>
      <c r="I116" s="66">
        <f>I112*(18/31)</f>
        <v>498.20100000000002</v>
      </c>
      <c r="J116" s="67">
        <f>-SUM(G116:I116)</f>
        <v>-3271.9269677419356</v>
      </c>
      <c r="K116" s="85">
        <v>6838.8910000000005</v>
      </c>
      <c r="L116" s="52">
        <v>15917.602833333332</v>
      </c>
      <c r="M116" s="52">
        <v>4976.3013333333338</v>
      </c>
      <c r="N116" s="67">
        <f t="shared" ref="N116:N127" si="26">-SUM(K116:M116)</f>
        <v>-27732.795166666667</v>
      </c>
      <c r="P116" s="41">
        <f>P114-G116-K116</f>
        <v>-269547.76419354836</v>
      </c>
      <c r="Q116" s="41">
        <f>Q114-H116-L116</f>
        <v>-574971.72494623635</v>
      </c>
      <c r="R116" s="41">
        <f>R114-I116-M116</f>
        <v>-173480.41559139793</v>
      </c>
      <c r="S116" s="41">
        <f>S114+J116+N116</f>
        <v>-1017999.9047311827</v>
      </c>
    </row>
    <row r="117" spans="1:19">
      <c r="A117" s="57"/>
      <c r="B117" s="81">
        <v>2</v>
      </c>
      <c r="C117" s="61"/>
      <c r="D117" s="44"/>
      <c r="E117" s="44"/>
      <c r="F117" s="60"/>
      <c r="G117" s="65">
        <v>0</v>
      </c>
      <c r="H117" s="66">
        <v>0</v>
      </c>
      <c r="I117" s="66">
        <v>0</v>
      </c>
      <c r="J117" s="58">
        <f t="shared" ref="J117:J127" si="27">SUM(G117:I117)</f>
        <v>0</v>
      </c>
      <c r="K117" s="85">
        <v>6838.8910000000005</v>
      </c>
      <c r="L117" s="52">
        <v>15917.602833333332</v>
      </c>
      <c r="M117" s="52">
        <v>4976.3013333333338</v>
      </c>
      <c r="N117" s="67">
        <f t="shared" si="26"/>
        <v>-27732.795166666667</v>
      </c>
      <c r="P117" s="41">
        <f>P116-G117-K117</f>
        <v>-276386.65519354836</v>
      </c>
      <c r="Q117" s="41">
        <f>Q116-H117-L117</f>
        <v>-590889.32777956966</v>
      </c>
      <c r="R117" s="41">
        <f>R116-I117-M117</f>
        <v>-178456.71692473127</v>
      </c>
      <c r="S117" s="41">
        <f>S116+J117+N117</f>
        <v>-1045732.6998978494</v>
      </c>
    </row>
    <row r="118" spans="1:19">
      <c r="A118" s="57"/>
      <c r="B118" s="81">
        <v>3</v>
      </c>
      <c r="C118" s="61"/>
      <c r="D118" s="44"/>
      <c r="E118" s="44"/>
      <c r="F118" s="60"/>
      <c r="G118" s="65">
        <v>0</v>
      </c>
      <c r="H118" s="66">
        <v>0</v>
      </c>
      <c r="I118" s="66">
        <v>0</v>
      </c>
      <c r="J118" s="58">
        <f t="shared" si="27"/>
        <v>0</v>
      </c>
      <c r="K118" s="85">
        <v>6838.8910000000005</v>
      </c>
      <c r="L118" s="52">
        <v>15917.602833333332</v>
      </c>
      <c r="M118" s="52">
        <v>4976.3013333333338</v>
      </c>
      <c r="N118" s="67">
        <f t="shared" si="26"/>
        <v>-27732.795166666667</v>
      </c>
      <c r="P118" s="41">
        <f t="shared" ref="P118:P127" si="28">P117-G118-K118</f>
        <v>-283225.54619354836</v>
      </c>
      <c r="Q118" s="41">
        <f t="shared" ref="Q118:Q127" si="29">Q117-H118-L118</f>
        <v>-606806.93061290297</v>
      </c>
      <c r="R118" s="41">
        <f t="shared" ref="R118:R127" si="30">R117-I118-M118</f>
        <v>-183433.01825806461</v>
      </c>
      <c r="S118" s="41">
        <f t="shared" ref="S118:S127" si="31">S117+J118+N118</f>
        <v>-1073465.4950645161</v>
      </c>
    </row>
    <row r="119" spans="1:19">
      <c r="A119" s="57"/>
      <c r="B119" s="81">
        <v>4</v>
      </c>
      <c r="C119" s="61"/>
      <c r="D119" s="44"/>
      <c r="E119" s="44"/>
      <c r="F119" s="60"/>
      <c r="G119" s="65">
        <v>0</v>
      </c>
      <c r="H119" s="66">
        <v>0</v>
      </c>
      <c r="I119" s="66">
        <v>0</v>
      </c>
      <c r="J119" s="58">
        <f t="shared" si="27"/>
        <v>0</v>
      </c>
      <c r="K119" s="85">
        <v>6838.8910000000005</v>
      </c>
      <c r="L119" s="52">
        <v>15917.602833333332</v>
      </c>
      <c r="M119" s="52">
        <v>4976.3013333333338</v>
      </c>
      <c r="N119" s="67">
        <f t="shared" si="26"/>
        <v>-27732.795166666667</v>
      </c>
      <c r="P119" s="41">
        <f t="shared" si="28"/>
        <v>-290064.43719354837</v>
      </c>
      <c r="Q119" s="41">
        <f t="shared" si="29"/>
        <v>-622724.53344623628</v>
      </c>
      <c r="R119" s="41">
        <f t="shared" si="30"/>
        <v>-188409.31959139794</v>
      </c>
      <c r="S119" s="41">
        <f t="shared" si="31"/>
        <v>-1101198.2902311827</v>
      </c>
    </row>
    <row r="120" spans="1:19">
      <c r="A120" s="57"/>
      <c r="B120" s="81">
        <v>5</v>
      </c>
      <c r="C120" s="61"/>
      <c r="D120" s="44"/>
      <c r="E120" s="44"/>
      <c r="F120" s="60"/>
      <c r="G120" s="65">
        <v>0</v>
      </c>
      <c r="H120" s="66">
        <v>0</v>
      </c>
      <c r="I120" s="66">
        <v>0</v>
      </c>
      <c r="J120" s="58">
        <f t="shared" si="27"/>
        <v>0</v>
      </c>
      <c r="K120" s="85">
        <v>6838.8910000000005</v>
      </c>
      <c r="L120" s="52">
        <v>15917.602833333332</v>
      </c>
      <c r="M120" s="52">
        <v>4976.3013333333338</v>
      </c>
      <c r="N120" s="67">
        <f t="shared" si="26"/>
        <v>-27732.795166666667</v>
      </c>
      <c r="P120" s="41">
        <f t="shared" si="28"/>
        <v>-296903.32819354837</v>
      </c>
      <c r="Q120" s="41">
        <f t="shared" si="29"/>
        <v>-638642.13627956959</v>
      </c>
      <c r="R120" s="41">
        <f t="shared" si="30"/>
        <v>-193385.62092473128</v>
      </c>
      <c r="S120" s="41">
        <f t="shared" si="31"/>
        <v>-1128931.0853978493</v>
      </c>
    </row>
    <row r="121" spans="1:19">
      <c r="A121" s="57"/>
      <c r="B121" s="81">
        <v>6</v>
      </c>
      <c r="C121" s="61"/>
      <c r="D121" s="44"/>
      <c r="E121" s="44"/>
      <c r="F121" s="60"/>
      <c r="G121" s="65">
        <v>0</v>
      </c>
      <c r="H121" s="66">
        <v>0</v>
      </c>
      <c r="I121" s="66">
        <v>0</v>
      </c>
      <c r="J121" s="58">
        <f t="shared" si="27"/>
        <v>0</v>
      </c>
      <c r="K121" s="85">
        <v>6838.8910000000005</v>
      </c>
      <c r="L121" s="52">
        <v>15917.602833333332</v>
      </c>
      <c r="M121" s="52">
        <v>4976.3013333333338</v>
      </c>
      <c r="N121" s="67">
        <f t="shared" si="26"/>
        <v>-27732.795166666667</v>
      </c>
      <c r="P121" s="41">
        <f t="shared" si="28"/>
        <v>-303742.21919354837</v>
      </c>
      <c r="Q121" s="41">
        <f t="shared" si="29"/>
        <v>-654559.7391129029</v>
      </c>
      <c r="R121" s="41">
        <f t="shared" si="30"/>
        <v>-198361.92225806462</v>
      </c>
      <c r="S121" s="41">
        <f t="shared" si="31"/>
        <v>-1156663.8805645159</v>
      </c>
    </row>
    <row r="122" spans="1:19">
      <c r="A122" s="57"/>
      <c r="B122" s="81">
        <v>7</v>
      </c>
      <c r="C122" s="61"/>
      <c r="D122" s="44"/>
      <c r="E122" s="44"/>
      <c r="F122" s="60"/>
      <c r="G122" s="65">
        <v>0</v>
      </c>
      <c r="H122" s="66">
        <v>0</v>
      </c>
      <c r="I122" s="66">
        <v>0</v>
      </c>
      <c r="J122" s="58">
        <f t="shared" si="27"/>
        <v>0</v>
      </c>
      <c r="K122" s="85">
        <v>6838.8910000000005</v>
      </c>
      <c r="L122" s="52">
        <v>15917.602833333332</v>
      </c>
      <c r="M122" s="52">
        <v>4976.3013333333338</v>
      </c>
      <c r="N122" s="67">
        <f t="shared" si="26"/>
        <v>-27732.795166666667</v>
      </c>
      <c r="P122" s="41">
        <f t="shared" si="28"/>
        <v>-310581.11019354837</v>
      </c>
      <c r="Q122" s="41">
        <f t="shared" si="29"/>
        <v>-670477.34194623621</v>
      </c>
      <c r="R122" s="41">
        <f t="shared" si="30"/>
        <v>-203338.22359139795</v>
      </c>
      <c r="S122" s="41">
        <f t="shared" si="31"/>
        <v>-1184396.6757311826</v>
      </c>
    </row>
    <row r="123" spans="1:19">
      <c r="A123" s="57"/>
      <c r="B123" s="81">
        <v>8</v>
      </c>
      <c r="C123" s="61"/>
      <c r="D123" s="44"/>
      <c r="E123" s="44"/>
      <c r="F123" s="60"/>
      <c r="G123" s="65">
        <v>0</v>
      </c>
      <c r="H123" s="66">
        <v>0</v>
      </c>
      <c r="I123" s="66">
        <v>0</v>
      </c>
      <c r="J123" s="58">
        <f t="shared" si="27"/>
        <v>0</v>
      </c>
      <c r="K123" s="85">
        <v>6838.8910000000005</v>
      </c>
      <c r="L123" s="52">
        <v>15917.602833333332</v>
      </c>
      <c r="M123" s="52">
        <v>4976.3013333333338</v>
      </c>
      <c r="N123" s="67">
        <f t="shared" si="26"/>
        <v>-27732.795166666667</v>
      </c>
      <c r="P123" s="41">
        <f t="shared" si="28"/>
        <v>-317420.00119354838</v>
      </c>
      <c r="Q123" s="41">
        <f t="shared" si="29"/>
        <v>-686394.94477956952</v>
      </c>
      <c r="R123" s="41">
        <f t="shared" si="30"/>
        <v>-208314.52492473129</v>
      </c>
      <c r="S123" s="41">
        <f t="shared" si="31"/>
        <v>-1212129.4708978492</v>
      </c>
    </row>
    <row r="124" spans="1:19">
      <c r="A124" s="57"/>
      <c r="B124" s="81">
        <v>9</v>
      </c>
      <c r="C124" s="61"/>
      <c r="D124" s="44"/>
      <c r="E124" s="44"/>
      <c r="F124" s="60"/>
      <c r="G124" s="65">
        <v>0</v>
      </c>
      <c r="H124" s="66">
        <v>0</v>
      </c>
      <c r="I124" s="66">
        <v>0</v>
      </c>
      <c r="J124" s="58">
        <f t="shared" si="27"/>
        <v>0</v>
      </c>
      <c r="K124" s="85">
        <v>6838.8910000000005</v>
      </c>
      <c r="L124" s="52">
        <v>15917.602833333332</v>
      </c>
      <c r="M124" s="52">
        <v>4976.3013333333338</v>
      </c>
      <c r="N124" s="67">
        <f t="shared" si="26"/>
        <v>-27732.795166666667</v>
      </c>
      <c r="P124" s="41">
        <f t="shared" si="28"/>
        <v>-324258.89219354838</v>
      </c>
      <c r="Q124" s="41">
        <f t="shared" si="29"/>
        <v>-702312.54761290282</v>
      </c>
      <c r="R124" s="41">
        <f t="shared" si="30"/>
        <v>-213290.82625806463</v>
      </c>
      <c r="S124" s="41">
        <f t="shared" si="31"/>
        <v>-1239862.2660645158</v>
      </c>
    </row>
    <row r="125" spans="1:19">
      <c r="A125" s="57"/>
      <c r="B125" s="81">
        <v>10</v>
      </c>
      <c r="C125" s="61"/>
      <c r="D125" s="44"/>
      <c r="E125" s="44"/>
      <c r="F125" s="60"/>
      <c r="G125" s="65">
        <v>0</v>
      </c>
      <c r="H125" s="66">
        <v>0</v>
      </c>
      <c r="I125" s="66">
        <v>0</v>
      </c>
      <c r="J125" s="58">
        <f t="shared" si="27"/>
        <v>0</v>
      </c>
      <c r="K125" s="85">
        <v>6838.8910000000005</v>
      </c>
      <c r="L125" s="52">
        <v>15917.602833333332</v>
      </c>
      <c r="M125" s="52">
        <v>4976.3013333333338</v>
      </c>
      <c r="N125" s="67">
        <f t="shared" si="26"/>
        <v>-27732.795166666667</v>
      </c>
      <c r="P125" s="41">
        <f t="shared" si="28"/>
        <v>-331097.78319354838</v>
      </c>
      <c r="Q125" s="41">
        <f t="shared" si="29"/>
        <v>-718230.15044623613</v>
      </c>
      <c r="R125" s="41">
        <f t="shared" si="30"/>
        <v>-218267.12759139796</v>
      </c>
      <c r="S125" s="41">
        <f t="shared" si="31"/>
        <v>-1267595.0612311824</v>
      </c>
    </row>
    <row r="126" spans="1:19">
      <c r="A126" s="57"/>
      <c r="B126" s="81">
        <v>11</v>
      </c>
      <c r="C126" s="61"/>
      <c r="D126" s="44"/>
      <c r="E126" s="44"/>
      <c r="F126" s="60"/>
      <c r="G126" s="65">
        <v>0</v>
      </c>
      <c r="H126" s="66">
        <v>0</v>
      </c>
      <c r="I126" s="66">
        <v>0</v>
      </c>
      <c r="J126" s="58">
        <f t="shared" si="27"/>
        <v>0</v>
      </c>
      <c r="K126" s="85">
        <v>6838.8910000000005</v>
      </c>
      <c r="L126" s="52">
        <v>15917.602833333332</v>
      </c>
      <c r="M126" s="52">
        <v>4976.3013333333338</v>
      </c>
      <c r="N126" s="67">
        <f t="shared" si="26"/>
        <v>-27732.795166666667</v>
      </c>
      <c r="P126" s="41">
        <f t="shared" si="28"/>
        <v>-337936.67419354839</v>
      </c>
      <c r="Q126" s="41">
        <f t="shared" si="29"/>
        <v>-734147.75327956944</v>
      </c>
      <c r="R126" s="41">
        <f t="shared" si="30"/>
        <v>-223243.4289247313</v>
      </c>
      <c r="S126" s="41">
        <f t="shared" si="31"/>
        <v>-1295327.856397849</v>
      </c>
    </row>
    <row r="127" spans="1:19">
      <c r="A127" s="57"/>
      <c r="B127" s="81">
        <v>12</v>
      </c>
      <c r="C127" s="61"/>
      <c r="D127" s="44"/>
      <c r="E127" s="44"/>
      <c r="F127" s="60"/>
      <c r="G127" s="65">
        <v>0</v>
      </c>
      <c r="H127" s="66">
        <v>0</v>
      </c>
      <c r="I127" s="66">
        <v>0</v>
      </c>
      <c r="J127" s="58">
        <f t="shared" si="27"/>
        <v>0</v>
      </c>
      <c r="K127" s="85">
        <v>6838.8910000000005</v>
      </c>
      <c r="L127" s="52">
        <v>15917.602833333332</v>
      </c>
      <c r="M127" s="52">
        <v>4976.3013333333338</v>
      </c>
      <c r="N127" s="67">
        <f t="shared" si="26"/>
        <v>-27732.795166666667</v>
      </c>
      <c r="P127" s="41">
        <f t="shared" si="28"/>
        <v>-344775.56519354839</v>
      </c>
      <c r="Q127" s="41">
        <f t="shared" si="29"/>
        <v>-750065.35611290275</v>
      </c>
      <c r="R127" s="41">
        <f t="shared" si="30"/>
        <v>-228219.73025806464</v>
      </c>
      <c r="S127" s="41">
        <f t="shared" si="31"/>
        <v>-1323060.6515645157</v>
      </c>
    </row>
    <row r="128" spans="1:19" ht="15" thickBot="1">
      <c r="A128" s="81" t="s">
        <v>59</v>
      </c>
      <c r="B128" s="81"/>
      <c r="C128" s="61"/>
      <c r="D128" s="44"/>
      <c r="E128" s="44"/>
      <c r="F128" s="60"/>
      <c r="G128" s="62"/>
      <c r="H128" s="63"/>
      <c r="I128" s="63"/>
      <c r="J128" s="64">
        <f>SUM(J116:J127)</f>
        <v>-3271.9269677419356</v>
      </c>
      <c r="K128" s="62"/>
      <c r="L128" s="63"/>
      <c r="M128" s="63"/>
      <c r="N128" s="64">
        <f>SUM(N116:N127)</f>
        <v>-332793.54200000007</v>
      </c>
    </row>
    <row r="129" spans="1:19" ht="15" thickTop="1">
      <c r="A129" s="57">
        <v>2027</v>
      </c>
      <c r="B129" s="81">
        <v>1</v>
      </c>
      <c r="C129" s="61"/>
      <c r="D129" s="44"/>
      <c r="E129" s="44"/>
      <c r="F129" s="60"/>
      <c r="G129" s="85"/>
      <c r="H129" s="52"/>
      <c r="I129" s="52"/>
      <c r="J129" s="88"/>
      <c r="K129" s="85">
        <v>6838.8910000000005</v>
      </c>
      <c r="L129" s="52">
        <v>15917.602833333332</v>
      </c>
      <c r="M129" s="52">
        <v>4976.3013333333338</v>
      </c>
      <c r="N129" s="67">
        <f t="shared" ref="N129:N140" si="32">-SUM(K129:M129)</f>
        <v>-27732.795166666667</v>
      </c>
      <c r="P129" s="41">
        <f>P127-G129-K129</f>
        <v>-351614.45619354839</v>
      </c>
      <c r="Q129" s="41">
        <f>Q127-H129-L129</f>
        <v>-765982.95894623606</v>
      </c>
      <c r="R129" s="41">
        <f>R127-I129-M129</f>
        <v>-233196.03159139797</v>
      </c>
      <c r="S129" s="41">
        <f>S127+J129+N129</f>
        <v>-1350793.4467311823</v>
      </c>
    </row>
    <row r="130" spans="1:19">
      <c r="A130" s="57"/>
      <c r="B130" s="81">
        <v>2</v>
      </c>
      <c r="C130" s="61"/>
      <c r="D130" s="44"/>
      <c r="E130" s="44"/>
      <c r="F130" s="60"/>
      <c r="G130" s="85"/>
      <c r="H130" s="52"/>
      <c r="I130" s="52"/>
      <c r="J130" s="88"/>
      <c r="K130" s="85">
        <v>6838.8910000000005</v>
      </c>
      <c r="L130" s="52">
        <v>15917.602833333332</v>
      </c>
      <c r="M130" s="52">
        <v>4976.3013333333338</v>
      </c>
      <c r="N130" s="67">
        <f t="shared" si="32"/>
        <v>-27732.795166666667</v>
      </c>
      <c r="P130" s="41">
        <f>P129-G130-K130</f>
        <v>-358453.3471935484</v>
      </c>
      <c r="Q130" s="41">
        <f>Q129-H130-L130</f>
        <v>-781900.56177956937</v>
      </c>
      <c r="R130" s="41">
        <f>R129-I130-M130</f>
        <v>-238172.33292473131</v>
      </c>
      <c r="S130" s="41">
        <f>S129+J130+N130</f>
        <v>-1378526.2418978489</v>
      </c>
    </row>
    <row r="131" spans="1:19">
      <c r="A131" s="57"/>
      <c r="B131" s="81">
        <v>3</v>
      </c>
      <c r="C131" s="61"/>
      <c r="D131" s="44"/>
      <c r="E131" s="44"/>
      <c r="F131" s="60"/>
      <c r="G131" s="85"/>
      <c r="H131" s="52"/>
      <c r="I131" s="52"/>
      <c r="J131" s="88"/>
      <c r="K131" s="85">
        <v>6838.8910000000005</v>
      </c>
      <c r="L131" s="52">
        <v>15917.602833333332</v>
      </c>
      <c r="M131" s="52">
        <v>4976.3013333333338</v>
      </c>
      <c r="N131" s="67">
        <f t="shared" si="32"/>
        <v>-27732.795166666667</v>
      </c>
      <c r="P131" s="41">
        <f t="shared" ref="P131:P140" si="33">P130-G131-K131</f>
        <v>-365292.2381935484</v>
      </c>
      <c r="Q131" s="41">
        <f t="shared" ref="Q131:Q140" si="34">Q130-H131-L131</f>
        <v>-797818.16461290268</v>
      </c>
      <c r="R131" s="41">
        <f t="shared" ref="R131:R140" si="35">R130-I131-M131</f>
        <v>-243148.63425806465</v>
      </c>
      <c r="S131" s="41">
        <f t="shared" ref="S131:S140" si="36">S130+J131+N131</f>
        <v>-1406259.0370645155</v>
      </c>
    </row>
    <row r="132" spans="1:19">
      <c r="A132" s="57"/>
      <c r="B132" s="81">
        <v>4</v>
      </c>
      <c r="C132" s="61"/>
      <c r="D132" s="44"/>
      <c r="E132" s="44"/>
      <c r="F132" s="60"/>
      <c r="G132" s="85"/>
      <c r="H132" s="52"/>
      <c r="I132" s="52"/>
      <c r="J132" s="88"/>
      <c r="K132" s="85">
        <v>6838.8910000000005</v>
      </c>
      <c r="L132" s="52">
        <v>15917.602833333332</v>
      </c>
      <c r="M132" s="52">
        <v>4976.3013333333338</v>
      </c>
      <c r="N132" s="67">
        <f t="shared" si="32"/>
        <v>-27732.795166666667</v>
      </c>
      <c r="P132" s="41">
        <f t="shared" si="33"/>
        <v>-372131.1291935484</v>
      </c>
      <c r="Q132" s="41">
        <f t="shared" si="34"/>
        <v>-813735.76744623599</v>
      </c>
      <c r="R132" s="41">
        <f t="shared" si="35"/>
        <v>-248124.93559139798</v>
      </c>
      <c r="S132" s="41">
        <f t="shared" si="36"/>
        <v>-1433991.8322311821</v>
      </c>
    </row>
    <row r="133" spans="1:19">
      <c r="A133" s="57"/>
      <c r="B133" s="81">
        <v>5</v>
      </c>
      <c r="C133" s="61"/>
      <c r="D133" s="44"/>
      <c r="E133" s="44"/>
      <c r="F133" s="60"/>
      <c r="G133" s="85"/>
      <c r="H133" s="52"/>
      <c r="I133" s="52"/>
      <c r="J133" s="88"/>
      <c r="K133" s="85">
        <v>6838.8910000000005</v>
      </c>
      <c r="L133" s="52">
        <v>15917.602833333332</v>
      </c>
      <c r="M133" s="52">
        <v>4976.3013333333338</v>
      </c>
      <c r="N133" s="67">
        <f t="shared" si="32"/>
        <v>-27732.795166666667</v>
      </c>
      <c r="P133" s="41">
        <f t="shared" si="33"/>
        <v>-378970.02019354841</v>
      </c>
      <c r="Q133" s="41">
        <f t="shared" si="34"/>
        <v>-829653.3702795693</v>
      </c>
      <c r="R133" s="41">
        <f t="shared" si="35"/>
        <v>-253101.23692473132</v>
      </c>
      <c r="S133" s="41">
        <f t="shared" si="36"/>
        <v>-1461724.6273978488</v>
      </c>
    </row>
    <row r="134" spans="1:19">
      <c r="A134" s="57"/>
      <c r="B134" s="81">
        <v>6</v>
      </c>
      <c r="C134" s="61"/>
      <c r="D134" s="44"/>
      <c r="E134" s="44"/>
      <c r="F134" s="60"/>
      <c r="G134" s="85"/>
      <c r="H134" s="52"/>
      <c r="I134" s="52"/>
      <c r="J134" s="88"/>
      <c r="K134" s="85">
        <v>6838.8910000000005</v>
      </c>
      <c r="L134" s="52">
        <v>15917.602833333332</v>
      </c>
      <c r="M134" s="52">
        <v>4976.3013333333338</v>
      </c>
      <c r="N134" s="67">
        <f t="shared" si="32"/>
        <v>-27732.795166666667</v>
      </c>
      <c r="P134" s="41">
        <f t="shared" si="33"/>
        <v>-385808.91119354841</v>
      </c>
      <c r="Q134" s="41">
        <f t="shared" si="34"/>
        <v>-845570.9731129026</v>
      </c>
      <c r="R134" s="41">
        <f t="shared" si="35"/>
        <v>-258077.53825806465</v>
      </c>
      <c r="S134" s="41">
        <f t="shared" si="36"/>
        <v>-1489457.4225645154</v>
      </c>
    </row>
    <row r="135" spans="1:19">
      <c r="A135" s="57"/>
      <c r="B135" s="81">
        <v>7</v>
      </c>
      <c r="C135" s="61"/>
      <c r="D135" s="44"/>
      <c r="E135" s="44"/>
      <c r="F135" s="60"/>
      <c r="G135" s="85"/>
      <c r="H135" s="52"/>
      <c r="I135" s="52"/>
      <c r="J135" s="88"/>
      <c r="K135" s="85">
        <v>6838.8910000000005</v>
      </c>
      <c r="L135" s="52">
        <v>15917.602833333332</v>
      </c>
      <c r="M135" s="52">
        <v>4976.3013333333338</v>
      </c>
      <c r="N135" s="67">
        <f t="shared" si="32"/>
        <v>-27732.795166666667</v>
      </c>
      <c r="P135" s="41">
        <f t="shared" si="33"/>
        <v>-392647.80219354841</v>
      </c>
      <c r="Q135" s="41">
        <f t="shared" si="34"/>
        <v>-861488.57594623591</v>
      </c>
      <c r="R135" s="41">
        <f t="shared" si="35"/>
        <v>-263053.83959139796</v>
      </c>
      <c r="S135" s="41">
        <f t="shared" si="36"/>
        <v>-1517190.217731182</v>
      </c>
    </row>
    <row r="136" spans="1:19">
      <c r="A136" s="57"/>
      <c r="B136" s="81">
        <v>8</v>
      </c>
      <c r="C136" s="61"/>
      <c r="D136" s="44"/>
      <c r="E136" s="44"/>
      <c r="F136" s="60"/>
      <c r="G136" s="85"/>
      <c r="H136" s="52"/>
      <c r="I136" s="52"/>
      <c r="J136" s="88"/>
      <c r="K136" s="85">
        <v>6838.8910000000005</v>
      </c>
      <c r="L136" s="52">
        <v>15917.602833333332</v>
      </c>
      <c r="M136" s="52">
        <v>4976.3013333333338</v>
      </c>
      <c r="N136" s="67">
        <f t="shared" si="32"/>
        <v>-27732.795166666667</v>
      </c>
      <c r="P136" s="41">
        <f t="shared" si="33"/>
        <v>-399486.69319354842</v>
      </c>
      <c r="Q136" s="41">
        <f t="shared" si="34"/>
        <v>-877406.17877956922</v>
      </c>
      <c r="R136" s="41">
        <f t="shared" si="35"/>
        <v>-268030.14092473127</v>
      </c>
      <c r="S136" s="41">
        <f t="shared" si="36"/>
        <v>-1544923.0128978486</v>
      </c>
    </row>
    <row r="137" spans="1:19">
      <c r="A137" s="57"/>
      <c r="B137" s="81">
        <v>9</v>
      </c>
      <c r="C137" s="61"/>
      <c r="D137" s="44"/>
      <c r="E137" s="44"/>
      <c r="F137" s="60"/>
      <c r="G137" s="85"/>
      <c r="H137" s="52"/>
      <c r="I137" s="52"/>
      <c r="J137" s="88"/>
      <c r="K137" s="85">
        <v>6838.8910000000005</v>
      </c>
      <c r="L137" s="52">
        <v>15917.602833333332</v>
      </c>
      <c r="M137" s="52">
        <v>4976.3013333333338</v>
      </c>
      <c r="N137" s="67">
        <f t="shared" si="32"/>
        <v>-27732.795166666667</v>
      </c>
      <c r="P137" s="41">
        <f t="shared" si="33"/>
        <v>-406325.58419354842</v>
      </c>
      <c r="Q137" s="41">
        <f t="shared" si="34"/>
        <v>-893323.78161290253</v>
      </c>
      <c r="R137" s="41">
        <f t="shared" si="35"/>
        <v>-273006.44225806458</v>
      </c>
      <c r="S137" s="41">
        <f t="shared" si="36"/>
        <v>-1572655.8080645152</v>
      </c>
    </row>
    <row r="138" spans="1:19">
      <c r="A138" s="57"/>
      <c r="B138" s="81">
        <v>10</v>
      </c>
      <c r="C138" s="61"/>
      <c r="D138" s="44"/>
      <c r="E138" s="44"/>
      <c r="F138" s="60"/>
      <c r="G138" s="85"/>
      <c r="H138" s="52"/>
      <c r="I138" s="52"/>
      <c r="J138" s="88"/>
      <c r="K138" s="85">
        <v>6838.8910000000005</v>
      </c>
      <c r="L138" s="52">
        <v>15917.602833333332</v>
      </c>
      <c r="M138" s="52">
        <v>4976.3013333333338</v>
      </c>
      <c r="N138" s="67">
        <f t="shared" si="32"/>
        <v>-27732.795166666667</v>
      </c>
      <c r="P138" s="41">
        <f t="shared" si="33"/>
        <v>-413164.47519354842</v>
      </c>
      <c r="Q138" s="41">
        <f t="shared" si="34"/>
        <v>-909241.38444623584</v>
      </c>
      <c r="R138" s="41">
        <f t="shared" si="35"/>
        <v>-277982.74359139788</v>
      </c>
      <c r="S138" s="41">
        <f t="shared" si="36"/>
        <v>-1600388.6032311819</v>
      </c>
    </row>
    <row r="139" spans="1:19">
      <c r="A139" s="57"/>
      <c r="B139" s="81">
        <v>11</v>
      </c>
      <c r="C139" s="61"/>
      <c r="D139" s="44"/>
      <c r="E139" s="44"/>
      <c r="F139" s="60"/>
      <c r="G139" s="85"/>
      <c r="H139" s="52"/>
      <c r="I139" s="52"/>
      <c r="J139" s="88"/>
      <c r="K139" s="85">
        <v>6838.8910000000005</v>
      </c>
      <c r="L139" s="52">
        <v>15917.602833333332</v>
      </c>
      <c r="M139" s="52">
        <v>4976.3013333333338</v>
      </c>
      <c r="N139" s="67">
        <f t="shared" si="32"/>
        <v>-27732.795166666667</v>
      </c>
      <c r="P139" s="41">
        <f t="shared" si="33"/>
        <v>-420003.36619354843</v>
      </c>
      <c r="Q139" s="41">
        <f t="shared" si="34"/>
        <v>-925158.98727956915</v>
      </c>
      <c r="R139" s="41">
        <f t="shared" si="35"/>
        <v>-282959.04492473119</v>
      </c>
      <c r="S139" s="41">
        <f t="shared" si="36"/>
        <v>-1628121.3983978485</v>
      </c>
    </row>
    <row r="140" spans="1:19">
      <c r="A140" s="57"/>
      <c r="B140" s="81">
        <v>12</v>
      </c>
      <c r="C140" s="61"/>
      <c r="D140" s="44"/>
      <c r="E140" s="44"/>
      <c r="F140" s="60"/>
      <c r="G140" s="85"/>
      <c r="H140" s="52"/>
      <c r="I140" s="52"/>
      <c r="J140" s="88"/>
      <c r="K140" s="85">
        <v>6838.8910000000005</v>
      </c>
      <c r="L140" s="52">
        <v>15917.602833333332</v>
      </c>
      <c r="M140" s="52">
        <v>4976.3013333333338</v>
      </c>
      <c r="N140" s="67">
        <f t="shared" si="32"/>
        <v>-27732.795166666667</v>
      </c>
      <c r="P140" s="41">
        <f t="shared" si="33"/>
        <v>-426842.25719354843</v>
      </c>
      <c r="Q140" s="41">
        <f t="shared" si="34"/>
        <v>-941076.59011290246</v>
      </c>
      <c r="R140" s="41">
        <f t="shared" si="35"/>
        <v>-287935.3462580645</v>
      </c>
      <c r="S140" s="41">
        <f t="shared" si="36"/>
        <v>-1655854.1935645151</v>
      </c>
    </row>
    <row r="141" spans="1:19" ht="15" thickBot="1">
      <c r="A141" s="57" t="s">
        <v>63</v>
      </c>
      <c r="B141" s="81"/>
      <c r="C141" s="61"/>
      <c r="D141" s="44"/>
      <c r="E141" s="44"/>
      <c r="F141" s="60"/>
      <c r="G141" s="85"/>
      <c r="H141" s="52"/>
      <c r="I141" s="52"/>
      <c r="J141" s="88"/>
      <c r="K141" s="62"/>
      <c r="L141" s="63"/>
      <c r="M141" s="63"/>
      <c r="N141" s="64">
        <f>SUM(N129:N140)</f>
        <v>-332793.54200000007</v>
      </c>
    </row>
    <row r="142" spans="1:19" ht="15" thickTop="1">
      <c r="A142" s="81">
        <v>2028</v>
      </c>
      <c r="B142" s="81">
        <v>1</v>
      </c>
      <c r="C142" s="61"/>
      <c r="D142" s="44"/>
      <c r="E142" s="44"/>
      <c r="F142" s="60"/>
      <c r="G142" s="85"/>
      <c r="H142" s="52"/>
      <c r="I142" s="52"/>
      <c r="J142" s="88"/>
      <c r="K142" s="85">
        <v>6838.8910000000005</v>
      </c>
      <c r="L142" s="52">
        <v>15917.602833333332</v>
      </c>
      <c r="M142" s="52">
        <v>4976.3013333333338</v>
      </c>
      <c r="N142" s="67">
        <f t="shared" ref="N142:N153" si="37">-SUM(K142:M142)</f>
        <v>-27732.795166666667</v>
      </c>
      <c r="P142" s="41">
        <f>P140-G142-K142</f>
        <v>-433681.14819354843</v>
      </c>
      <c r="Q142" s="41">
        <f>Q140-H142-L142</f>
        <v>-956994.19294623577</v>
      </c>
      <c r="R142" s="41">
        <f>R140-I142-M142</f>
        <v>-292911.64759139781</v>
      </c>
      <c r="S142" s="41">
        <f>S140+J142+N142</f>
        <v>-1683586.9887311817</v>
      </c>
    </row>
    <row r="143" spans="1:19">
      <c r="A143" s="81"/>
      <c r="B143" s="81">
        <v>2</v>
      </c>
      <c r="C143" s="61"/>
      <c r="D143" s="44"/>
      <c r="E143" s="44"/>
      <c r="F143" s="60"/>
      <c r="G143" s="85"/>
      <c r="H143" s="52"/>
      <c r="I143" s="52"/>
      <c r="J143" s="88"/>
      <c r="K143" s="85">
        <v>6838.8910000000005</v>
      </c>
      <c r="L143" s="52">
        <v>15917.602833333332</v>
      </c>
      <c r="M143" s="52">
        <v>4976.3013333333338</v>
      </c>
      <c r="N143" s="67">
        <f t="shared" si="37"/>
        <v>-27732.795166666667</v>
      </c>
      <c r="P143" s="41">
        <f>P142-G143-K143</f>
        <v>-440520.03919354844</v>
      </c>
      <c r="Q143" s="41">
        <f>Q142-H143-L143</f>
        <v>-972911.79577956907</v>
      </c>
      <c r="R143" s="41">
        <f>R142-I143-M143</f>
        <v>-297887.94892473111</v>
      </c>
      <c r="S143" s="41">
        <f>S142+J143+N143</f>
        <v>-1711319.7838978483</v>
      </c>
    </row>
    <row r="144" spans="1:19">
      <c r="A144" s="81"/>
      <c r="B144" s="81">
        <v>3</v>
      </c>
      <c r="C144" s="61"/>
      <c r="D144" s="44"/>
      <c r="E144" s="44"/>
      <c r="F144" s="60"/>
      <c r="G144" s="85"/>
      <c r="H144" s="52"/>
      <c r="I144" s="52"/>
      <c r="J144" s="88"/>
      <c r="K144" s="85">
        <v>6838.8910000000005</v>
      </c>
      <c r="L144" s="52">
        <v>15917.602833333332</v>
      </c>
      <c r="M144" s="52">
        <v>4976.3013333333338</v>
      </c>
      <c r="N144" s="67">
        <f t="shared" si="37"/>
        <v>-27732.795166666667</v>
      </c>
      <c r="P144" s="41">
        <f t="shared" ref="P144:P153" si="38">P143-G144-K144</f>
        <v>-447358.93019354844</v>
      </c>
      <c r="Q144" s="41">
        <f t="shared" ref="Q144:Q153" si="39">Q143-H144-L144</f>
        <v>-988829.39861290238</v>
      </c>
      <c r="R144" s="41">
        <f t="shared" ref="R144:R153" si="40">R143-I144-M144</f>
        <v>-302864.25025806442</v>
      </c>
      <c r="S144" s="41">
        <f t="shared" ref="S144:S153" si="41">S143+J144+N144</f>
        <v>-1739052.579064515</v>
      </c>
    </row>
    <row r="145" spans="1:19">
      <c r="A145" s="81"/>
      <c r="B145" s="81">
        <v>4</v>
      </c>
      <c r="C145" s="61"/>
      <c r="D145" s="44"/>
      <c r="E145" s="44"/>
      <c r="F145" s="60"/>
      <c r="G145" s="85"/>
      <c r="H145" s="52"/>
      <c r="I145" s="52"/>
      <c r="J145" s="88"/>
      <c r="K145" s="85">
        <v>6838.8910000000005</v>
      </c>
      <c r="L145" s="52">
        <v>15917.602833333332</v>
      </c>
      <c r="M145" s="52">
        <v>4976.3013333333338</v>
      </c>
      <c r="N145" s="67">
        <f t="shared" si="37"/>
        <v>-27732.795166666667</v>
      </c>
      <c r="P145" s="41">
        <f t="shared" si="38"/>
        <v>-454197.82119354844</v>
      </c>
      <c r="Q145" s="41">
        <f t="shared" si="39"/>
        <v>-1004747.0014462357</v>
      </c>
      <c r="R145" s="41">
        <f t="shared" si="40"/>
        <v>-307840.55159139773</v>
      </c>
      <c r="S145" s="41">
        <f t="shared" si="41"/>
        <v>-1766785.3742311816</v>
      </c>
    </row>
    <row r="146" spans="1:19">
      <c r="A146" s="81"/>
      <c r="B146" s="81">
        <v>5</v>
      </c>
      <c r="C146" s="61"/>
      <c r="D146" s="44"/>
      <c r="E146" s="44"/>
      <c r="F146" s="60"/>
      <c r="G146" s="85"/>
      <c r="H146" s="52"/>
      <c r="I146" s="52"/>
      <c r="J146" s="88"/>
      <c r="K146" s="85">
        <v>6838.8910000000005</v>
      </c>
      <c r="L146" s="52">
        <v>15917.602833333332</v>
      </c>
      <c r="M146" s="52">
        <v>4976.3013333333338</v>
      </c>
      <c r="N146" s="67">
        <f t="shared" si="37"/>
        <v>-27732.795166666667</v>
      </c>
      <c r="P146" s="41">
        <f t="shared" si="38"/>
        <v>-461036.71219354845</v>
      </c>
      <c r="Q146" s="41">
        <f t="shared" si="39"/>
        <v>-1020664.604279569</v>
      </c>
      <c r="R146" s="41">
        <f t="shared" si="40"/>
        <v>-312816.85292473104</v>
      </c>
      <c r="S146" s="41">
        <f t="shared" si="41"/>
        <v>-1794518.1693978482</v>
      </c>
    </row>
    <row r="147" spans="1:19">
      <c r="A147" s="81"/>
      <c r="B147" s="81">
        <v>6</v>
      </c>
      <c r="C147" s="61"/>
      <c r="D147" s="44"/>
      <c r="E147" s="44"/>
      <c r="F147" s="60"/>
      <c r="G147" s="85"/>
      <c r="H147" s="52"/>
      <c r="I147" s="52"/>
      <c r="J147" s="88"/>
      <c r="K147" s="85">
        <v>6838.8910000000005</v>
      </c>
      <c r="L147" s="52">
        <v>15917.602833333332</v>
      </c>
      <c r="M147" s="52">
        <v>4976.3013333333338</v>
      </c>
      <c r="N147" s="67">
        <f t="shared" si="37"/>
        <v>-27732.795166666667</v>
      </c>
      <c r="P147" s="41">
        <f t="shared" si="38"/>
        <v>-467875.60319354845</v>
      </c>
      <c r="Q147" s="41">
        <f t="shared" si="39"/>
        <v>-1036582.2071129023</v>
      </c>
      <c r="R147" s="41">
        <f t="shared" si="40"/>
        <v>-317793.15425806434</v>
      </c>
      <c r="S147" s="41">
        <f t="shared" si="41"/>
        <v>-1822250.9645645148</v>
      </c>
    </row>
    <row r="148" spans="1:19">
      <c r="A148" s="81"/>
      <c r="B148" s="81">
        <v>7</v>
      </c>
      <c r="C148" s="61"/>
      <c r="D148" s="44"/>
      <c r="E148" s="44"/>
      <c r="F148" s="60"/>
      <c r="G148" s="85"/>
      <c r="H148" s="52"/>
      <c r="I148" s="52"/>
      <c r="J148" s="88"/>
      <c r="K148" s="85">
        <v>6838.8910000000005</v>
      </c>
      <c r="L148" s="52">
        <v>15917.602833333332</v>
      </c>
      <c r="M148" s="52">
        <v>4976.3013333333338</v>
      </c>
      <c r="N148" s="67">
        <f t="shared" si="37"/>
        <v>-27732.795166666667</v>
      </c>
      <c r="P148" s="41">
        <f t="shared" si="38"/>
        <v>-474714.49419354845</v>
      </c>
      <c r="Q148" s="41">
        <f t="shared" si="39"/>
        <v>-1052499.8099462357</v>
      </c>
      <c r="R148" s="41">
        <f t="shared" si="40"/>
        <v>-322769.45559139765</v>
      </c>
      <c r="S148" s="41">
        <f t="shared" si="41"/>
        <v>-1849983.7597311814</v>
      </c>
    </row>
    <row r="149" spans="1:19">
      <c r="A149" s="81"/>
      <c r="B149" s="81">
        <v>8</v>
      </c>
      <c r="C149" s="61"/>
      <c r="D149" s="44"/>
      <c r="E149" s="44"/>
      <c r="F149" s="60"/>
      <c r="G149" s="85"/>
      <c r="H149" s="52"/>
      <c r="I149" s="52"/>
      <c r="J149" s="88"/>
      <c r="K149" s="85">
        <v>6838.8910000000005</v>
      </c>
      <c r="L149" s="52">
        <v>15917.602833333332</v>
      </c>
      <c r="M149" s="52">
        <v>4976.3013333333338</v>
      </c>
      <c r="N149" s="67">
        <f t="shared" si="37"/>
        <v>-27732.795166666667</v>
      </c>
      <c r="P149" s="41">
        <f t="shared" si="38"/>
        <v>-481553.38519354846</v>
      </c>
      <c r="Q149" s="41">
        <f t="shared" si="39"/>
        <v>-1068417.4127795692</v>
      </c>
      <c r="R149" s="41">
        <f t="shared" si="40"/>
        <v>-327745.75692473096</v>
      </c>
      <c r="S149" s="41">
        <f t="shared" si="41"/>
        <v>-1877716.5548978481</v>
      </c>
    </row>
    <row r="150" spans="1:19">
      <c r="A150" s="81"/>
      <c r="B150" s="81">
        <v>9</v>
      </c>
      <c r="C150" s="61"/>
      <c r="D150" s="44"/>
      <c r="E150" s="44"/>
      <c r="F150" s="60"/>
      <c r="G150" s="85"/>
      <c r="H150" s="52"/>
      <c r="I150" s="52"/>
      <c r="J150" s="88"/>
      <c r="K150" s="85">
        <v>6838.8910000000005</v>
      </c>
      <c r="L150" s="52">
        <v>15917.602833333332</v>
      </c>
      <c r="M150" s="52">
        <v>4976.3013333333338</v>
      </c>
      <c r="N150" s="67">
        <f t="shared" si="37"/>
        <v>-27732.795166666667</v>
      </c>
      <c r="P150" s="41">
        <f t="shared" si="38"/>
        <v>-488392.27619354846</v>
      </c>
      <c r="Q150" s="41">
        <f t="shared" si="39"/>
        <v>-1084335.0156129026</v>
      </c>
      <c r="R150" s="41">
        <f t="shared" si="40"/>
        <v>-332722.05825806427</v>
      </c>
      <c r="S150" s="41">
        <f t="shared" si="41"/>
        <v>-1905449.3500645147</v>
      </c>
    </row>
    <row r="151" spans="1:19">
      <c r="A151" s="81"/>
      <c r="B151" s="81">
        <v>10</v>
      </c>
      <c r="C151" s="61"/>
      <c r="D151" s="44"/>
      <c r="E151" s="44"/>
      <c r="F151" s="60"/>
      <c r="G151" s="85"/>
      <c r="H151" s="52"/>
      <c r="I151" s="52"/>
      <c r="J151" s="88"/>
      <c r="K151" s="85">
        <v>6838.8910000000005</v>
      </c>
      <c r="L151" s="52">
        <v>15917.602833333332</v>
      </c>
      <c r="M151" s="52">
        <v>4976.3013333333338</v>
      </c>
      <c r="N151" s="67">
        <f t="shared" si="37"/>
        <v>-27732.795166666667</v>
      </c>
      <c r="P151" s="41">
        <f t="shared" si="38"/>
        <v>-495231.16719354846</v>
      </c>
      <c r="Q151" s="41">
        <f t="shared" si="39"/>
        <v>-1100252.618446236</v>
      </c>
      <c r="R151" s="41">
        <f t="shared" si="40"/>
        <v>-337698.35959139757</v>
      </c>
      <c r="S151" s="41">
        <f t="shared" si="41"/>
        <v>-1933182.1452311813</v>
      </c>
    </row>
    <row r="152" spans="1:19">
      <c r="A152" s="81"/>
      <c r="B152" s="81">
        <v>11</v>
      </c>
      <c r="C152" s="61"/>
      <c r="D152" s="44"/>
      <c r="E152" s="44"/>
      <c r="F152" s="60"/>
      <c r="G152" s="85"/>
      <c r="H152" s="52"/>
      <c r="I152" s="52"/>
      <c r="J152" s="88"/>
      <c r="K152" s="85">
        <v>6838.8910000000005</v>
      </c>
      <c r="L152" s="52">
        <v>15917.602833333332</v>
      </c>
      <c r="M152" s="52">
        <v>4976.3013333333338</v>
      </c>
      <c r="N152" s="67">
        <f t="shared" si="37"/>
        <v>-27732.795166666667</v>
      </c>
      <c r="P152" s="41">
        <f t="shared" si="38"/>
        <v>-502070.05819354847</v>
      </c>
      <c r="Q152" s="41">
        <f t="shared" si="39"/>
        <v>-1116170.2212795694</v>
      </c>
      <c r="R152" s="41">
        <f t="shared" si="40"/>
        <v>-342674.66092473088</v>
      </c>
      <c r="S152" s="41">
        <f t="shared" si="41"/>
        <v>-1960914.9403978479</v>
      </c>
    </row>
    <row r="153" spans="1:19">
      <c r="A153" s="81"/>
      <c r="B153" s="81">
        <v>12</v>
      </c>
      <c r="C153" s="61"/>
      <c r="D153" s="44"/>
      <c r="E153" s="44"/>
      <c r="F153" s="60"/>
      <c r="G153" s="85"/>
      <c r="H153" s="52"/>
      <c r="I153" s="52"/>
      <c r="J153" s="88"/>
      <c r="K153" s="85">
        <v>6838.8910000000005</v>
      </c>
      <c r="L153" s="52">
        <v>15917.602833333332</v>
      </c>
      <c r="M153" s="52">
        <v>4976.3013333333338</v>
      </c>
      <c r="N153" s="67">
        <f t="shared" si="37"/>
        <v>-27732.795166666667</v>
      </c>
      <c r="P153" s="41">
        <f t="shared" si="38"/>
        <v>-508908.94919354847</v>
      </c>
      <c r="Q153" s="41">
        <f t="shared" si="39"/>
        <v>-1132087.8241129029</v>
      </c>
      <c r="R153" s="41">
        <f t="shared" si="40"/>
        <v>-347650.96225806419</v>
      </c>
      <c r="S153" s="41">
        <f t="shared" si="41"/>
        <v>-1988647.7355645145</v>
      </c>
    </row>
    <row r="154" spans="1:19" ht="15" thickBot="1">
      <c r="A154" s="81" t="s">
        <v>64</v>
      </c>
      <c r="B154" s="81"/>
      <c r="C154" s="89"/>
      <c r="F154" s="90"/>
      <c r="G154" s="89"/>
      <c r="J154" s="90"/>
      <c r="K154" s="62"/>
      <c r="L154" s="63"/>
      <c r="M154" s="63"/>
      <c r="N154" s="64">
        <f>SUM(N142:N153)</f>
        <v>-332793.54200000007</v>
      </c>
    </row>
    <row r="155" spans="1:19" ht="15" thickTop="1">
      <c r="A155" s="81">
        <v>2029</v>
      </c>
      <c r="B155" s="81">
        <v>1</v>
      </c>
      <c r="C155" s="89"/>
      <c r="F155" s="90"/>
      <c r="G155" s="89"/>
      <c r="J155" s="90"/>
      <c r="K155" s="65">
        <f>K91*(15/31)</f>
        <v>3309.1408064516131</v>
      </c>
      <c r="L155" s="66">
        <f>L91*(15/31)</f>
        <v>7702.0658870967736</v>
      </c>
      <c r="M155" s="66">
        <f>M91*(15/31)</f>
        <v>2407.887741935484</v>
      </c>
      <c r="N155" s="67">
        <f>-SUM(K155:M155)</f>
        <v>-13419.094435483872</v>
      </c>
      <c r="P155" s="41">
        <f>P153-G155-K155</f>
        <v>-512218.09000000008</v>
      </c>
      <c r="Q155" s="41">
        <f>Q153-H155-L155</f>
        <v>-1139789.8899999997</v>
      </c>
      <c r="R155" s="41">
        <f>R153-I155-M155</f>
        <v>-350058.84999999969</v>
      </c>
      <c r="S155" s="41">
        <f>S153+J155+N155</f>
        <v>-2002066.8299999984</v>
      </c>
    </row>
    <row r="156" spans="1:19">
      <c r="A156" s="81"/>
      <c r="B156" s="81">
        <v>2</v>
      </c>
      <c r="C156" s="89"/>
      <c r="F156" s="90"/>
      <c r="G156" s="89"/>
      <c r="J156" s="90"/>
      <c r="K156" s="65">
        <v>0</v>
      </c>
      <c r="L156" s="66">
        <v>0</v>
      </c>
      <c r="M156" s="66">
        <v>0</v>
      </c>
      <c r="N156" s="58">
        <f t="shared" ref="N156:N166" si="42">SUM(K156:M156)</f>
        <v>0</v>
      </c>
      <c r="P156" s="41">
        <f>P155-G156-K156</f>
        <v>-512218.09000000008</v>
      </c>
      <c r="Q156" s="41">
        <f>Q155-H156-L156</f>
        <v>-1139789.8899999997</v>
      </c>
      <c r="R156" s="41">
        <f>R155-I156-M156</f>
        <v>-350058.84999999969</v>
      </c>
      <c r="S156" s="41">
        <f>S155+J156+N156</f>
        <v>-2002066.8299999984</v>
      </c>
    </row>
    <row r="157" spans="1:19">
      <c r="A157" s="81"/>
      <c r="B157" s="81">
        <v>3</v>
      </c>
      <c r="C157" s="89"/>
      <c r="F157" s="90"/>
      <c r="G157" s="89"/>
      <c r="J157" s="90"/>
      <c r="K157" s="65">
        <v>0</v>
      </c>
      <c r="L157" s="66">
        <v>0</v>
      </c>
      <c r="M157" s="66">
        <v>0</v>
      </c>
      <c r="N157" s="58">
        <f t="shared" si="42"/>
        <v>0</v>
      </c>
      <c r="P157" s="41">
        <f t="shared" ref="P157:P166" si="43">P156-G157-K157</f>
        <v>-512218.09000000008</v>
      </c>
      <c r="Q157" s="41">
        <f t="shared" ref="Q157:Q166" si="44">Q156-H157-L157</f>
        <v>-1139789.8899999997</v>
      </c>
      <c r="R157" s="41">
        <f t="shared" ref="R157:R166" si="45">R156-I157-M157</f>
        <v>-350058.84999999969</v>
      </c>
      <c r="S157" s="41">
        <f t="shared" ref="S157:S166" si="46">S156+J157+N157</f>
        <v>-2002066.8299999984</v>
      </c>
    </row>
    <row r="158" spans="1:19">
      <c r="A158" s="81"/>
      <c r="B158" s="81">
        <v>4</v>
      </c>
      <c r="C158" s="89"/>
      <c r="F158" s="90"/>
      <c r="G158" s="89"/>
      <c r="J158" s="90"/>
      <c r="K158" s="65">
        <v>0</v>
      </c>
      <c r="L158" s="66">
        <v>0</v>
      </c>
      <c r="M158" s="66">
        <v>0</v>
      </c>
      <c r="N158" s="58">
        <f t="shared" si="42"/>
        <v>0</v>
      </c>
      <c r="P158" s="41">
        <f t="shared" si="43"/>
        <v>-512218.09000000008</v>
      </c>
      <c r="Q158" s="41">
        <f t="shared" si="44"/>
        <v>-1139789.8899999997</v>
      </c>
      <c r="R158" s="41">
        <f t="shared" si="45"/>
        <v>-350058.84999999969</v>
      </c>
      <c r="S158" s="41">
        <f t="shared" si="46"/>
        <v>-2002066.8299999984</v>
      </c>
    </row>
    <row r="159" spans="1:19">
      <c r="A159" s="81"/>
      <c r="B159" s="81">
        <v>5</v>
      </c>
      <c r="C159" s="89"/>
      <c r="F159" s="90"/>
      <c r="G159" s="89"/>
      <c r="J159" s="90"/>
      <c r="K159" s="65">
        <v>0</v>
      </c>
      <c r="L159" s="66">
        <v>0</v>
      </c>
      <c r="M159" s="66">
        <v>0</v>
      </c>
      <c r="N159" s="58">
        <f t="shared" si="42"/>
        <v>0</v>
      </c>
      <c r="P159" s="41">
        <f t="shared" si="43"/>
        <v>-512218.09000000008</v>
      </c>
      <c r="Q159" s="41">
        <f t="shared" si="44"/>
        <v>-1139789.8899999997</v>
      </c>
      <c r="R159" s="41">
        <f t="shared" si="45"/>
        <v>-350058.84999999969</v>
      </c>
      <c r="S159" s="41">
        <f t="shared" si="46"/>
        <v>-2002066.8299999984</v>
      </c>
    </row>
    <row r="160" spans="1:19">
      <c r="A160" s="81"/>
      <c r="B160" s="81">
        <v>6</v>
      </c>
      <c r="C160" s="89"/>
      <c r="F160" s="90"/>
      <c r="G160" s="89"/>
      <c r="J160" s="90"/>
      <c r="K160" s="65">
        <v>0</v>
      </c>
      <c r="L160" s="66">
        <v>0</v>
      </c>
      <c r="M160" s="66">
        <v>0</v>
      </c>
      <c r="N160" s="58">
        <f t="shared" si="42"/>
        <v>0</v>
      </c>
      <c r="P160" s="41">
        <f t="shared" si="43"/>
        <v>-512218.09000000008</v>
      </c>
      <c r="Q160" s="41">
        <f t="shared" si="44"/>
        <v>-1139789.8899999997</v>
      </c>
      <c r="R160" s="41">
        <f t="shared" si="45"/>
        <v>-350058.84999999969</v>
      </c>
      <c r="S160" s="41">
        <f t="shared" si="46"/>
        <v>-2002066.8299999984</v>
      </c>
    </row>
    <row r="161" spans="1:19">
      <c r="A161" s="81"/>
      <c r="B161" s="81">
        <v>7</v>
      </c>
      <c r="C161" s="89"/>
      <c r="F161" s="90"/>
      <c r="G161" s="89"/>
      <c r="J161" s="90"/>
      <c r="K161" s="65">
        <v>0</v>
      </c>
      <c r="L161" s="66">
        <v>0</v>
      </c>
      <c r="M161" s="66">
        <v>0</v>
      </c>
      <c r="N161" s="58">
        <f t="shared" si="42"/>
        <v>0</v>
      </c>
      <c r="P161" s="41">
        <f t="shared" si="43"/>
        <v>-512218.09000000008</v>
      </c>
      <c r="Q161" s="41">
        <f t="shared" si="44"/>
        <v>-1139789.8899999997</v>
      </c>
      <c r="R161" s="41">
        <f t="shared" si="45"/>
        <v>-350058.84999999969</v>
      </c>
      <c r="S161" s="41">
        <f t="shared" si="46"/>
        <v>-2002066.8299999984</v>
      </c>
    </row>
    <row r="162" spans="1:19">
      <c r="A162" s="81"/>
      <c r="B162" s="81">
        <v>8</v>
      </c>
      <c r="C162" s="89"/>
      <c r="F162" s="90"/>
      <c r="G162" s="89"/>
      <c r="J162" s="90"/>
      <c r="K162" s="65">
        <v>0</v>
      </c>
      <c r="L162" s="66">
        <v>0</v>
      </c>
      <c r="M162" s="66">
        <v>0</v>
      </c>
      <c r="N162" s="58">
        <f t="shared" si="42"/>
        <v>0</v>
      </c>
      <c r="P162" s="41">
        <f t="shared" si="43"/>
        <v>-512218.09000000008</v>
      </c>
      <c r="Q162" s="41">
        <f t="shared" si="44"/>
        <v>-1139789.8899999997</v>
      </c>
      <c r="R162" s="41">
        <f t="shared" si="45"/>
        <v>-350058.84999999969</v>
      </c>
      <c r="S162" s="41">
        <f t="shared" si="46"/>
        <v>-2002066.8299999984</v>
      </c>
    </row>
    <row r="163" spans="1:19">
      <c r="A163" s="81"/>
      <c r="B163" s="81">
        <v>9</v>
      </c>
      <c r="C163" s="89"/>
      <c r="F163" s="90"/>
      <c r="G163" s="89"/>
      <c r="J163" s="90"/>
      <c r="K163" s="65">
        <v>0</v>
      </c>
      <c r="L163" s="66">
        <v>0</v>
      </c>
      <c r="M163" s="66">
        <v>0</v>
      </c>
      <c r="N163" s="58">
        <f t="shared" si="42"/>
        <v>0</v>
      </c>
      <c r="P163" s="41">
        <f t="shared" si="43"/>
        <v>-512218.09000000008</v>
      </c>
      <c r="Q163" s="41">
        <f t="shared" si="44"/>
        <v>-1139789.8899999997</v>
      </c>
      <c r="R163" s="41">
        <f t="shared" si="45"/>
        <v>-350058.84999999969</v>
      </c>
      <c r="S163" s="41">
        <f t="shared" si="46"/>
        <v>-2002066.8299999984</v>
      </c>
    </row>
    <row r="164" spans="1:19">
      <c r="A164" s="81"/>
      <c r="B164" s="81">
        <v>10</v>
      </c>
      <c r="C164" s="89"/>
      <c r="F164" s="90"/>
      <c r="G164" s="89"/>
      <c r="J164" s="90"/>
      <c r="K164" s="65">
        <v>0</v>
      </c>
      <c r="L164" s="66">
        <v>0</v>
      </c>
      <c r="M164" s="66">
        <v>0</v>
      </c>
      <c r="N164" s="58">
        <f t="shared" si="42"/>
        <v>0</v>
      </c>
      <c r="P164" s="41">
        <f t="shared" si="43"/>
        <v>-512218.09000000008</v>
      </c>
      <c r="Q164" s="41">
        <f t="shared" si="44"/>
        <v>-1139789.8899999997</v>
      </c>
      <c r="R164" s="41">
        <f t="shared" si="45"/>
        <v>-350058.84999999969</v>
      </c>
      <c r="S164" s="41">
        <f t="shared" si="46"/>
        <v>-2002066.8299999984</v>
      </c>
    </row>
    <row r="165" spans="1:19">
      <c r="A165" s="81"/>
      <c r="B165" s="81">
        <v>11</v>
      </c>
      <c r="C165" s="89"/>
      <c r="F165" s="90"/>
      <c r="G165" s="89"/>
      <c r="J165" s="90"/>
      <c r="K165" s="65">
        <v>0</v>
      </c>
      <c r="L165" s="66">
        <v>0</v>
      </c>
      <c r="M165" s="66">
        <v>0</v>
      </c>
      <c r="N165" s="58">
        <f t="shared" si="42"/>
        <v>0</v>
      </c>
      <c r="P165" s="41">
        <f t="shared" si="43"/>
        <v>-512218.09000000008</v>
      </c>
      <c r="Q165" s="41">
        <f t="shared" si="44"/>
        <v>-1139789.8899999997</v>
      </c>
      <c r="R165" s="41">
        <f t="shared" si="45"/>
        <v>-350058.84999999969</v>
      </c>
      <c r="S165" s="41">
        <f t="shared" si="46"/>
        <v>-2002066.8299999984</v>
      </c>
    </row>
    <row r="166" spans="1:19">
      <c r="A166" s="81"/>
      <c r="B166" s="81">
        <v>12</v>
      </c>
      <c r="C166" s="89"/>
      <c r="F166" s="90"/>
      <c r="G166" s="89"/>
      <c r="J166" s="90"/>
      <c r="K166" s="65">
        <v>0</v>
      </c>
      <c r="L166" s="66">
        <v>0</v>
      </c>
      <c r="M166" s="66">
        <v>0</v>
      </c>
      <c r="N166" s="58">
        <f t="shared" si="42"/>
        <v>0</v>
      </c>
      <c r="P166" s="41">
        <f t="shared" si="43"/>
        <v>-512218.09000000008</v>
      </c>
      <c r="Q166" s="41">
        <f t="shared" si="44"/>
        <v>-1139789.8899999997</v>
      </c>
      <c r="R166" s="41">
        <f t="shared" si="45"/>
        <v>-350058.84999999969</v>
      </c>
      <c r="S166" s="41">
        <f t="shared" si="46"/>
        <v>-2002066.8299999984</v>
      </c>
    </row>
    <row r="167" spans="1:19" ht="15" thickBot="1">
      <c r="A167" s="81" t="s">
        <v>65</v>
      </c>
      <c r="B167" s="81"/>
      <c r="C167" s="91"/>
      <c r="D167" s="92"/>
      <c r="E167" s="92"/>
      <c r="F167" s="93"/>
      <c r="G167" s="91"/>
      <c r="H167" s="92"/>
      <c r="I167" s="92"/>
      <c r="J167" s="93"/>
      <c r="K167" s="86"/>
      <c r="L167" s="87"/>
      <c r="M167" s="87"/>
      <c r="N167" s="68">
        <f>SUM(N155:N166)</f>
        <v>-13419.094435483872</v>
      </c>
    </row>
    <row r="169" spans="1:19" ht="15" thickBot="1">
      <c r="A169" s="69"/>
      <c r="E169" s="70" t="s">
        <v>4</v>
      </c>
      <c r="F169" s="71">
        <f>F24+F37+F50+F63+F76+F89</f>
        <v>-53764.800000000003</v>
      </c>
      <c r="G169" s="52"/>
      <c r="H169" s="52"/>
      <c r="I169" s="70" t="s">
        <v>4</v>
      </c>
      <c r="J169" s="71">
        <f>J63+J76+J89+J115+J102+J128</f>
        <v>-338099.11999999988</v>
      </c>
      <c r="K169" s="95"/>
      <c r="L169" s="95"/>
      <c r="M169" s="70" t="s">
        <v>4</v>
      </c>
      <c r="N169" s="71">
        <f>N115+N102+N128+N141+N154+N167</f>
        <v>-1663967.7100000004</v>
      </c>
    </row>
    <row r="170" spans="1:19" ht="15" thickTop="1"/>
    <row r="171" spans="1:19">
      <c r="J171" s="52"/>
    </row>
    <row r="172" spans="1:19">
      <c r="C172" s="107"/>
      <c r="D172" s="107"/>
      <c r="E172" s="107"/>
      <c r="G172" s="107"/>
      <c r="H172" s="107"/>
      <c r="I172" s="107"/>
      <c r="K172" s="107"/>
      <c r="L172" s="107"/>
      <c r="M172" s="107"/>
    </row>
    <row r="173" spans="1:19">
      <c r="G173" s="72"/>
      <c r="H173" s="52"/>
    </row>
    <row r="174" spans="1:19">
      <c r="G174" s="72"/>
      <c r="H174" s="52"/>
      <c r="K174" s="107"/>
      <c r="L174" s="107"/>
      <c r="M174" s="107"/>
    </row>
  </sheetData>
  <mergeCells count="10">
    <mergeCell ref="B4:N4"/>
    <mergeCell ref="B5:N5"/>
    <mergeCell ref="K8:N8"/>
    <mergeCell ref="K9:N9"/>
    <mergeCell ref="P9:S9"/>
    <mergeCell ref="P8:S8"/>
    <mergeCell ref="C8:F8"/>
    <mergeCell ref="G8:J8"/>
    <mergeCell ref="C9:F9"/>
    <mergeCell ref="G9:J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zQ1Mzc4PC9Vc2VyTmFtZT48RGF0ZVRpbWU+NS8zMS8yMDIyIDI6MTk6MDE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zQ1Mzc4PC9Vc2VyTmFtZT48RGF0ZVRpbWU+Ni8yOC8yMDIyIDk6MTI6NDE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3C6EB768-499A-4888-86B2-0FB5D4613C48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48E5505-5A9B-4A44-A5EB-A1704F0C101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 on investment</vt:lpstr>
      <vt:lpstr>CC on investment BU 110</vt:lpstr>
      <vt:lpstr>CC on investment BU 117</vt:lpstr>
      <vt:lpstr>CC on investment BU 180</vt:lpstr>
      <vt:lpstr>NERCAMRT - Depreciation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Johnson</dc:creator>
  <cp:keywords/>
  <cp:lastModifiedBy>Michelle Caldwell</cp:lastModifiedBy>
  <cp:lastPrinted>2019-04-01T13:01:05Z</cp:lastPrinted>
  <dcterms:created xsi:type="dcterms:W3CDTF">2015-01-30T18:57:46Z</dcterms:created>
  <dcterms:modified xsi:type="dcterms:W3CDTF">2025-03-31T16:12:59Z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d071af16-c414-4844-81a8-4e33c230185f</vt:lpwstr>
  </property>
  <property fmtid="{D5CDD505-2E9C-101B-9397-08002B2CF9AE}" pid="3" name="bjDocumentSecurityLabel">
    <vt:lpwstr>AEP Internal</vt:lpwstr>
  </property>
  <property fmtid="{D5CDD505-2E9C-101B-9397-08002B2CF9AE}" pid="4" name="bjSaver">
    <vt:lpwstr>p/D99dQe0eA7nc8NAiawNljPqFe6J1pH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LabelHistoryID">
    <vt:lpwstr>{3C6EB768-499A-4888-86B2-0FB5D4613C48}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