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8" yWindow="48" windowWidth="2760" windowHeight="7476" tabRatio="813" activeTab="3"/>
  </bookViews>
  <sheets>
    <sheet name="BS1 Form 1.0" sheetId="1" r:id="rId1"/>
    <sheet name="BS1 Form 2.0" sheetId="6" r:id="rId2"/>
    <sheet name="BS1 Form 3.0" sheetId="4" r:id="rId3"/>
    <sheet name="BS1 Form 4.0" sheetId="2" r:id="rId4"/>
    <sheet name="BS1 Form 5.0" sheetId="3" r:id="rId5"/>
    <sheet name="Input Sheet" sheetId="7" r:id="rId6"/>
    <sheet name="Net Plant" sheetId="8" r:id="rId7"/>
    <sheet name="PJM Cost Estimate" sheetId="9" r:id="rId8"/>
    <sheet name="GRCF" sheetId="10" r:id="rId9"/>
  </sheets>
  <externalReferences>
    <externalReference r:id="rId10"/>
  </externalReferences>
  <definedNames>
    <definedName name="Marshall_Rate">'[1]Property Tax'!$B$2</definedName>
    <definedName name="PC_Percent">'[1]Property Tax'!$B$6</definedName>
    <definedName name="_xlnm.Print_Area" localSheetId="1">'BS1 Form 2.0'!$A$1:$P$57</definedName>
    <definedName name="tim">#REF!</definedName>
    <definedName name="WV_List">'[1]Property Tax'!$B$4</definedName>
  </definedNames>
  <calcPr calcId="145621"/>
</workbook>
</file>

<file path=xl/calcChain.xml><?xml version="1.0" encoding="utf-8"?>
<calcChain xmlns="http://schemas.openxmlformats.org/spreadsheetml/2006/main">
  <c r="D23" i="2" l="1"/>
  <c r="A7" i="1" l="1"/>
  <c r="D20" i="2"/>
  <c r="D21" i="2"/>
  <c r="O16" i="10"/>
  <c r="S26" i="10"/>
  <c r="S32" i="10"/>
  <c r="B38" i="10"/>
  <c r="M32" i="10"/>
  <c r="M46" i="10" s="1"/>
  <c r="O26" i="10"/>
  <c r="O32" i="10" s="1"/>
  <c r="F18" i="10"/>
  <c r="H16" i="10" s="1"/>
  <c r="M16" i="10" s="1"/>
  <c r="B14" i="10"/>
  <c r="B15" i="10" s="1"/>
  <c r="B16" i="10" s="1"/>
  <c r="B18" i="10" s="1"/>
  <c r="S34" i="10" l="1"/>
  <c r="S36" i="10" s="1"/>
  <c r="H14" i="10"/>
  <c r="M14" i="10" s="1"/>
  <c r="H13" i="10"/>
  <c r="M13" i="10" s="1"/>
  <c r="H15" i="10"/>
  <c r="M15" i="10" s="1"/>
  <c r="S13" i="10"/>
  <c r="S15" i="10"/>
  <c r="O34" i="10"/>
  <c r="O36" i="10" s="1"/>
  <c r="B3" i="6"/>
  <c r="A5" i="3"/>
  <c r="S40" i="10" l="1"/>
  <c r="S42" i="10" s="1"/>
  <c r="S44" i="10" s="1"/>
  <c r="S46" i="10" s="1"/>
  <c r="H18" i="10"/>
  <c r="S14" i="10"/>
  <c r="O40" i="10"/>
  <c r="O42" i="10" s="1"/>
  <c r="O44" i="10" s="1"/>
  <c r="O46" i="10" s="1"/>
  <c r="S16" i="10" s="1"/>
  <c r="D27" i="7"/>
  <c r="S18" i="10" l="1"/>
  <c r="C13" i="7" l="1"/>
  <c r="D41" i="7"/>
  <c r="B4" i="8"/>
  <c r="D10" i="2" l="1"/>
  <c r="F20" i="3" l="1"/>
  <c r="B7" i="8" l="1"/>
  <c r="B10" i="9" l="1"/>
  <c r="B9" i="9"/>
  <c r="B8" i="9"/>
  <c r="B4" i="9"/>
  <c r="B8" i="8" l="1"/>
  <c r="C6" i="8"/>
  <c r="D6" i="8"/>
  <c r="E6" i="8"/>
  <c r="F6" i="8"/>
  <c r="G6" i="8"/>
  <c r="H6" i="8"/>
  <c r="I6" i="8"/>
  <c r="J6" i="8"/>
  <c r="K6" i="8"/>
  <c r="L6" i="8"/>
  <c r="M6" i="8"/>
  <c r="N6" i="8"/>
  <c r="B6" i="8"/>
  <c r="D28" i="7" s="1"/>
  <c r="D31" i="7" s="1"/>
  <c r="D34" i="7" s="1"/>
  <c r="C5" i="8"/>
  <c r="B9" i="8" l="1"/>
  <c r="D5" i="8"/>
  <c r="E5" i="8" s="1"/>
  <c r="F5" i="8" s="1"/>
  <c r="G5" i="8" s="1"/>
  <c r="H5" i="8" s="1"/>
  <c r="I5" i="8" s="1"/>
  <c r="J5" i="8" s="1"/>
  <c r="K5" i="8" s="1"/>
  <c r="L5" i="8" s="1"/>
  <c r="M5" i="8" s="1"/>
  <c r="N5" i="8" s="1"/>
  <c r="B5" i="8" l="1"/>
  <c r="B11" i="8" s="1"/>
  <c r="D36" i="7" s="1"/>
  <c r="D27" i="6"/>
  <c r="D25" i="6"/>
  <c r="D23" i="6"/>
  <c r="D13" i="2" l="1"/>
  <c r="D12" i="2"/>
  <c r="D16" i="4"/>
  <c r="D15" i="4"/>
  <c r="D14" i="4"/>
  <c r="D16" i="2" l="1"/>
  <c r="D18" i="2" s="1"/>
  <c r="D23" i="4"/>
  <c r="D22" i="4"/>
  <c r="D13" i="4"/>
  <c r="D12" i="4"/>
  <c r="D18" i="4" l="1"/>
  <c r="D19" i="4"/>
  <c r="D29" i="4" s="1"/>
  <c r="H8" i="6" s="1"/>
  <c r="D38" i="7"/>
  <c r="D40" i="7" s="1"/>
  <c r="D42" i="7" s="1"/>
  <c r="D25" i="4"/>
  <c r="D28" i="4" l="1"/>
  <c r="G8" i="6" s="1"/>
  <c r="D20" i="4"/>
  <c r="D27" i="4" s="1"/>
  <c r="G17" i="1" s="1"/>
  <c r="I8" i="6" l="1"/>
  <c r="C20" i="7"/>
  <c r="C22" i="6"/>
  <c r="C23" i="6"/>
  <c r="C24" i="6"/>
  <c r="C25" i="6"/>
  <c r="C26" i="6"/>
  <c r="C27" i="6"/>
  <c r="C28" i="6"/>
  <c r="F28" i="6" s="1"/>
  <c r="C29" i="6"/>
  <c r="C30" i="6"/>
  <c r="C21" i="6"/>
  <c r="I30" i="6"/>
  <c r="G38" i="1" s="1"/>
  <c r="I29" i="6"/>
  <c r="G37" i="1" s="1"/>
  <c r="I28" i="6"/>
  <c r="G36" i="1" s="1"/>
  <c r="I26" i="6"/>
  <c r="G34" i="1" s="1"/>
  <c r="I24" i="6"/>
  <c r="G32" i="1" s="1"/>
  <c r="I22" i="6"/>
  <c r="G30" i="1" s="1"/>
  <c r="I21" i="6"/>
  <c r="G29" i="1" s="1"/>
  <c r="D32" i="6" l="1"/>
  <c r="F27" i="6"/>
  <c r="F22" i="6"/>
  <c r="F25" i="6"/>
  <c r="F26" i="6"/>
  <c r="F29" i="6"/>
  <c r="F23" i="6"/>
  <c r="C32" i="6"/>
  <c r="F21" i="6"/>
  <c r="F24" i="6"/>
  <c r="F30" i="6"/>
  <c r="F32" i="6" l="1"/>
  <c r="D25" i="2" l="1"/>
  <c r="G10" i="1" s="1"/>
  <c r="G12" i="1"/>
  <c r="G14" i="1" l="1"/>
  <c r="I9" i="6" s="1"/>
  <c r="G9" i="6" s="1"/>
  <c r="G19" i="1" l="1"/>
  <c r="C50" i="7" s="1"/>
  <c r="C49" i="7" s="1"/>
  <c r="D49" i="7" s="1"/>
  <c r="H9" i="6"/>
  <c r="H10" i="6" s="1"/>
  <c r="G10" i="6"/>
  <c r="G21" i="1" l="1"/>
  <c r="C48" i="7"/>
  <c r="D48" i="7" s="1"/>
  <c r="D50" i="7" s="1"/>
  <c r="H22" i="6"/>
  <c r="H25" i="6"/>
  <c r="K25" i="6" s="1"/>
  <c r="H24" i="6"/>
  <c r="D24" i="1"/>
  <c r="H27" i="6"/>
  <c r="K27" i="6" s="1"/>
  <c r="H26" i="6"/>
  <c r="H21" i="6"/>
  <c r="H29" i="6"/>
  <c r="H28" i="6"/>
  <c r="H23" i="6"/>
  <c r="K23" i="6" s="1"/>
  <c r="H30" i="6"/>
  <c r="F33" i="1" l="1"/>
  <c r="F31" i="1"/>
  <c r="F35" i="1"/>
  <c r="H32" i="6"/>
  <c r="G21" i="6"/>
  <c r="K21" i="6" s="1"/>
  <c r="M21" i="6" l="1"/>
  <c r="N21" i="6" s="1"/>
  <c r="F29" i="1"/>
  <c r="G25" i="6"/>
  <c r="I25" i="6" s="1"/>
  <c r="M25" i="6" s="1"/>
  <c r="D23" i="1"/>
  <c r="D25" i="1" s="1"/>
  <c r="G22" i="6"/>
  <c r="K22" i="6" s="1"/>
  <c r="G27" i="6"/>
  <c r="I27" i="6" s="1"/>
  <c r="G30" i="6"/>
  <c r="K30" i="6" s="1"/>
  <c r="G28" i="6"/>
  <c r="K28" i="6" s="1"/>
  <c r="I10" i="6"/>
  <c r="G23" i="6"/>
  <c r="I23" i="6" s="1"/>
  <c r="G29" i="6"/>
  <c r="K29" i="6" s="1"/>
  <c r="G24" i="6"/>
  <c r="K24" i="6" s="1"/>
  <c r="G26" i="6"/>
  <c r="K26" i="6" s="1"/>
  <c r="M24" i="6" l="1"/>
  <c r="N24" i="6" s="1"/>
  <c r="F32" i="1"/>
  <c r="M29" i="6"/>
  <c r="N29" i="6" s="1"/>
  <c r="F37" i="1"/>
  <c r="M30" i="6"/>
  <c r="N30" i="6" s="1"/>
  <c r="F38" i="1"/>
  <c r="N25" i="6"/>
  <c r="G33" i="1"/>
  <c r="M23" i="6"/>
  <c r="N23" i="6" s="1"/>
  <c r="G31" i="1"/>
  <c r="M27" i="6"/>
  <c r="N27" i="6" s="1"/>
  <c r="G35" i="1"/>
  <c r="M28" i="6"/>
  <c r="N28" i="6" s="1"/>
  <c r="F36" i="1"/>
  <c r="M26" i="6"/>
  <c r="N26" i="6" s="1"/>
  <c r="F34" i="1"/>
  <c r="M22" i="6"/>
  <c r="N22" i="6" s="1"/>
  <c r="F30" i="1"/>
  <c r="G32" i="6"/>
  <c r="M32" i="6" l="1"/>
  <c r="N32" i="6"/>
</calcChain>
</file>

<file path=xl/comments1.xml><?xml version="1.0" encoding="utf-8"?>
<comments xmlns="http://schemas.openxmlformats.org/spreadsheetml/2006/main">
  <authors>
    <author>Alex Vaughan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Alex Vaughan:</t>
        </r>
        <r>
          <rPr>
            <sz val="9"/>
            <color indexed="81"/>
            <rFont val="Tahoma"/>
            <family val="2"/>
          </rPr>
          <t xml:space="preserve">
Includes public school tariff</t>
        </r>
      </text>
    </comment>
  </commentList>
</comments>
</file>

<file path=xl/comments2.xml><?xml version="1.0" encoding="utf-8"?>
<comments xmlns="http://schemas.openxmlformats.org/spreadsheetml/2006/main">
  <authors>
    <author>Alex Vaughan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>Alex Vaughan:</t>
        </r>
        <r>
          <rPr>
            <sz val="9"/>
            <color indexed="81"/>
            <rFont val="Tahoma"/>
            <family val="2"/>
          </rPr>
          <t xml:space="preserve">
set this to no gross up because the revenues have been reduced for the gross up factor, rather than adding the expense</t>
        </r>
      </text>
    </comment>
  </commentList>
</comments>
</file>

<file path=xl/comments3.xml><?xml version="1.0" encoding="utf-8"?>
<comments xmlns="http://schemas.openxmlformats.org/spreadsheetml/2006/main">
  <authors>
    <author>Alex Vaughan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Alex Vaughan:</t>
        </r>
        <r>
          <rPr>
            <sz val="9"/>
            <color indexed="81"/>
            <rFont val="Tahoma"/>
            <family val="2"/>
          </rPr>
          <t xml:space="preserve">
9-3, 9-5, MMU and Settlement</t>
        </r>
      </text>
    </comment>
  </commentList>
</comments>
</file>

<file path=xl/sharedStrings.xml><?xml version="1.0" encoding="utf-8"?>
<sst xmlns="http://schemas.openxmlformats.org/spreadsheetml/2006/main" count="268" uniqueCount="199">
  <si>
    <t>Kentucky Power Company</t>
  </si>
  <si>
    <t>Tariff Class</t>
  </si>
  <si>
    <t>S.G.S and S.G.S-T.O.D.</t>
  </si>
  <si>
    <t>R.S.</t>
  </si>
  <si>
    <t>M.G.S.</t>
  </si>
  <si>
    <t>M.G.S. Recreational Lighting, M.G.S.-L.M.T.O.D., and M.G.S.-T.O.D.</t>
  </si>
  <si>
    <t>L.G.S. and L.G.S.-T.O.D.</t>
  </si>
  <si>
    <t>L.G.S.-L.M.-T.O.D.</t>
  </si>
  <si>
    <t>M.W.</t>
  </si>
  <si>
    <t>O.L.</t>
  </si>
  <si>
    <t>S.L.</t>
  </si>
  <si>
    <t>Operating Expenses:</t>
  </si>
  <si>
    <t>Demand Related O&amp;M</t>
  </si>
  <si>
    <t>Kentucky Air Emission Fee</t>
  </si>
  <si>
    <t>Total Operating Expenses</t>
  </si>
  <si>
    <t>Description</t>
  </si>
  <si>
    <t>Totals</t>
  </si>
  <si>
    <t>Property Tax</t>
  </si>
  <si>
    <t>Demand</t>
  </si>
  <si>
    <t>Total Revenue Collected</t>
  </si>
  <si>
    <t>Energy</t>
  </si>
  <si>
    <t>Total</t>
  </si>
  <si>
    <t>BS1 - Form 1.0</t>
  </si>
  <si>
    <t>BS1 - Form 3.0</t>
  </si>
  <si>
    <t>BS1 - Form 4.0</t>
  </si>
  <si>
    <t>Big Sandy 1 Operation Rider Revenue Collected</t>
  </si>
  <si>
    <t xml:space="preserve">Total </t>
  </si>
  <si>
    <t>Plus / (Minus) the Over / Under Recovery  (Line 3)</t>
  </si>
  <si>
    <t>Revenue Requirement</t>
  </si>
  <si>
    <t>a.)</t>
  </si>
  <si>
    <t>b.)</t>
  </si>
  <si>
    <t>BS1 - Form 5.0</t>
  </si>
  <si>
    <t>Big Sandy 1 Operation Rider Rate Design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</si>
  <si>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</si>
  <si>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</si>
  <si>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</si>
  <si>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</si>
  <si>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</si>
  <si>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</si>
  <si>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</si>
  <si>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</si>
  <si>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</si>
  <si>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</si>
  <si>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</si>
  <si>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</si>
  <si>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</si>
  <si>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</si>
  <si>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</si>
  <si>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</si>
  <si>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</si>
  <si>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</si>
  <si>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</si>
  <si>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</si>
  <si>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</si>
  <si>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</si>
  <si>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</si>
  <si>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</si>
  <si>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</si>
  <si>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</si>
  <si>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</si>
  <si>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SGS</t>
  </si>
  <si>
    <t>MGS</t>
  </si>
  <si>
    <t>LGS</t>
  </si>
  <si>
    <t>LGS  LMTOD</t>
  </si>
  <si>
    <t>IGS (QP / CIP-TOD)</t>
  </si>
  <si>
    <t>MW</t>
  </si>
  <si>
    <t>OL</t>
  </si>
  <si>
    <t>SL</t>
  </si>
  <si>
    <t>Notes:</t>
  </si>
  <si>
    <t>Non Demand MGS Sec includes MGS RL, MGS LMTOD and MGS TOD</t>
  </si>
  <si>
    <t>Revised after Revenue Verification</t>
  </si>
  <si>
    <r>
      <t xml:space="preserve">Non Demand MGS Sec </t>
    </r>
    <r>
      <rPr>
        <vertAlign val="superscript"/>
        <sz val="14"/>
        <rFont val="Calibri"/>
        <family val="2"/>
        <scheme val="minor"/>
      </rPr>
      <t>1</t>
    </r>
  </si>
  <si>
    <t>Class Billing Determinants</t>
  </si>
  <si>
    <t>Non Demand MGS Sec</t>
  </si>
  <si>
    <t>LGS LMTOD</t>
  </si>
  <si>
    <t>QP/CIP</t>
  </si>
  <si>
    <t>KY Retail</t>
  </si>
  <si>
    <t>Non Fuel Plant O&amp;M - Demand</t>
  </si>
  <si>
    <t>a</t>
  </si>
  <si>
    <t>Non Fuel Plant O&amp;M - Energy</t>
  </si>
  <si>
    <t>b</t>
  </si>
  <si>
    <t xml:space="preserve">Total BS1 Operational Expense </t>
  </si>
  <si>
    <t>gross up factor</t>
  </si>
  <si>
    <t>KY Retail Total</t>
  </si>
  <si>
    <t>Demand Total</t>
  </si>
  <si>
    <t>Energy Total</t>
  </si>
  <si>
    <t>Redistribute Over / Under</t>
  </si>
  <si>
    <t xml:space="preserve">Billing Energy </t>
  </si>
  <si>
    <t>Tariff Summary For Review Period</t>
  </si>
  <si>
    <r>
      <t xml:space="preserve">Non Demand MGS Sec </t>
    </r>
    <r>
      <rPr>
        <vertAlign val="superscript"/>
        <sz val="11"/>
        <rFont val="Calibri"/>
        <family val="2"/>
        <scheme val="minor"/>
      </rPr>
      <t>1</t>
    </r>
  </si>
  <si>
    <t>$ / kWh Rate</t>
  </si>
  <si>
    <t>Going Level Revenue Requirement from BS1OR Form 3.0</t>
  </si>
  <si>
    <t>Proposed BS1OR Revenue Requirement  (Line 4 + Line 5)</t>
  </si>
  <si>
    <t>Net Gas Plant in Service</t>
  </si>
  <si>
    <t>Pre Tax WACC from settlement exhibit 2</t>
  </si>
  <si>
    <t>Sub Total Operating Expenses</t>
  </si>
  <si>
    <t>Total Return</t>
  </si>
  <si>
    <t>Total BS1OR Going Level Revenue Requirement</t>
  </si>
  <si>
    <t>Return on EPIS</t>
  </si>
  <si>
    <t>Going Level Revenue Requirement</t>
  </si>
  <si>
    <t>Big Sandy 1  Operations</t>
  </si>
  <si>
    <t>(Over) / Under Recovery    (Line 1 - Line 2)</t>
  </si>
  <si>
    <t>Energy Total (includes PJM charges and credits)</t>
  </si>
  <si>
    <t>Depreciation on Gas Plant in Service</t>
  </si>
  <si>
    <t>c</t>
  </si>
  <si>
    <t>d</t>
  </si>
  <si>
    <t>e</t>
  </si>
  <si>
    <t>f = a+b+c+d+e</t>
  </si>
  <si>
    <t>g</t>
  </si>
  <si>
    <t>i</t>
  </si>
  <si>
    <t>j</t>
  </si>
  <si>
    <t>k = I * j</t>
  </si>
  <si>
    <t>l = k + (a + c + d) * g</t>
  </si>
  <si>
    <t>m = (b+e) * g</t>
  </si>
  <si>
    <t>Estimated Going Level Operating Expenses  7/1/2016 - 6/30/2017</t>
  </si>
  <si>
    <t>Energy Related O&amp;M (excluding fuel)  Includes PJM Charges and Credits</t>
  </si>
  <si>
    <t>Demand-Related</t>
  </si>
  <si>
    <t>Energy-Related</t>
  </si>
  <si>
    <t>(Over)/Under Recovery</t>
  </si>
  <si>
    <t>Total Revenue Requirement</t>
  </si>
  <si>
    <t>Workpaper</t>
  </si>
  <si>
    <t>I.G.S. and C.S.-I.R.P.</t>
  </si>
  <si>
    <t>ADFIT</t>
  </si>
  <si>
    <t xml:space="preserve">Rate Year </t>
  </si>
  <si>
    <t>Book Depreciation Exp @3.78%</t>
  </si>
  <si>
    <t>Bonus Depreciation</t>
  </si>
  <si>
    <t>Average Accumulated Depreciation</t>
  </si>
  <si>
    <t>Big Sandy Unit 1 Gas Conversion Net Plant in Service Calculation</t>
  </si>
  <si>
    <t>Tax Depreciation Exp @ 3.6095%</t>
  </si>
  <si>
    <t>Avg congestion LMP</t>
  </si>
  <si>
    <t>Avg loss LMP</t>
  </si>
  <si>
    <t>Admin Fees</t>
  </si>
  <si>
    <t>Total $/MWh Rate</t>
  </si>
  <si>
    <t>Total Charges</t>
  </si>
  <si>
    <t>BS1 forecasted generation MWh</t>
  </si>
  <si>
    <t>f</t>
  </si>
  <si>
    <t>e=b+c+d</t>
  </si>
  <si>
    <t>=e*a</t>
  </si>
  <si>
    <t>KY Retail Estimate</t>
  </si>
  <si>
    <t>Total for Over/Under</t>
  </si>
  <si>
    <t>KY Retail Net Plant in Service</t>
  </si>
  <si>
    <t>Kentucky Retail Demand Factor</t>
  </si>
  <si>
    <t>included in demand O&amp;M</t>
  </si>
  <si>
    <t>Total BS1OR Actual Period Revenue Requirement</t>
  </si>
  <si>
    <t>KY Retail Allocation Factor</t>
  </si>
  <si>
    <t>r</t>
  </si>
  <si>
    <t>h = f*g*r</t>
  </si>
  <si>
    <t>Actual BS1OR Costs  12-Months Ended 6/30/16 from BS1OR Form 4.0</t>
  </si>
  <si>
    <t>Actual Revenue Collected For  12-Months Ended 6/30/16  from BS1OR  Form 5.0</t>
  </si>
  <si>
    <t xml:space="preserve"> </t>
  </si>
  <si>
    <t>gross up factor from settlement exhibit 2</t>
  </si>
  <si>
    <t>RS</t>
  </si>
  <si>
    <t>IGS</t>
  </si>
  <si>
    <t xml:space="preserve"> Big Sandy 1 Operation Rider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</si>
  <si>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</si>
  <si>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</si>
  <si>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</si>
  <si>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</si>
  <si>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</si>
  <si>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</si>
  <si>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</si>
  <si>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</si>
  <si>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As of                                           9/30/2014*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</si>
  <si>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</si>
  <si>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</si>
  <si>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</si>
  <si>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</si>
  <si>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</si>
  <si>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</si>
  <si>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</si>
  <si>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</si>
  <si>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</si>
  <si>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</si>
  <si>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</si>
  <si>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</si>
  <si>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</si>
  <si>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</si>
  <si>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Section 199 Deduction</t>
  </si>
  <si>
    <t>Taxable Income for Federal Income Taxes</t>
  </si>
  <si>
    <t>Less Federal Income Taxes (Ln 13*35%)</t>
  </si>
  <si>
    <t>Operating  Income Percentage</t>
  </si>
  <si>
    <t>Gross Up Factor  (100.00/Ln 9)</t>
  </si>
  <si>
    <t>*</t>
  </si>
  <si>
    <t>As provided in Exhibit 2 to the Settlement Agreement in Case No. 2014-00396.</t>
  </si>
  <si>
    <t>Rate of Return on Common Equity as authorized by the Public Service Commission in Order Dated June 22, 2015 in Case No. 2014-00396.</t>
  </si>
  <si>
    <t xml:space="preserve">  </t>
  </si>
  <si>
    <t xml:space="preserve">Big Sandy 1 Operation Rider </t>
  </si>
  <si>
    <t xml:space="preserve">KENTUCKY POWER COMPANY </t>
  </si>
  <si>
    <t>Average EPIS*</t>
  </si>
  <si>
    <t>Pre Tax WACC</t>
  </si>
  <si>
    <t>Actual Operating Expenses for the 12 Month period ended June 30, 2016</t>
  </si>
  <si>
    <t>Twelve-Month Period ended June 30, 2016</t>
  </si>
  <si>
    <t>includes estimated emission allowance exp</t>
  </si>
  <si>
    <t>***</t>
  </si>
  <si>
    <t>For calculations which already include uncollectible expense and PSC maintenance assessment fee</t>
  </si>
  <si>
    <t>Revenue Conversion Factor</t>
  </si>
  <si>
    <t>* Value as of May 31, 2016.  Average Electric Plant In Service includes AFUDC and excludes CWIP.</t>
  </si>
  <si>
    <t>Gross-Up for uncollectibles and KPSC maintenance fee not needed, as it was accounted for on the revenue side.</t>
  </si>
  <si>
    <t>Excludes gross-up for uncollectibles and KPSC maintenance fee, accounted for on the revenue side, see GRCF tab for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</si>
</sst>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_(* #,##0.000000_);_(* \(#,##0.000000\);_(* &quot;-&quot;??_);_(@_)"/>
    <numFmt numFmtId="173" formatCode="&quot;$&quot;#,##0.00000_);\(&quot;$&quot;#,##0.00000\)"/>
    <numFmt numFmtId="174" formatCode="0.000%"/>
    <numFmt numFmtId="175" formatCode="[$-409]d\-mmm\-yy;@"/>
    <numFmt numFmtId="176" formatCode="0.0000%"/>
    <numFmt numFmtId="177" formatCode="0.000000"/>
    <numFmt numFmtId="178" formatCode="#,##0.0000_);\(#,##0.0000\)"/>
    <numFmt numFmtId="179" formatCode="_(* #,##0.0000_);_(* \(#,##0.0000\);_(* &quot;-&quot;??_);_(@_)"/>
    <numFmt numFmtId="180" formatCode="0.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8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6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1" applyNumberFormat="0" applyAlignment="0" applyProtection="0"/>
    <xf numFmtId="0" fontId="20" fillId="22" borderId="12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1" applyNumberFormat="0" applyAlignment="0" applyProtection="0"/>
    <xf numFmtId="0" fontId="27" fillId="0" borderId="16" applyNumberFormat="0" applyFill="0" applyAlignment="0" applyProtection="0"/>
    <xf numFmtId="0" fontId="28" fillId="23" borderId="0" applyNumberFormat="0" applyBorder="0" applyAlignment="0" applyProtection="0"/>
    <xf numFmtId="0" fontId="6" fillId="24" borderId="17" applyNumberFormat="0" applyFont="0" applyAlignment="0" applyProtection="0"/>
    <xf numFmtId="0" fontId="29" fillId="21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1" fillId="0" borderId="0"/>
    <xf numFmtId="0" fontId="51" fillId="0" borderId="0"/>
    <xf numFmtId="0" fontId="7" fillId="0" borderId="0"/>
    <xf numFmtId="0" fontId="7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52" fillId="0" borderId="0"/>
    <xf numFmtId="0" fontId="1" fillId="0" borderId="0"/>
    <xf numFmtId="0" fontId="52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0" fontId="3" fillId="0" borderId="0" xfId="0" applyFont="1" applyAlignment="1"/>
    <xf numFmtId="165" fontId="0" fillId="0" borderId="0" xfId="1" applyNumberFormat="1" applyFont="1" applyBorder="1"/>
    <xf numFmtId="165" fontId="0" fillId="0" borderId="0" xfId="0" applyNumberFormat="1"/>
    <xf numFmtId="0" fontId="4" fillId="0" borderId="0" xfId="0" applyFont="1"/>
    <xf numFmtId="0" fontId="2" fillId="0" borderId="0" xfId="0" applyFont="1"/>
    <xf numFmtId="165" fontId="2" fillId="0" borderId="0" xfId="1" applyNumberFormat="1" applyFont="1"/>
    <xf numFmtId="165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 applyAlignment="1">
      <alignment horizontal="right"/>
    </xf>
    <xf numFmtId="165" fontId="1" fillId="0" borderId="0" xfId="1" applyNumberFormat="1" applyFont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9" fillId="0" borderId="0" xfId="2" applyFont="1" applyFill="1"/>
    <xf numFmtId="0" fontId="11" fillId="0" borderId="0" xfId="2" applyFont="1" applyFill="1"/>
    <xf numFmtId="0" fontId="11" fillId="0" borderId="0" xfId="2" applyFont="1" applyFill="1" applyAlignment="1"/>
    <xf numFmtId="0" fontId="12" fillId="0" borderId="0" xfId="2" applyFont="1" applyFill="1"/>
    <xf numFmtId="0" fontId="12" fillId="0" borderId="0" xfId="2" applyFont="1" applyFill="1" applyAlignment="1"/>
    <xf numFmtId="0" fontId="12" fillId="0" borderId="3" xfId="2" applyFont="1" applyFill="1" applyBorder="1" applyAlignment="1"/>
    <xf numFmtId="0" fontId="12" fillId="0" borderId="4" xfId="2" applyFont="1" applyFill="1" applyBorder="1"/>
    <xf numFmtId="0" fontId="13" fillId="0" borderId="4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2" fillId="0" borderId="6" xfId="2" applyFont="1" applyFill="1" applyBorder="1" applyAlignment="1"/>
    <xf numFmtId="0" fontId="12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3" fillId="0" borderId="7" xfId="2" applyFont="1" applyFill="1" applyBorder="1" applyAlignment="1">
      <alignment horizontal="center"/>
    </xf>
    <xf numFmtId="0" fontId="12" fillId="0" borderId="8" xfId="2" applyFont="1" applyFill="1" applyBorder="1" applyAlignment="1"/>
    <xf numFmtId="0" fontId="12" fillId="0" borderId="9" xfId="2" applyFont="1" applyFill="1" applyBorder="1"/>
    <xf numFmtId="5" fontId="12" fillId="0" borderId="9" xfId="2" applyNumberFormat="1" applyFont="1" applyFill="1" applyBorder="1"/>
    <xf numFmtId="5" fontId="12" fillId="0" borderId="10" xfId="2" applyNumberFormat="1" applyFont="1" applyFill="1" applyBorder="1" applyAlignment="1"/>
    <xf numFmtId="37" fontId="12" fillId="0" borderId="0" xfId="2" applyNumberFormat="1" applyFont="1" applyFill="1" applyAlignment="1"/>
    <xf numFmtId="0" fontId="12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166" fontId="12" fillId="0" borderId="0" xfId="2" applyNumberFormat="1" applyFont="1" applyFill="1" applyAlignment="1">
      <alignment horizontal="center"/>
    </xf>
    <xf numFmtId="166" fontId="12" fillId="0" borderId="0" xfId="2" quotePrefix="1" applyNumberFormat="1" applyFont="1" applyFill="1" applyAlignment="1">
      <alignment horizontal="center"/>
    </xf>
    <xf numFmtId="38" fontId="12" fillId="0" borderId="0" xfId="2" applyNumberFormat="1" applyFont="1" applyFill="1"/>
    <xf numFmtId="6" fontId="12" fillId="0" borderId="0" xfId="3" applyNumberFormat="1" applyFont="1" applyFill="1"/>
    <xf numFmtId="44" fontId="12" fillId="0" borderId="0" xfId="3" applyNumberFormat="1" applyFont="1" applyFill="1"/>
    <xf numFmtId="168" fontId="12" fillId="0" borderId="0" xfId="3" applyNumberFormat="1" applyFont="1" applyFill="1"/>
    <xf numFmtId="166" fontId="14" fillId="0" borderId="0" xfId="2" applyNumberFormat="1" applyFont="1" applyFill="1"/>
    <xf numFmtId="169" fontId="12" fillId="0" borderId="0" xfId="3" applyNumberFormat="1" applyFont="1" applyFill="1"/>
    <xf numFmtId="38" fontId="12" fillId="0" borderId="0" xfId="3" applyNumberFormat="1" applyFont="1" applyFill="1"/>
    <xf numFmtId="170" fontId="12" fillId="0" borderId="0" xfId="2" applyNumberFormat="1" applyFont="1" applyFill="1"/>
    <xf numFmtId="3" fontId="12" fillId="0" borderId="0" xfId="2" applyNumberFormat="1" applyFont="1" applyFill="1"/>
    <xf numFmtId="0" fontId="12" fillId="0" borderId="2" xfId="2" applyFont="1" applyFill="1" applyBorder="1"/>
    <xf numFmtId="38" fontId="12" fillId="0" borderId="2" xfId="2" applyNumberFormat="1" applyFont="1" applyFill="1" applyBorder="1"/>
    <xf numFmtId="3" fontId="12" fillId="0" borderId="2" xfId="2" applyNumberFormat="1" applyFont="1" applyFill="1" applyBorder="1"/>
    <xf numFmtId="6" fontId="12" fillId="0" borderId="2" xfId="2" applyNumberFormat="1" applyFont="1" applyFill="1" applyBorder="1"/>
    <xf numFmtId="165" fontId="11" fillId="0" borderId="0" xfId="4" applyNumberFormat="1" applyFont="1" applyFill="1"/>
    <xf numFmtId="37" fontId="11" fillId="0" borderId="0" xfId="2" applyNumberFormat="1" applyFont="1" applyFill="1"/>
    <xf numFmtId="171" fontId="11" fillId="0" borderId="0" xfId="3" applyNumberFormat="1" applyFont="1" applyFill="1" applyAlignment="1">
      <alignment horizontal="right"/>
    </xf>
    <xf numFmtId="0" fontId="15" fillId="0" borderId="0" xfId="2" applyFont="1" applyFill="1"/>
    <xf numFmtId="38" fontId="9" fillId="0" borderId="0" xfId="2" applyNumberFormat="1" applyFont="1" applyFill="1"/>
    <xf numFmtId="166" fontId="15" fillId="0" borderId="0" xfId="2" applyNumberFormat="1" applyFont="1" applyFill="1"/>
    <xf numFmtId="0" fontId="1" fillId="0" borderId="0" xfId="0" applyFont="1" applyFill="1"/>
    <xf numFmtId="0" fontId="33" fillId="0" borderId="0" xfId="11" applyFont="1" applyFill="1"/>
    <xf numFmtId="0" fontId="35" fillId="0" borderId="0" xfId="11" applyFont="1" applyFill="1"/>
    <xf numFmtId="0" fontId="36" fillId="0" borderId="0" xfId="11" applyFont="1" applyFill="1" applyAlignment="1">
      <alignment horizontal="center"/>
    </xf>
    <xf numFmtId="166" fontId="35" fillId="0" borderId="0" xfId="11" applyNumberFormat="1" applyFont="1" applyFill="1" applyAlignment="1">
      <alignment horizontal="center"/>
    </xf>
    <xf numFmtId="165" fontId="35" fillId="0" borderId="0" xfId="4" applyNumberFormat="1" applyFont="1" applyFill="1"/>
    <xf numFmtId="165" fontId="35" fillId="0" borderId="0" xfId="11" applyNumberFormat="1" applyFont="1" applyFill="1"/>
    <xf numFmtId="5" fontId="0" fillId="0" borderId="0" xfId="0" applyNumberFormat="1"/>
    <xf numFmtId="5" fontId="0" fillId="0" borderId="0" xfId="0" applyNumberFormat="1" applyBorder="1"/>
    <xf numFmtId="5" fontId="0" fillId="0" borderId="1" xfId="0" applyNumberFormat="1" applyBorder="1"/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35" fillId="0" borderId="0" xfId="2" applyFont="1" applyFill="1"/>
    <xf numFmtId="0" fontId="3" fillId="0" borderId="0" xfId="0" applyFont="1" applyAlignment="1">
      <alignment horizontal="center"/>
    </xf>
    <xf numFmtId="173" fontId="0" fillId="0" borderId="0" xfId="1" applyNumberFormat="1" applyFont="1"/>
    <xf numFmtId="44" fontId="0" fillId="0" borderId="0" xfId="54" applyFont="1"/>
    <xf numFmtId="171" fontId="2" fillId="0" borderId="0" xfId="54" applyNumberFormat="1" applyFont="1"/>
    <xf numFmtId="174" fontId="0" fillId="0" borderId="0" xfId="55" applyNumberFormat="1" applyFont="1"/>
    <xf numFmtId="171" fontId="0" fillId="0" borderId="1" xfId="54" applyNumberFormat="1" applyFont="1" applyBorder="1"/>
    <xf numFmtId="171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5" fillId="0" borderId="0" xfId="11" applyFont="1"/>
    <xf numFmtId="9" fontId="5" fillId="0" borderId="0" xfId="53" applyFont="1"/>
    <xf numFmtId="171" fontId="0" fillId="0" borderId="0" xfId="54" applyNumberFormat="1" applyFont="1"/>
    <xf numFmtId="0" fontId="5" fillId="0" borderId="0" xfId="11" applyFont="1" applyAlignment="1">
      <alignment horizontal="center"/>
    </xf>
    <xf numFmtId="165" fontId="5" fillId="0" borderId="0" xfId="1" applyNumberFormat="1" applyFont="1"/>
    <xf numFmtId="0" fontId="5" fillId="0" borderId="0" xfId="11" applyFont="1" applyBorder="1"/>
    <xf numFmtId="0" fontId="5" fillId="0" borderId="0" xfId="11" applyFont="1" applyFill="1" applyBorder="1"/>
    <xf numFmtId="165" fontId="5" fillId="0" borderId="1" xfId="1" applyNumberFormat="1" applyFont="1" applyBorder="1"/>
    <xf numFmtId="0" fontId="38" fillId="0" borderId="0" xfId="0" applyFont="1" applyFill="1"/>
    <xf numFmtId="0" fontId="38" fillId="0" borderId="0" xfId="0" applyFont="1" applyFill="1" applyBorder="1"/>
    <xf numFmtId="165" fontId="38" fillId="0" borderId="0" xfId="1" applyNumberFormat="1" applyFont="1" applyFill="1"/>
    <xf numFmtId="0" fontId="38" fillId="0" borderId="0" xfId="0" applyFont="1"/>
    <xf numFmtId="165" fontId="38" fillId="0" borderId="0" xfId="0" applyNumberFormat="1" applyFont="1" applyFill="1"/>
    <xf numFmtId="165" fontId="39" fillId="0" borderId="0" xfId="1" applyNumberFormat="1" applyFont="1" applyFill="1" applyBorder="1"/>
    <xf numFmtId="165" fontId="39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5" fontId="12" fillId="0" borderId="0" xfId="2" applyNumberFormat="1" applyFont="1" applyFill="1" applyBorder="1"/>
    <xf numFmtId="5" fontId="12" fillId="0" borderId="1" xfId="2" applyNumberFormat="1" applyFont="1" applyFill="1" applyBorder="1"/>
    <xf numFmtId="175" fontId="0" fillId="0" borderId="0" xfId="0" applyNumberFormat="1"/>
    <xf numFmtId="171" fontId="2" fillId="0" borderId="0" xfId="0" applyNumberFormat="1" applyFont="1"/>
    <xf numFmtId="0" fontId="0" fillId="0" borderId="0" xfId="0" applyFill="1"/>
    <xf numFmtId="171" fontId="0" fillId="0" borderId="0" xfId="54" applyNumberFormat="1" applyFont="1" applyFill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0" xfId="0" quotePrefix="1"/>
    <xf numFmtId="0" fontId="42" fillId="0" borderId="0" xfId="0" applyFont="1"/>
    <xf numFmtId="165" fontId="0" fillId="0" borderId="0" xfId="1" applyNumberFormat="1" applyFont="1" applyFill="1"/>
    <xf numFmtId="165" fontId="0" fillId="0" borderId="0" xfId="1" applyNumberFormat="1" applyFont="1" applyFill="1" applyBorder="1" applyAlignment="1"/>
    <xf numFmtId="0" fontId="43" fillId="0" borderId="0" xfId="0" applyFont="1"/>
    <xf numFmtId="165" fontId="5" fillId="0" borderId="0" xfId="1" applyNumberFormat="1" applyFont="1" applyBorder="1"/>
    <xf numFmtId="172" fontId="5" fillId="0" borderId="0" xfId="1" applyNumberFormat="1" applyFont="1" applyBorder="1"/>
    <xf numFmtId="165" fontId="38" fillId="0" borderId="0" xfId="1" applyNumberFormat="1" applyFont="1" applyFill="1" applyBorder="1"/>
    <xf numFmtId="171" fontId="38" fillId="0" borderId="0" xfId="54" applyNumberFormat="1" applyFont="1" applyBorder="1"/>
    <xf numFmtId="174" fontId="38" fillId="0" borderId="0" xfId="55" applyNumberFormat="1" applyFont="1" applyBorder="1"/>
    <xf numFmtId="0" fontId="42" fillId="0" borderId="0" xfId="0" applyFont="1" applyFill="1"/>
    <xf numFmtId="165" fontId="0" fillId="0" borderId="0" xfId="0" applyNumberFormat="1" applyFill="1"/>
    <xf numFmtId="165" fontId="0" fillId="0" borderId="1" xfId="0" applyNumberFormat="1" applyFont="1" applyFill="1" applyBorder="1"/>
    <xf numFmtId="165" fontId="2" fillId="0" borderId="0" xfId="0" applyNumberFormat="1" applyFont="1" applyFill="1"/>
    <xf numFmtId="165" fontId="0" fillId="25" borderId="0" xfId="1" applyNumberFormat="1" applyFont="1" applyFill="1" applyBorder="1"/>
    <xf numFmtId="165" fontId="0" fillId="25" borderId="1" xfId="1" applyNumberFormat="1" applyFont="1" applyFill="1" applyBorder="1"/>
    <xf numFmtId="172" fontId="0" fillId="25" borderId="0" xfId="1" applyNumberFormat="1" applyFont="1" applyFill="1"/>
    <xf numFmtId="0" fontId="5" fillId="0" borderId="0" xfId="56" applyAlignment="1">
      <alignment horizontal="center"/>
    </xf>
    <xf numFmtId="0" fontId="5" fillId="0" borderId="0" xfId="56"/>
    <xf numFmtId="0" fontId="5" fillId="0" borderId="0" xfId="56" applyFont="1"/>
    <xf numFmtId="0" fontId="5" fillId="0" borderId="0" xfId="56" applyBorder="1" applyAlignment="1">
      <alignment horizontal="center"/>
    </xf>
    <xf numFmtId="0" fontId="5" fillId="0" borderId="0" xfId="56" applyBorder="1"/>
    <xf numFmtId="49" fontId="7" fillId="0" borderId="22" xfId="57" applyNumberFormat="1" applyBorder="1" applyAlignment="1">
      <alignment horizontal="center" wrapText="1"/>
    </xf>
    <xf numFmtId="49" fontId="7" fillId="26" borderId="4" xfId="57" applyNumberFormat="1" applyFill="1" applyBorder="1" applyAlignment="1">
      <alignment wrapText="1"/>
    </xf>
    <xf numFmtId="49" fontId="7" fillId="0" borderId="20" xfId="57" applyNumberFormat="1" applyBorder="1" applyAlignment="1">
      <alignment horizontal="center" wrapText="1"/>
    </xf>
    <xf numFmtId="49" fontId="7" fillId="26" borderId="23" xfId="57" applyNumberFormat="1" applyFill="1" applyBorder="1" applyAlignment="1">
      <alignment wrapText="1"/>
    </xf>
    <xf numFmtId="49" fontId="7" fillId="0" borderId="23" xfId="57" applyNumberFormat="1" applyBorder="1" applyAlignment="1">
      <alignment horizontal="center" wrapText="1"/>
    </xf>
    <xf numFmtId="49" fontId="7" fillId="0" borderId="22" xfId="57" applyNumberFormat="1" applyFill="1" applyBorder="1" applyAlignment="1">
      <alignment wrapText="1"/>
    </xf>
    <xf numFmtId="0" fontId="7" fillId="26" borderId="23" xfId="57" applyFill="1" applyBorder="1"/>
    <xf numFmtId="0" fontId="7" fillId="0" borderId="23" xfId="57" applyBorder="1" applyAlignment="1">
      <alignment horizontal="center"/>
    </xf>
    <xf numFmtId="0" fontId="7" fillId="26" borderId="23" xfId="57" applyFill="1" applyBorder="1" applyAlignment="1">
      <alignment horizontal="center"/>
    </xf>
    <xf numFmtId="0" fontId="7" fillId="0" borderId="23" xfId="57" applyBorder="1"/>
    <xf numFmtId="49" fontId="7" fillId="0" borderId="21" xfId="57" applyNumberFormat="1" applyBorder="1" applyAlignment="1">
      <alignment horizontal="center" wrapText="1"/>
    </xf>
    <xf numFmtId="49" fontId="5" fillId="0" borderId="0" xfId="56" applyNumberFormat="1" applyBorder="1" applyAlignment="1">
      <alignment horizontal="center" wrapText="1"/>
    </xf>
    <xf numFmtId="49" fontId="7" fillId="0" borderId="6" xfId="57" applyNumberFormat="1" applyBorder="1" applyAlignment="1">
      <alignment horizontal="center" wrapText="1"/>
    </xf>
    <xf numFmtId="49" fontId="7" fillId="26" borderId="0" xfId="57" applyNumberFormat="1" applyFill="1" applyBorder="1" applyAlignment="1">
      <alignment wrapText="1"/>
    </xf>
    <xf numFmtId="49" fontId="7" fillId="0" borderId="0" xfId="57" applyNumberFormat="1" applyBorder="1" applyAlignment="1">
      <alignment horizontal="center" wrapText="1"/>
    </xf>
    <xf numFmtId="49" fontId="44" fillId="0" borderId="0" xfId="57" applyNumberFormat="1" applyFont="1" applyBorder="1" applyAlignment="1">
      <alignment horizontal="center" wrapText="1"/>
    </xf>
    <xf numFmtId="49" fontId="7" fillId="0" borderId="24" xfId="57" applyNumberFormat="1" applyFill="1" applyBorder="1" applyAlignment="1">
      <alignment wrapText="1"/>
    </xf>
    <xf numFmtId="0" fontId="7" fillId="26" borderId="0" xfId="57" applyFill="1" applyBorder="1"/>
    <xf numFmtId="0" fontId="7" fillId="0" borderId="0" xfId="57" applyBorder="1" applyAlignment="1">
      <alignment horizontal="center"/>
    </xf>
    <xf numFmtId="0" fontId="7" fillId="26" borderId="0" xfId="57" applyFill="1" applyBorder="1" applyAlignment="1">
      <alignment horizontal="center"/>
    </xf>
    <xf numFmtId="0" fontId="7" fillId="0" borderId="0" xfId="57" applyBorder="1"/>
    <xf numFmtId="49" fontId="7" fillId="0" borderId="7" xfId="57" applyNumberFormat="1" applyBorder="1" applyAlignment="1">
      <alignment horizontal="center" wrapText="1"/>
    </xf>
    <xf numFmtId="0" fontId="7" fillId="0" borderId="25" xfId="57" applyBorder="1" applyAlignment="1">
      <alignment horizontal="center"/>
    </xf>
    <xf numFmtId="0" fontId="7" fillId="26" borderId="4" xfId="57" applyFill="1" applyBorder="1"/>
    <xf numFmtId="0" fontId="7" fillId="0" borderId="4" xfId="57" applyBorder="1"/>
    <xf numFmtId="0" fontId="7" fillId="0" borderId="25" xfId="57" applyFill="1" applyBorder="1"/>
    <xf numFmtId="0" fontId="7" fillId="0" borderId="5" xfId="57" applyBorder="1"/>
    <xf numFmtId="0" fontId="0" fillId="0" borderId="24" xfId="57" applyFont="1" applyBorder="1" applyAlignment="1">
      <alignment horizontal="center"/>
    </xf>
    <xf numFmtId="5" fontId="45" fillId="0" borderId="0" xfId="57" applyNumberFormat="1" applyFont="1" applyBorder="1"/>
    <xf numFmtId="10" fontId="7" fillId="0" borderId="0" xfId="57" applyNumberFormat="1" applyBorder="1"/>
    <xf numFmtId="10" fontId="45" fillId="0" borderId="0" xfId="57" applyNumberFormat="1" applyFont="1" applyBorder="1"/>
    <xf numFmtId="0" fontId="7" fillId="0" borderId="24" xfId="57" applyFill="1" applyBorder="1"/>
    <xf numFmtId="177" fontId="7" fillId="0" borderId="0" xfId="57" applyNumberFormat="1" applyBorder="1" applyAlignment="1">
      <alignment horizontal="center"/>
    </xf>
    <xf numFmtId="0" fontId="0" fillId="0" borderId="0" xfId="57" applyFont="1" applyBorder="1"/>
    <xf numFmtId="176" fontId="7" fillId="0" borderId="7" xfId="57" applyNumberFormat="1" applyBorder="1"/>
    <xf numFmtId="10" fontId="5" fillId="0" borderId="0" xfId="56" applyNumberFormat="1" applyBorder="1"/>
    <xf numFmtId="49" fontId="7" fillId="0" borderId="0" xfId="57" applyNumberFormat="1" applyFill="1" applyBorder="1" applyAlignment="1">
      <alignment wrapText="1"/>
    </xf>
    <xf numFmtId="10" fontId="44" fillId="0" borderId="0" xfId="57" applyNumberFormat="1" applyFont="1" applyBorder="1"/>
    <xf numFmtId="0" fontId="5" fillId="0" borderId="24" xfId="57" applyFont="1" applyBorder="1" applyAlignment="1">
      <alignment horizontal="center"/>
    </xf>
    <xf numFmtId="177" fontId="44" fillId="0" borderId="0" xfId="57" applyNumberFormat="1" applyFont="1" applyBorder="1" applyAlignment="1">
      <alignment horizontal="center"/>
    </xf>
    <xf numFmtId="0" fontId="0" fillId="0" borderId="0" xfId="57" applyFont="1" applyBorder="1" applyAlignment="1">
      <alignment horizontal="center"/>
    </xf>
    <xf numFmtId="174" fontId="7" fillId="0" borderId="0" xfId="57" applyNumberFormat="1" applyBorder="1"/>
    <xf numFmtId="174" fontId="46" fillId="0" borderId="0" xfId="57" applyNumberFormat="1" applyFont="1" applyBorder="1"/>
    <xf numFmtId="178" fontId="7" fillId="0" borderId="7" xfId="57" applyNumberFormat="1" applyBorder="1"/>
    <xf numFmtId="178" fontId="5" fillId="0" borderId="0" xfId="56" applyNumberFormat="1" applyBorder="1"/>
    <xf numFmtId="5" fontId="47" fillId="0" borderId="0" xfId="57" applyNumberFormat="1" applyFont="1" applyBorder="1"/>
    <xf numFmtId="10" fontId="48" fillId="0" borderId="0" xfId="57" applyNumberFormat="1" applyFont="1" applyBorder="1"/>
    <xf numFmtId="176" fontId="48" fillId="0" borderId="7" xfId="57" applyNumberFormat="1" applyFont="1" applyBorder="1" applyAlignment="1">
      <alignment horizontal="right" wrapText="1"/>
    </xf>
    <xf numFmtId="10" fontId="48" fillId="0" borderId="0" xfId="56" applyNumberFormat="1" applyFont="1" applyBorder="1" applyAlignment="1">
      <alignment horizontal="center" wrapText="1"/>
    </xf>
    <xf numFmtId="0" fontId="7" fillId="0" borderId="7" xfId="57" applyBorder="1"/>
    <xf numFmtId="0" fontId="0" fillId="0" borderId="26" xfId="57" applyFont="1" applyBorder="1" applyAlignment="1">
      <alignment horizontal="center"/>
    </xf>
    <xf numFmtId="0" fontId="7" fillId="26" borderId="9" xfId="57" applyFill="1" applyBorder="1"/>
    <xf numFmtId="0" fontId="7" fillId="0" borderId="9" xfId="57" applyBorder="1"/>
    <xf numFmtId="0" fontId="7" fillId="0" borderId="26" xfId="57" applyFill="1" applyBorder="1"/>
    <xf numFmtId="0" fontId="7" fillId="0" borderId="10" xfId="57" applyBorder="1"/>
    <xf numFmtId="0" fontId="5" fillId="0" borderId="6" xfId="56" applyBorder="1" applyAlignment="1">
      <alignment horizontal="center"/>
    </xf>
    <xf numFmtId="0" fontId="5" fillId="26" borderId="0" xfId="56" applyFill="1" applyBorder="1"/>
    <xf numFmtId="0" fontId="5" fillId="26" borderId="0" xfId="56" applyFill="1" applyBorder="1" applyAlignment="1">
      <alignment horizontal="center"/>
    </xf>
    <xf numFmtId="0" fontId="5" fillId="0" borderId="7" xfId="56" applyBorder="1"/>
    <xf numFmtId="0" fontId="5" fillId="0" borderId="0" xfId="56" applyFill="1" applyBorder="1" applyAlignment="1">
      <alignment horizontal="center"/>
    </xf>
    <xf numFmtId="0" fontId="5" fillId="0" borderId="0" xfId="56" applyFill="1" applyBorder="1"/>
    <xf numFmtId="0" fontId="5" fillId="0" borderId="0" xfId="56" applyFill="1"/>
    <xf numFmtId="0" fontId="49" fillId="0" borderId="0" xfId="56" applyFont="1" applyFill="1" applyBorder="1" applyAlignment="1">
      <alignment horizontal="center"/>
    </xf>
    <xf numFmtId="179" fontId="7" fillId="0" borderId="0" xfId="58" applyNumberFormat="1" applyFont="1" applyBorder="1"/>
    <xf numFmtId="0" fontId="7" fillId="0" borderId="0" xfId="57"/>
    <xf numFmtId="179" fontId="7" fillId="0" borderId="0" xfId="58" applyNumberFormat="1" applyFont="1"/>
    <xf numFmtId="0" fontId="0" fillId="0" borderId="0" xfId="57" applyFont="1"/>
    <xf numFmtId="180" fontId="7" fillId="0" borderId="0" xfId="57" applyNumberFormat="1"/>
    <xf numFmtId="0" fontId="5" fillId="0" borderId="0" xfId="57" applyFont="1"/>
    <xf numFmtId="0" fontId="5" fillId="0" borderId="0" xfId="56" applyFont="1" applyAlignment="1">
      <alignment horizontal="center"/>
    </xf>
    <xf numFmtId="0" fontId="7" fillId="0" borderId="0" xfId="57" applyAlignment="1">
      <alignment horizontal="center"/>
    </xf>
    <xf numFmtId="179" fontId="7" fillId="0" borderId="0" xfId="58" applyNumberFormat="1" applyFont="1" applyAlignment="1">
      <alignment vertical="center"/>
    </xf>
    <xf numFmtId="177" fontId="7" fillId="0" borderId="0" xfId="57" applyNumberFormat="1"/>
    <xf numFmtId="0" fontId="5" fillId="0" borderId="0" xfId="57" applyFont="1" applyAlignment="1">
      <alignment horizontal="center"/>
    </xf>
    <xf numFmtId="0" fontId="48" fillId="0" borderId="0" xfId="57" applyFont="1" applyFill="1" applyBorder="1" applyAlignment="1">
      <alignment horizontal="center"/>
    </xf>
    <xf numFmtId="37" fontId="5" fillId="0" borderId="0" xfId="57" applyNumberFormat="1" applyFont="1" applyFill="1" applyBorder="1" applyAlignment="1">
      <alignment horizontal="center"/>
    </xf>
    <xf numFmtId="0" fontId="5" fillId="0" borderId="0" xfId="57" applyFont="1" applyFill="1" applyBorder="1"/>
    <xf numFmtId="0" fontId="7" fillId="0" borderId="0" xfId="57" applyFill="1" applyBorder="1"/>
    <xf numFmtId="10" fontId="7" fillId="0" borderId="0" xfId="57" applyNumberFormat="1" applyFill="1" applyBorder="1"/>
    <xf numFmtId="0" fontId="7" fillId="0" borderId="0" xfId="57" applyFill="1" applyBorder="1" applyAlignment="1">
      <alignment horizontal="center"/>
    </xf>
    <xf numFmtId="0" fontId="7" fillId="0" borderId="0" xfId="57" applyFill="1"/>
    <xf numFmtId="49" fontId="5" fillId="0" borderId="0" xfId="57" applyNumberFormat="1" applyFont="1" applyFill="1" applyBorder="1" applyAlignment="1">
      <alignment horizontal="center" wrapText="1"/>
    </xf>
    <xf numFmtId="37" fontId="7" fillId="0" borderId="0" xfId="57" applyNumberFormat="1" applyFill="1" applyBorder="1" applyAlignment="1">
      <alignment horizontal="center"/>
    </xf>
    <xf numFmtId="176" fontId="0" fillId="0" borderId="0" xfId="55" applyNumberFormat="1" applyFont="1" applyFill="1"/>
    <xf numFmtId="171" fontId="0" fillId="0" borderId="1" xfId="54" applyNumberFormat="1" applyFont="1" applyFill="1" applyBorder="1"/>
    <xf numFmtId="0" fontId="53" fillId="0" borderId="0" xfId="0" applyFont="1"/>
    <xf numFmtId="0" fontId="53" fillId="0" borderId="0" xfId="0" applyFont="1" applyFill="1"/>
    <xf numFmtId="165" fontId="0" fillId="0" borderId="1" xfId="1" applyNumberFormat="1" applyFont="1" applyFill="1" applyBorder="1" applyAlignment="1"/>
    <xf numFmtId="172" fontId="35" fillId="0" borderId="0" xfId="1" applyNumberFormat="1" applyFont="1" applyFill="1"/>
    <xf numFmtId="167" fontId="12" fillId="0" borderId="0" xfId="2" applyNumberFormat="1" applyFont="1" applyFill="1"/>
    <xf numFmtId="165" fontId="5" fillId="0" borderId="0" xfId="1" applyNumberFormat="1" applyFont="1" applyFill="1"/>
    <xf numFmtId="165" fontId="5" fillId="0" borderId="1" xfId="1" applyNumberFormat="1" applyFont="1" applyFill="1" applyBorder="1"/>
    <xf numFmtId="172" fontId="5" fillId="0" borderId="0" xfId="1" applyNumberFormat="1" applyFont="1" applyFill="1"/>
    <xf numFmtId="165" fontId="5" fillId="0" borderId="2" xfId="1" applyNumberFormat="1" applyFont="1" applyFill="1" applyBorder="1"/>
    <xf numFmtId="171" fontId="38" fillId="0" borderId="0" xfId="54" applyNumberFormat="1" applyFont="1" applyFill="1"/>
    <xf numFmtId="174" fontId="38" fillId="0" borderId="0" xfId="55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10" fillId="0" borderId="0" xfId="2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49" fontId="5" fillId="0" borderId="0" xfId="56" applyNumberFormat="1" applyAlignment="1">
      <alignment horizontal="center" wrapText="1"/>
    </xf>
    <xf numFmtId="0" fontId="5" fillId="0" borderId="0" xfId="56" applyAlignment="1">
      <alignment horizontal="center" wrapText="1"/>
    </xf>
    <xf numFmtId="0" fontId="5" fillId="0" borderId="0" xfId="56" applyFont="1" applyAlignment="1">
      <alignment horizontal="center" wrapText="1"/>
    </xf>
  </cellXfs>
  <cellStyles count="786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10" xfId="59"/>
    <cellStyle name="Comma 10 2" xfId="60"/>
    <cellStyle name="Comma 10 3" xfId="61"/>
    <cellStyle name="Comma 10 3 2" xfId="62"/>
    <cellStyle name="Comma 10 3 3" xfId="63"/>
    <cellStyle name="Comma 10 4" xfId="64"/>
    <cellStyle name="Comma 10 4 2" xfId="65"/>
    <cellStyle name="Comma 10 4 3" xfId="66"/>
    <cellStyle name="Comma 10 4 4" xfId="67"/>
    <cellStyle name="Comma 10 5" xfId="68"/>
    <cellStyle name="Comma 10 5 2" xfId="69"/>
    <cellStyle name="Comma 10 5 2 2" xfId="70"/>
    <cellStyle name="Comma 10 5 2 3" xfId="71"/>
    <cellStyle name="Comma 10 5 2 3 2" xfId="72"/>
    <cellStyle name="Comma 10 5 3" xfId="73"/>
    <cellStyle name="Comma 10 6" xfId="74"/>
    <cellStyle name="Comma 10 6 2" xfId="75"/>
    <cellStyle name="Comma 10 6 3" xfId="76"/>
    <cellStyle name="Comma 10 6 3 2" xfId="77"/>
    <cellStyle name="Comma 10 7" xfId="78"/>
    <cellStyle name="Comma 10 8" xfId="79"/>
    <cellStyle name="Comma 10 8 2" xfId="80"/>
    <cellStyle name="Comma 11" xfId="81"/>
    <cellStyle name="Comma 11 10" xfId="82"/>
    <cellStyle name="Comma 11 11" xfId="83"/>
    <cellStyle name="Comma 11 11 2" xfId="84"/>
    <cellStyle name="Comma 11 11 2 2" xfId="85"/>
    <cellStyle name="Comma 11 11 2 3" xfId="86"/>
    <cellStyle name="Comma 11 11 2 3 2" xfId="87"/>
    <cellStyle name="Comma 11 12" xfId="88"/>
    <cellStyle name="Comma 11 13" xfId="89"/>
    <cellStyle name="Comma 11 13 2" xfId="90"/>
    <cellStyle name="Comma 11 13 2 2" xfId="91"/>
    <cellStyle name="Comma 11 13 2 3" xfId="92"/>
    <cellStyle name="Comma 11 13 2 3 2" xfId="93"/>
    <cellStyle name="Comma 11 2" xfId="94"/>
    <cellStyle name="Comma 11 3" xfId="95"/>
    <cellStyle name="Comma 11 4" xfId="96"/>
    <cellStyle name="Comma 11 5" xfId="97"/>
    <cellStyle name="Comma 11 6" xfId="98"/>
    <cellStyle name="Comma 11 7" xfId="99"/>
    <cellStyle name="Comma 11 7 2" xfId="100"/>
    <cellStyle name="Comma 11 7 2 2" xfId="101"/>
    <cellStyle name="Comma 11 7 2 3" xfId="102"/>
    <cellStyle name="Comma 11 8" xfId="103"/>
    <cellStyle name="Comma 11 9" xfId="104"/>
    <cellStyle name="Comma 12" xfId="105"/>
    <cellStyle name="Comma 12 10" xfId="106"/>
    <cellStyle name="Comma 12 10 2" xfId="107"/>
    <cellStyle name="Comma 12 10 2 2" xfId="108"/>
    <cellStyle name="Comma 12 10 2 3" xfId="109"/>
    <cellStyle name="Comma 12 10 2 3 2" xfId="110"/>
    <cellStyle name="Comma 12 11" xfId="111"/>
    <cellStyle name="Comma 12 12" xfId="112"/>
    <cellStyle name="Comma 12 12 2" xfId="113"/>
    <cellStyle name="Comma 12 12 2 2" xfId="114"/>
    <cellStyle name="Comma 12 12 2 3" xfId="115"/>
    <cellStyle name="Comma 12 12 2 3 2" xfId="116"/>
    <cellStyle name="Comma 12 2" xfId="117"/>
    <cellStyle name="Comma 12 3" xfId="118"/>
    <cellStyle name="Comma 12 4" xfId="119"/>
    <cellStyle name="Comma 12 5" xfId="120"/>
    <cellStyle name="Comma 12 6" xfId="121"/>
    <cellStyle name="Comma 12 6 2" xfId="122"/>
    <cellStyle name="Comma 12 6 2 2" xfId="123"/>
    <cellStyle name="Comma 12 6 2 3" xfId="124"/>
    <cellStyle name="Comma 12 7" xfId="125"/>
    <cellStyle name="Comma 12 8" xfId="126"/>
    <cellStyle name="Comma 12 9" xfId="127"/>
    <cellStyle name="Comma 13" xfId="128"/>
    <cellStyle name="Comma 13 2" xfId="129"/>
    <cellStyle name="Comma 13 3" xfId="130"/>
    <cellStyle name="Comma 13 4" xfId="131"/>
    <cellStyle name="Comma 13 5" xfId="132"/>
    <cellStyle name="Comma 13 6" xfId="133"/>
    <cellStyle name="Comma 14" xfId="134"/>
    <cellStyle name="Comma 14 2" xfId="135"/>
    <cellStyle name="Comma 14 3" xfId="136"/>
    <cellStyle name="Comma 14 4" xfId="137"/>
    <cellStyle name="Comma 14 5" xfId="138"/>
    <cellStyle name="Comma 15" xfId="139"/>
    <cellStyle name="Comma 15 2" xfId="140"/>
    <cellStyle name="Comma 15 3" xfId="141"/>
    <cellStyle name="Comma 15 4" xfId="142"/>
    <cellStyle name="Comma 15 5" xfId="143"/>
    <cellStyle name="Comma 16" xfId="144"/>
    <cellStyle name="Comma 16 2" xfId="145"/>
    <cellStyle name="Comma 16 3" xfId="146"/>
    <cellStyle name="Comma 16 3 2" xfId="147"/>
    <cellStyle name="Comma 16 3 3" xfId="148"/>
    <cellStyle name="Comma 16 3 3 2" xfId="149"/>
    <cellStyle name="Comma 17" xfId="150"/>
    <cellStyle name="Comma 17 2" xfId="151"/>
    <cellStyle name="Comma 17 3" xfId="152"/>
    <cellStyle name="Comma 17 3 2" xfId="153"/>
    <cellStyle name="Comma 18" xfId="154"/>
    <cellStyle name="Comma 18 2" xfId="155"/>
    <cellStyle name="Comma 18 3" xfId="156"/>
    <cellStyle name="Comma 18 3 2" xfId="157"/>
    <cellStyle name="Comma 19" xfId="158"/>
    <cellStyle name="Comma 19 2" xfId="159"/>
    <cellStyle name="Comma 19 3" xfId="160"/>
    <cellStyle name="Comma 19 3 2" xfId="161"/>
    <cellStyle name="Comma 2" xfId="4"/>
    <cellStyle name="Comma 2 2" xfId="58"/>
    <cellStyle name="Comma 2 2 2" xfId="162"/>
    <cellStyle name="Comma 2 2 3" xfId="163"/>
    <cellStyle name="Comma 2 2 4" xfId="164"/>
    <cellStyle name="Comma 2 2 5" xfId="165"/>
    <cellStyle name="Comma 2 3" xfId="166"/>
    <cellStyle name="Comma 2 3 2" xfId="167"/>
    <cellStyle name="Comma 2 3 3" xfId="168"/>
    <cellStyle name="Comma 2 3 4" xfId="169"/>
    <cellStyle name="Comma 2 3 4 2" xfId="170"/>
    <cellStyle name="Comma 2 3 4 2 2" xfId="171"/>
    <cellStyle name="Comma 2 3 4 3" xfId="172"/>
    <cellStyle name="Comma 2 3 4 4" xfId="173"/>
    <cellStyle name="Comma 2 3 4 5" xfId="174"/>
    <cellStyle name="Comma 2 3 4 5 2" xfId="175"/>
    <cellStyle name="Comma 2 3 5" xfId="176"/>
    <cellStyle name="Comma 2 4" xfId="177"/>
    <cellStyle name="Comma 2 5" xfId="178"/>
    <cellStyle name="Comma 20" xfId="179"/>
    <cellStyle name="Comma 20 2" xfId="180"/>
    <cellStyle name="Comma 20 3" xfId="181"/>
    <cellStyle name="Comma 20 3 2" xfId="182"/>
    <cellStyle name="Comma 21" xfId="183"/>
    <cellStyle name="Comma 21 2" xfId="184"/>
    <cellStyle name="Comma 21 3" xfId="185"/>
    <cellStyle name="Comma 21 3 2" xfId="186"/>
    <cellStyle name="Comma 22" xfId="187"/>
    <cellStyle name="Comma 22 2" xfId="188"/>
    <cellStyle name="Comma 22 3" xfId="189"/>
    <cellStyle name="Comma 22 3 2" xfId="190"/>
    <cellStyle name="Comma 23" xfId="191"/>
    <cellStyle name="Comma 23 2" xfId="192"/>
    <cellStyle name="Comma 23 3" xfId="193"/>
    <cellStyle name="Comma 23 3 2" xfId="194"/>
    <cellStyle name="Comma 24" xfId="195"/>
    <cellStyle name="Comma 24 2" xfId="196"/>
    <cellStyle name="Comma 24 3" xfId="197"/>
    <cellStyle name="Comma 24 3 2" xfId="198"/>
    <cellStyle name="Comma 25" xfId="199"/>
    <cellStyle name="Comma 25 2" xfId="200"/>
    <cellStyle name="Comma 25 3" xfId="201"/>
    <cellStyle name="Comma 25 3 2" xfId="202"/>
    <cellStyle name="Comma 26" xfId="203"/>
    <cellStyle name="Comma 26 2" xfId="204"/>
    <cellStyle name="Comma 26 3" xfId="205"/>
    <cellStyle name="Comma 26 3 2" xfId="206"/>
    <cellStyle name="Comma 27" xfId="207"/>
    <cellStyle name="Comma 27 2" xfId="208"/>
    <cellStyle name="Comma 27 3" xfId="209"/>
    <cellStyle name="Comma 27 3 2" xfId="210"/>
    <cellStyle name="Comma 28" xfId="211"/>
    <cellStyle name="Comma 28 2" xfId="212"/>
    <cellStyle name="Comma 29" xfId="213"/>
    <cellStyle name="Comma 29 2" xfId="214"/>
    <cellStyle name="Comma 3" xfId="215"/>
    <cellStyle name="Comma 3 2" xfId="216"/>
    <cellStyle name="Comma 3 3" xfId="217"/>
    <cellStyle name="Comma 3 4" xfId="218"/>
    <cellStyle name="Comma 30" xfId="219"/>
    <cellStyle name="Comma 31" xfId="220"/>
    <cellStyle name="Comma 31 2" xfId="221"/>
    <cellStyle name="Comma 31 3" xfId="222"/>
    <cellStyle name="Comma 31 3 2" xfId="223"/>
    <cellStyle name="Comma 32" xfId="224"/>
    <cellStyle name="Comma 32 2" xfId="225"/>
    <cellStyle name="Comma 32 2 2" xfId="226"/>
    <cellStyle name="Comma 32 3" xfId="227"/>
    <cellStyle name="Comma 32 4" xfId="228"/>
    <cellStyle name="Comma 32 4 2" xfId="229"/>
    <cellStyle name="Comma 33" xfId="230"/>
    <cellStyle name="Comma 33 2" xfId="231"/>
    <cellStyle name="Comma 33 3" xfId="232"/>
    <cellStyle name="Comma 33 3 2" xfId="233"/>
    <cellStyle name="Comma 34" xfId="234"/>
    <cellStyle name="Comma 35" xfId="235"/>
    <cellStyle name="Comma 35 2" xfId="236"/>
    <cellStyle name="Comma 36" xfId="237"/>
    <cellStyle name="Comma 37" xfId="238"/>
    <cellStyle name="Comma 38" xfId="239"/>
    <cellStyle name="Comma 4" xfId="240"/>
    <cellStyle name="Comma 4 2" xfId="241"/>
    <cellStyle name="Comma 4 3" xfId="242"/>
    <cellStyle name="Comma 4 4" xfId="243"/>
    <cellStyle name="Comma 4 5" xfId="244"/>
    <cellStyle name="Comma 5" xfId="245"/>
    <cellStyle name="Comma 5 2" xfId="246"/>
    <cellStyle name="Comma 5 3" xfId="247"/>
    <cellStyle name="Comma 5 4" xfId="248"/>
    <cellStyle name="Comma 5 5" xfId="249"/>
    <cellStyle name="Comma 5 6" xfId="250"/>
    <cellStyle name="Comma 6" xfId="251"/>
    <cellStyle name="Comma 6 2" xfId="252"/>
    <cellStyle name="Comma 6 3" xfId="253"/>
    <cellStyle name="Comma 6 4" xfId="254"/>
    <cellStyle name="Comma 6 4 2" xfId="255"/>
    <cellStyle name="Comma 6 4 2 2" xfId="256"/>
    <cellStyle name="Comma 6 4 3" xfId="257"/>
    <cellStyle name="Comma 6 4 4" xfId="258"/>
    <cellStyle name="Comma 6 4 5" xfId="259"/>
    <cellStyle name="Comma 6 4 5 2" xfId="260"/>
    <cellStyle name="Comma 6 5" xfId="261"/>
    <cellStyle name="Comma 7" xfId="262"/>
    <cellStyle name="Comma 7 2" xfId="263"/>
    <cellStyle name="Comma 7 2 2" xfId="264"/>
    <cellStyle name="Comma 7 2 2 2" xfId="265"/>
    <cellStyle name="Comma 7 2 2 2 2" xfId="266"/>
    <cellStyle name="Comma 7 2 2 3" xfId="267"/>
    <cellStyle name="Comma 7 2 2 3 2" xfId="268"/>
    <cellStyle name="Comma 7 2 2 3 2 2" xfId="269"/>
    <cellStyle name="Comma 7 2 2 3 3" xfId="270"/>
    <cellStyle name="Comma 7 2 2 4" xfId="271"/>
    <cellStyle name="Comma 7 2 3" xfId="272"/>
    <cellStyle name="Comma 7 3" xfId="273"/>
    <cellStyle name="Comma 7 3 2" xfId="274"/>
    <cellStyle name="Comma 7 3 2 2" xfId="275"/>
    <cellStyle name="Comma 7 3 3" xfId="276"/>
    <cellStyle name="Comma 7 3 3 2" xfId="277"/>
    <cellStyle name="Comma 7 3 3 2 2" xfId="278"/>
    <cellStyle name="Comma 7 3 3 3" xfId="279"/>
    <cellStyle name="Comma 7 3 4" xfId="280"/>
    <cellStyle name="Comma 7 4" xfId="281"/>
    <cellStyle name="Comma 7 4 2" xfId="282"/>
    <cellStyle name="Comma 7 5" xfId="283"/>
    <cellStyle name="Comma 7 5 2" xfId="284"/>
    <cellStyle name="Comma 7 5 2 2" xfId="285"/>
    <cellStyle name="Comma 7 5 3" xfId="286"/>
    <cellStyle name="Comma 7 6" xfId="287"/>
    <cellStyle name="Comma 8" xfId="288"/>
    <cellStyle name="Comma 8 2" xfId="289"/>
    <cellStyle name="Comma 8 2 2" xfId="290"/>
    <cellStyle name="Comma 8 2 3" xfId="291"/>
    <cellStyle name="Comma 8 2 4" xfId="292"/>
    <cellStyle name="Comma 8 2 4 10" xfId="293"/>
    <cellStyle name="Comma 8 2 4 11" xfId="294"/>
    <cellStyle name="Comma 8 2 4 11 2" xfId="295"/>
    <cellStyle name="Comma 8 2 4 11 2 2" xfId="296"/>
    <cellStyle name="Comma 8 2 4 11 2 3" xfId="297"/>
    <cellStyle name="Comma 8 2 4 11 2 3 2" xfId="298"/>
    <cellStyle name="Comma 8 2 4 2" xfId="299"/>
    <cellStyle name="Comma 8 2 4 3" xfId="300"/>
    <cellStyle name="Comma 8 2 4 4" xfId="301"/>
    <cellStyle name="Comma 8 2 4 5" xfId="302"/>
    <cellStyle name="Comma 8 2 4 5 2" xfId="303"/>
    <cellStyle name="Comma 8 2 4 5 2 2" xfId="304"/>
    <cellStyle name="Comma 8 2 4 5 2 3" xfId="305"/>
    <cellStyle name="Comma 8 2 4 6" xfId="306"/>
    <cellStyle name="Comma 8 2 4 7" xfId="307"/>
    <cellStyle name="Comma 8 2 4 8" xfId="308"/>
    <cellStyle name="Comma 8 2 4 9" xfId="309"/>
    <cellStyle name="Comma 8 2 4 9 2" xfId="310"/>
    <cellStyle name="Comma 8 2 4 9 2 2" xfId="311"/>
    <cellStyle name="Comma 8 2 4 9 2 3" xfId="312"/>
    <cellStyle name="Comma 8 2 4 9 2 3 2" xfId="313"/>
    <cellStyle name="Comma 8 2 5" xfId="314"/>
    <cellStyle name="Comma 8 2 5 2" xfId="315"/>
    <cellStyle name="Comma 8 2 5 3" xfId="316"/>
    <cellStyle name="Comma 8 2 5 4" xfId="317"/>
    <cellStyle name="Comma 8 2 6" xfId="318"/>
    <cellStyle name="Comma 8 2 6 2" xfId="319"/>
    <cellStyle name="Comma 8 2 6 2 2" xfId="320"/>
    <cellStyle name="Comma 8 2 6 2 3" xfId="321"/>
    <cellStyle name="Comma 8 2 6 2 3 2" xfId="322"/>
    <cellStyle name="Comma 8 2 6 3" xfId="323"/>
    <cellStyle name="Comma 8 2 7" xfId="324"/>
    <cellStyle name="Comma 8 2 7 2" xfId="325"/>
    <cellStyle name="Comma 8 2 7 3" xfId="326"/>
    <cellStyle name="Comma 8 2 7 3 2" xfId="327"/>
    <cellStyle name="Comma 8 2 8" xfId="328"/>
    <cellStyle name="Comma 8 2 9" xfId="329"/>
    <cellStyle name="Comma 8 2 9 2" xfId="330"/>
    <cellStyle name="Comma 8 3" xfId="331"/>
    <cellStyle name="Comma 8 4" xfId="332"/>
    <cellStyle name="Comma 8 5" xfId="333"/>
    <cellStyle name="Comma 8 5 2" xfId="334"/>
    <cellStyle name="Comma 8 6" xfId="335"/>
    <cellStyle name="Comma 8 6 2" xfId="336"/>
    <cellStyle name="Comma 9" xfId="337"/>
    <cellStyle name="Comma 9 2" xfId="338"/>
    <cellStyle name="Comma 9 2 2" xfId="339"/>
    <cellStyle name="Comma 9 2 3" xfId="340"/>
    <cellStyle name="Comma 9 2 3 2" xfId="341"/>
    <cellStyle name="Comma 9 2 3 3" xfId="342"/>
    <cellStyle name="Comma 9 2 3 4" xfId="343"/>
    <cellStyle name="Comma 9 2 4" xfId="344"/>
    <cellStyle name="Comma 9 2 4 2" xfId="345"/>
    <cellStyle name="Comma 9 2 4 2 2" xfId="346"/>
    <cellStyle name="Comma 9 2 4 2 3" xfId="347"/>
    <cellStyle name="Comma 9 2 4 2 3 2" xfId="348"/>
    <cellStyle name="Comma 9 2 4 3" xfId="349"/>
    <cellStyle name="Comma 9 2 5" xfId="350"/>
    <cellStyle name="Comma 9 2 5 2" xfId="351"/>
    <cellStyle name="Comma 9 2 5 3" xfId="352"/>
    <cellStyle name="Comma 9 2 5 3 2" xfId="353"/>
    <cellStyle name="Comma 9 2 6" xfId="354"/>
    <cellStyle name="Comma 9 2 7" xfId="355"/>
    <cellStyle name="Comma 9 2 7 2" xfId="356"/>
    <cellStyle name="Comma 9 3" xfId="357"/>
    <cellStyle name="Comma 9 4" xfId="358"/>
    <cellStyle name="Comma 9 5" xfId="359"/>
    <cellStyle name="Comma 9 6" xfId="360"/>
    <cellStyle name="Comma 9 6 10" xfId="361"/>
    <cellStyle name="Comma 9 6 11" xfId="362"/>
    <cellStyle name="Comma 9 6 11 2" xfId="363"/>
    <cellStyle name="Comma 9 6 11 2 2" xfId="364"/>
    <cellStyle name="Comma 9 6 11 2 3" xfId="365"/>
    <cellStyle name="Comma 9 6 11 2 3 2" xfId="366"/>
    <cellStyle name="Comma 9 6 2" xfId="367"/>
    <cellStyle name="Comma 9 6 3" xfId="368"/>
    <cellStyle name="Comma 9 6 4" xfId="369"/>
    <cellStyle name="Comma 9 6 5" xfId="370"/>
    <cellStyle name="Comma 9 6 5 2" xfId="371"/>
    <cellStyle name="Comma 9 6 5 2 2" xfId="372"/>
    <cellStyle name="Comma 9 6 5 2 3" xfId="373"/>
    <cellStyle name="Comma 9 6 6" xfId="374"/>
    <cellStyle name="Comma 9 6 7" xfId="375"/>
    <cellStyle name="Comma 9 6 8" xfId="376"/>
    <cellStyle name="Comma 9 6 9" xfId="377"/>
    <cellStyle name="Comma 9 6 9 2" xfId="378"/>
    <cellStyle name="Comma 9 6 9 2 2" xfId="379"/>
    <cellStyle name="Comma 9 6 9 2 3" xfId="380"/>
    <cellStyle name="Comma 9 6 9 2 3 2" xfId="381"/>
    <cellStyle name="Currency" xfId="54" builtinId="4"/>
    <cellStyle name="Currency 2" xfId="3"/>
    <cellStyle name="Currency 3" xfId="382"/>
    <cellStyle name="Currency 4" xfId="383"/>
    <cellStyle name="Currency 4 2" xfId="384"/>
    <cellStyle name="Currency 4 3" xfId="385"/>
    <cellStyle name="Currency 4 3 2" xfId="386"/>
    <cellStyle name="Currency 5" xfId="387"/>
    <cellStyle name="Currency 5 2" xfId="388"/>
    <cellStyle name="Currency 5 3" xfId="389"/>
    <cellStyle name="Currency 5 3 2" xfId="390"/>
    <cellStyle name="Currency 6" xfId="391"/>
    <cellStyle name="Currency 7" xfId="392"/>
    <cellStyle name="Currency 7 2" xfId="393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0" xfId="394"/>
    <cellStyle name="Normal 11" xfId="395"/>
    <cellStyle name="Normal 12" xfId="396"/>
    <cellStyle name="Normal 13" xfId="397"/>
    <cellStyle name="Normal 14" xfId="398"/>
    <cellStyle name="Normal 2" xfId="2"/>
    <cellStyle name="Normal 2 2" xfId="57"/>
    <cellStyle name="Normal 2 2 2" xfId="399"/>
    <cellStyle name="Normal 2 2 3" xfId="400"/>
    <cellStyle name="Normal 2 2 4" xfId="401"/>
    <cellStyle name="Normal 2 2 4 2" xfId="402"/>
    <cellStyle name="Normal 2 2 4 2 2" xfId="403"/>
    <cellStyle name="Normal 2 2 4 3" xfId="404"/>
    <cellStyle name="Normal 2 2 4 4" xfId="405"/>
    <cellStyle name="Normal 2 2 4 5" xfId="406"/>
    <cellStyle name="Normal 2 2 4 5 2" xfId="407"/>
    <cellStyle name="Normal 2 2 5" xfId="408"/>
    <cellStyle name="Normal 2 2 6" xfId="409"/>
    <cellStyle name="Normal 2 3" xfId="410"/>
    <cellStyle name="Normal 2 4" xfId="411"/>
    <cellStyle name="Normal 3" xfId="11"/>
    <cellStyle name="Normal 3 2" xfId="56"/>
    <cellStyle name="Normal 3 2 2" xfId="412"/>
    <cellStyle name="Normal 3 3" xfId="413"/>
    <cellStyle name="Normal 3 3 2" xfId="414"/>
    <cellStyle name="Normal 3 4" xfId="415"/>
    <cellStyle name="Normal 4" xfId="416"/>
    <cellStyle name="Normal 4 2" xfId="417"/>
    <cellStyle name="Normal 4 3" xfId="418"/>
    <cellStyle name="Normal 4 3 2" xfId="419"/>
    <cellStyle name="Normal 4 3 3" xfId="420"/>
    <cellStyle name="Normal 5" xfId="421"/>
    <cellStyle name="Normal 5 2" xfId="422"/>
    <cellStyle name="Normal 5 2 2" xfId="423"/>
    <cellStyle name="Normal 5 2 3" xfId="424"/>
    <cellStyle name="Normal 5 2 3 2" xfId="425"/>
    <cellStyle name="Normal 5 3" xfId="426"/>
    <cellStyle name="Normal 5 4" xfId="427"/>
    <cellStyle name="Normal 6" xfId="428"/>
    <cellStyle name="Normal 6 2" xfId="429"/>
    <cellStyle name="Normal 7" xfId="430"/>
    <cellStyle name="Normal 7 2" xfId="431"/>
    <cellStyle name="Normal 7 3" xfId="432"/>
    <cellStyle name="Normal 7 3 2" xfId="433"/>
    <cellStyle name="Normal 8" xfId="434"/>
    <cellStyle name="Normal 9" xfId="435"/>
    <cellStyle name="Normal 9 2" xfId="436"/>
    <cellStyle name="Note 2" xfId="48"/>
    <cellStyle name="Output 2" xfId="49"/>
    <cellStyle name="Percent" xfId="55" builtinId="5"/>
    <cellStyle name="Percent 10" xfId="437"/>
    <cellStyle name="Percent 10 2" xfId="438"/>
    <cellStyle name="Percent 10 3" xfId="439"/>
    <cellStyle name="Percent 10 3 2" xfId="440"/>
    <cellStyle name="Percent 10 3 3" xfId="441"/>
    <cellStyle name="Percent 10 3 3 2" xfId="442"/>
    <cellStyle name="Percent 11" xfId="443"/>
    <cellStyle name="Percent 11 2" xfId="444"/>
    <cellStyle name="Percent 11 3" xfId="445"/>
    <cellStyle name="Percent 11 3 2" xfId="446"/>
    <cellStyle name="Percent 12" xfId="447"/>
    <cellStyle name="Percent 12 2" xfId="448"/>
    <cellStyle name="Percent 12 3" xfId="449"/>
    <cellStyle name="Percent 12 3 2" xfId="450"/>
    <cellStyle name="Percent 13" xfId="451"/>
    <cellStyle name="Percent 13 2" xfId="452"/>
    <cellStyle name="Percent 13 3" xfId="453"/>
    <cellStyle name="Percent 13 3 2" xfId="454"/>
    <cellStyle name="Percent 14" xfId="455"/>
    <cellStyle name="Percent 14 2" xfId="456"/>
    <cellStyle name="Percent 14 3" xfId="457"/>
    <cellStyle name="Percent 14 3 2" xfId="458"/>
    <cellStyle name="Percent 15" xfId="459"/>
    <cellStyle name="Percent 15 2" xfId="460"/>
    <cellStyle name="Percent 15 3" xfId="461"/>
    <cellStyle name="Percent 15 3 2" xfId="462"/>
    <cellStyle name="Percent 16" xfId="463"/>
    <cellStyle name="Percent 16 2" xfId="464"/>
    <cellStyle name="Percent 16 3" xfId="465"/>
    <cellStyle name="Percent 16 3 2" xfId="466"/>
    <cellStyle name="Percent 17" xfId="467"/>
    <cellStyle name="Percent 17 2" xfId="468"/>
    <cellStyle name="Percent 17 3" xfId="469"/>
    <cellStyle name="Percent 17 3 2" xfId="470"/>
    <cellStyle name="Percent 18" xfId="471"/>
    <cellStyle name="Percent 18 2" xfId="472"/>
    <cellStyle name="Percent 18 3" xfId="473"/>
    <cellStyle name="Percent 18 3 2" xfId="474"/>
    <cellStyle name="Percent 19" xfId="475"/>
    <cellStyle name="Percent 19 2" xfId="476"/>
    <cellStyle name="Percent 19 3" xfId="477"/>
    <cellStyle name="Percent 19 3 2" xfId="478"/>
    <cellStyle name="Percent 2" xfId="53"/>
    <cellStyle name="Percent 2 2" xfId="479"/>
    <cellStyle name="Percent 2 2 2" xfId="480"/>
    <cellStyle name="Percent 2 2 2 2" xfId="481"/>
    <cellStyle name="Percent 2 2 2 3" xfId="482"/>
    <cellStyle name="Percent 2 2 2 3 2" xfId="483"/>
    <cellStyle name="Percent 2 2 2 3 3" xfId="484"/>
    <cellStyle name="Percent 2 2 2 3 3 2" xfId="485"/>
    <cellStyle name="Percent 2 2 2 3 3 3" xfId="486"/>
    <cellStyle name="Percent 2 2 2 3 3 4" xfId="487"/>
    <cellStyle name="Percent 2 2 2 3 4" xfId="488"/>
    <cellStyle name="Percent 2 2 2 3 4 2" xfId="489"/>
    <cellStyle name="Percent 2 2 2 3 4 2 2" xfId="490"/>
    <cellStyle name="Percent 2 2 2 3 4 2 3" xfId="491"/>
    <cellStyle name="Percent 2 2 2 3 4 2 3 2" xfId="492"/>
    <cellStyle name="Percent 2 2 2 3 4 3" xfId="493"/>
    <cellStyle name="Percent 2 2 2 3 5" xfId="494"/>
    <cellStyle name="Percent 2 2 2 3 5 2" xfId="495"/>
    <cellStyle name="Percent 2 2 2 3 5 3" xfId="496"/>
    <cellStyle name="Percent 2 2 2 3 5 3 2" xfId="497"/>
    <cellStyle name="Percent 2 2 2 3 6" xfId="498"/>
    <cellStyle name="Percent 2 2 2 3 7" xfId="499"/>
    <cellStyle name="Percent 2 2 2 3 7 2" xfId="500"/>
    <cellStyle name="Percent 2 2 2 4" xfId="501"/>
    <cellStyle name="Percent 2 2 2 4 2" xfId="502"/>
    <cellStyle name="Percent 2 2 2 4 2 2" xfId="503"/>
    <cellStyle name="Percent 2 2 2 4 2 3" xfId="504"/>
    <cellStyle name="Percent 2 2 2 4 2 3 2" xfId="505"/>
    <cellStyle name="Percent 2 2 2 4 3" xfId="506"/>
    <cellStyle name="Percent 2 2 2 5" xfId="507"/>
    <cellStyle name="Percent 2 2 2 5 2" xfId="508"/>
    <cellStyle name="Percent 2 2 2 5 3" xfId="509"/>
    <cellStyle name="Percent 2 2 2 5 3 2" xfId="510"/>
    <cellStyle name="Percent 2 2 2 6" xfId="511"/>
    <cellStyle name="Percent 2 2 2 6 2" xfId="512"/>
    <cellStyle name="Percent 2 2 3" xfId="513"/>
    <cellStyle name="Percent 2 2 3 2" xfId="514"/>
    <cellStyle name="Percent 2 2 3 3" xfId="515"/>
    <cellStyle name="Percent 2 2 3 4" xfId="516"/>
    <cellStyle name="Percent 2 3" xfId="517"/>
    <cellStyle name="Percent 2 4" xfId="518"/>
    <cellStyle name="Percent 2 4 10" xfId="519"/>
    <cellStyle name="Percent 2 4 11" xfId="520"/>
    <cellStyle name="Percent 2 4 11 2" xfId="521"/>
    <cellStyle name="Percent 2 4 11 2 2" xfId="522"/>
    <cellStyle name="Percent 2 4 11 2 3" xfId="523"/>
    <cellStyle name="Percent 2 4 11 2 3 2" xfId="524"/>
    <cellStyle name="Percent 2 4 2" xfId="525"/>
    <cellStyle name="Percent 2 4 3" xfId="526"/>
    <cellStyle name="Percent 2 4 4" xfId="527"/>
    <cellStyle name="Percent 2 4 5" xfId="528"/>
    <cellStyle name="Percent 2 4 5 2" xfId="529"/>
    <cellStyle name="Percent 2 4 5 2 2" xfId="530"/>
    <cellStyle name="Percent 2 4 5 2 3" xfId="531"/>
    <cellStyle name="Percent 2 4 6" xfId="532"/>
    <cellStyle name="Percent 2 4 7" xfId="533"/>
    <cellStyle name="Percent 2 4 8" xfId="534"/>
    <cellStyle name="Percent 2 4 9" xfId="535"/>
    <cellStyle name="Percent 2 4 9 2" xfId="536"/>
    <cellStyle name="Percent 2 4 9 2 2" xfId="537"/>
    <cellStyle name="Percent 2 4 9 2 3" xfId="538"/>
    <cellStyle name="Percent 2 4 9 2 3 2" xfId="539"/>
    <cellStyle name="Percent 2 5" xfId="540"/>
    <cellStyle name="Percent 20" xfId="541"/>
    <cellStyle name="Percent 20 2" xfId="542"/>
    <cellStyle name="Percent 20 3" xfId="543"/>
    <cellStyle name="Percent 20 3 2" xfId="544"/>
    <cellStyle name="Percent 21" xfId="545"/>
    <cellStyle name="Percent 21 2" xfId="546"/>
    <cellStyle name="Percent 21 3" xfId="547"/>
    <cellStyle name="Percent 21 3 2" xfId="548"/>
    <cellStyle name="Percent 22" xfId="549"/>
    <cellStyle name="Percent 22 2" xfId="550"/>
    <cellStyle name="Percent 23" xfId="551"/>
    <cellStyle name="Percent 23 2" xfId="552"/>
    <cellStyle name="Percent 24" xfId="553"/>
    <cellStyle name="Percent 25" xfId="554"/>
    <cellStyle name="Percent 25 2" xfId="555"/>
    <cellStyle name="Percent 25 3" xfId="556"/>
    <cellStyle name="Percent 25 3 2" xfId="557"/>
    <cellStyle name="Percent 26" xfId="558"/>
    <cellStyle name="Percent 27" xfId="559"/>
    <cellStyle name="Percent 27 2" xfId="560"/>
    <cellStyle name="Percent 3" xfId="561"/>
    <cellStyle name="Percent 3 2" xfId="562"/>
    <cellStyle name="Percent 3 2 2" xfId="563"/>
    <cellStyle name="Percent 3 2 3" xfId="564"/>
    <cellStyle name="Percent 3 2 3 2" xfId="565"/>
    <cellStyle name="Percent 3 2 3 3" xfId="566"/>
    <cellStyle name="Percent 3 2 3 4" xfId="567"/>
    <cellStyle name="Percent 3 2 4" xfId="568"/>
    <cellStyle name="Percent 3 2 4 2" xfId="569"/>
    <cellStyle name="Percent 3 2 4 2 2" xfId="570"/>
    <cellStyle name="Percent 3 2 4 2 3" xfId="571"/>
    <cellStyle name="Percent 3 2 4 2 3 2" xfId="572"/>
    <cellStyle name="Percent 3 2 4 3" xfId="573"/>
    <cellStyle name="Percent 3 2 5" xfId="574"/>
    <cellStyle name="Percent 3 2 5 2" xfId="575"/>
    <cellStyle name="Percent 3 2 5 3" xfId="576"/>
    <cellStyle name="Percent 3 2 5 3 2" xfId="577"/>
    <cellStyle name="Percent 3 2 6" xfId="578"/>
    <cellStyle name="Percent 3 2 7" xfId="579"/>
    <cellStyle name="Percent 3 2 7 2" xfId="580"/>
    <cellStyle name="Percent 3 3" xfId="581"/>
    <cellStyle name="Percent 3 4" xfId="582"/>
    <cellStyle name="Percent 3 5" xfId="583"/>
    <cellStyle name="Percent 3 5 2" xfId="584"/>
    <cellStyle name="Percent 3 5 3" xfId="585"/>
    <cellStyle name="Percent 3 5 4" xfId="586"/>
    <cellStyle name="Percent 4" xfId="587"/>
    <cellStyle name="Percent 4 2" xfId="588"/>
    <cellStyle name="Percent 4 3" xfId="589"/>
    <cellStyle name="Percent 4 3 2" xfId="590"/>
    <cellStyle name="Percent 4 3 3" xfId="591"/>
    <cellStyle name="Percent 4 3 4" xfId="592"/>
    <cellStyle name="Percent 4 4" xfId="593"/>
    <cellStyle name="Percent 4 4 2" xfId="594"/>
    <cellStyle name="Percent 4 4 2 2" xfId="595"/>
    <cellStyle name="Percent 4 4 2 3" xfId="596"/>
    <cellStyle name="Percent 4 4 2 3 2" xfId="597"/>
    <cellStyle name="Percent 4 4 3" xfId="598"/>
    <cellStyle name="Percent 4 5" xfId="599"/>
    <cellStyle name="Percent 4 5 2" xfId="600"/>
    <cellStyle name="Percent 4 5 3" xfId="601"/>
    <cellStyle name="Percent 4 5 3 2" xfId="602"/>
    <cellStyle name="Percent 4 6" xfId="603"/>
    <cellStyle name="Percent 4 7" xfId="604"/>
    <cellStyle name="Percent 4 7 2" xfId="605"/>
    <cellStyle name="Percent 5" xfId="606"/>
    <cellStyle name="Percent 5 2" xfId="607"/>
    <cellStyle name="Percent 5 3" xfId="608"/>
    <cellStyle name="Percent 5 3 2" xfId="609"/>
    <cellStyle name="Percent 5 3 3" xfId="610"/>
    <cellStyle name="Percent 5 4" xfId="611"/>
    <cellStyle name="Percent 5 4 2" xfId="612"/>
    <cellStyle name="Percent 5 4 3" xfId="613"/>
    <cellStyle name="Percent 5 4 4" xfId="614"/>
    <cellStyle name="Percent 5 5" xfId="615"/>
    <cellStyle name="Percent 5 5 2" xfId="616"/>
    <cellStyle name="Percent 5 5 2 2" xfId="617"/>
    <cellStyle name="Percent 5 5 2 3" xfId="618"/>
    <cellStyle name="Percent 5 5 2 3 2" xfId="619"/>
    <cellStyle name="Percent 5 5 3" xfId="620"/>
    <cellStyle name="Percent 5 6" xfId="621"/>
    <cellStyle name="Percent 5 6 2" xfId="622"/>
    <cellStyle name="Percent 5 6 3" xfId="623"/>
    <cellStyle name="Percent 5 6 3 2" xfId="624"/>
    <cellStyle name="Percent 5 7" xfId="625"/>
    <cellStyle name="Percent 5 8" xfId="626"/>
    <cellStyle name="Percent 5 8 2" xfId="627"/>
    <cellStyle name="Percent 5 9" xfId="628"/>
    <cellStyle name="Percent 5 9 2" xfId="629"/>
    <cellStyle name="Percent 5 9 3" xfId="630"/>
    <cellStyle name="Percent 5 9 3 2" xfId="631"/>
    <cellStyle name="Percent 6" xfId="632"/>
    <cellStyle name="Percent 6 10" xfId="633"/>
    <cellStyle name="Percent 6 11" xfId="634"/>
    <cellStyle name="Percent 6 11 2" xfId="635"/>
    <cellStyle name="Percent 6 11 2 2" xfId="636"/>
    <cellStyle name="Percent 6 11 2 3" xfId="637"/>
    <cellStyle name="Percent 6 11 2 3 2" xfId="638"/>
    <cellStyle name="Percent 6 12" xfId="639"/>
    <cellStyle name="Percent 6 13" xfId="640"/>
    <cellStyle name="Percent 6 13 2" xfId="641"/>
    <cellStyle name="Percent 6 13 2 2" xfId="642"/>
    <cellStyle name="Percent 6 13 2 3" xfId="643"/>
    <cellStyle name="Percent 6 13 2 3 2" xfId="644"/>
    <cellStyle name="Percent 6 14" xfId="645"/>
    <cellStyle name="Percent 6 14 2" xfId="646"/>
    <cellStyle name="Percent 6 15" xfId="647"/>
    <cellStyle name="Percent 6 16" xfId="648"/>
    <cellStyle name="Percent 6 16 2" xfId="649"/>
    <cellStyle name="Percent 6 2" xfId="650"/>
    <cellStyle name="Percent 6 3" xfId="651"/>
    <cellStyle name="Percent 6 4" xfId="652"/>
    <cellStyle name="Percent 6 5" xfId="653"/>
    <cellStyle name="Percent 6 6" xfId="654"/>
    <cellStyle name="Percent 6 7" xfId="655"/>
    <cellStyle name="Percent 6 7 2" xfId="656"/>
    <cellStyle name="Percent 6 7 2 2" xfId="657"/>
    <cellStyle name="Percent 6 7 2 3" xfId="658"/>
    <cellStyle name="Percent 6 8" xfId="659"/>
    <cellStyle name="Percent 6 9" xfId="660"/>
    <cellStyle name="Percent 7" xfId="661"/>
    <cellStyle name="Percent 7 10" xfId="662"/>
    <cellStyle name="Percent 7 11" xfId="663"/>
    <cellStyle name="Percent 7 11 2" xfId="664"/>
    <cellStyle name="Percent 7 11 2 2" xfId="665"/>
    <cellStyle name="Percent 7 11 2 3" xfId="666"/>
    <cellStyle name="Percent 7 11 2 3 2" xfId="667"/>
    <cellStyle name="Percent 7 12" xfId="668"/>
    <cellStyle name="Percent 7 12 2" xfId="669"/>
    <cellStyle name="Percent 7 13" xfId="670"/>
    <cellStyle name="Percent 7 14" xfId="671"/>
    <cellStyle name="Percent 7 14 2" xfId="672"/>
    <cellStyle name="Percent 7 2" xfId="673"/>
    <cellStyle name="Percent 7 3" xfId="674"/>
    <cellStyle name="Percent 7 4" xfId="675"/>
    <cellStyle name="Percent 7 5" xfId="676"/>
    <cellStyle name="Percent 7 5 2" xfId="677"/>
    <cellStyle name="Percent 7 5 2 2" xfId="678"/>
    <cellStyle name="Percent 7 5 2 3" xfId="679"/>
    <cellStyle name="Percent 7 5 2 4" xfId="680"/>
    <cellStyle name="Percent 7 6" xfId="681"/>
    <cellStyle name="Percent 7 7" xfId="682"/>
    <cellStyle name="Percent 7 8" xfId="683"/>
    <cellStyle name="Percent 7 9" xfId="684"/>
    <cellStyle name="Percent 7 9 2" xfId="685"/>
    <cellStyle name="Percent 7 9 2 2" xfId="686"/>
    <cellStyle name="Percent 7 9 2 3" xfId="687"/>
    <cellStyle name="Percent 7 9 2 3 2" xfId="688"/>
    <cellStyle name="Percent 8" xfId="689"/>
    <cellStyle name="Percent 8 2" xfId="690"/>
    <cellStyle name="Percent 8 3" xfId="691"/>
    <cellStyle name="Percent 8 4" xfId="692"/>
    <cellStyle name="Percent 8 5" xfId="693"/>
    <cellStyle name="Percent 9" xfId="694"/>
    <cellStyle name="Percent 9 2" xfId="695"/>
    <cellStyle name="Percent 9 3" xfId="696"/>
    <cellStyle name="Percent 9 4" xfId="697"/>
    <cellStyle name="Percent 9 5" xfId="698"/>
    <cellStyle name="PSChar" xfId="5"/>
    <cellStyle name="PSChar 2" xfId="699"/>
    <cellStyle name="PSChar 2 2" xfId="700"/>
    <cellStyle name="PSChar 2 2 2" xfId="701"/>
    <cellStyle name="PSChar 3" xfId="702"/>
    <cellStyle name="PSChar 3 2" xfId="703"/>
    <cellStyle name="PSChar 4" xfId="704"/>
    <cellStyle name="PSChar 4 2" xfId="705"/>
    <cellStyle name="PSChar 5" xfId="706"/>
    <cellStyle name="PSChar 5 2" xfId="707"/>
    <cellStyle name="PSChar 5 3" xfId="708"/>
    <cellStyle name="PSChar 5 3 2" xfId="709"/>
    <cellStyle name="PSChar 6" xfId="710"/>
    <cellStyle name="PSChar 6 2" xfId="711"/>
    <cellStyle name="PSChar 7" xfId="712"/>
    <cellStyle name="PSChar 8" xfId="713"/>
    <cellStyle name="PSChar 9" xfId="714"/>
    <cellStyle name="PSDate" xfId="6"/>
    <cellStyle name="PSDate 2" xfId="715"/>
    <cellStyle name="PSDate 2 2" xfId="716"/>
    <cellStyle name="PSDate 2 2 2" xfId="717"/>
    <cellStyle name="PSDate 3" xfId="718"/>
    <cellStyle name="PSDate 3 2" xfId="719"/>
    <cellStyle name="PSDate 4" xfId="720"/>
    <cellStyle name="PSDate 4 2" xfId="721"/>
    <cellStyle name="PSDate 5" xfId="722"/>
    <cellStyle name="PSDate 5 2" xfId="723"/>
    <cellStyle name="PSDate 5 3" xfId="724"/>
    <cellStyle name="PSDate 5 3 2" xfId="725"/>
    <cellStyle name="PSDate 6" xfId="726"/>
    <cellStyle name="PSDate 6 2" xfId="727"/>
    <cellStyle name="PSDate 7" xfId="728"/>
    <cellStyle name="PSDate 8" xfId="729"/>
    <cellStyle name="PSDec" xfId="7"/>
    <cellStyle name="PSDec 2" xfId="730"/>
    <cellStyle name="PSDec 2 2" xfId="731"/>
    <cellStyle name="PSDec 2 2 2" xfId="732"/>
    <cellStyle name="PSDec 3" xfId="733"/>
    <cellStyle name="PSDec 3 2" xfId="734"/>
    <cellStyle name="PSDec 4" xfId="735"/>
    <cellStyle name="PSDec 4 2" xfId="736"/>
    <cellStyle name="PSDec 5" xfId="737"/>
    <cellStyle name="PSDec 5 2" xfId="738"/>
    <cellStyle name="PSDec 5 3" xfId="739"/>
    <cellStyle name="PSDec 5 3 2" xfId="740"/>
    <cellStyle name="PSDec 6" xfId="741"/>
    <cellStyle name="PSDec 6 2" xfId="742"/>
    <cellStyle name="PSDec 7" xfId="743"/>
    <cellStyle name="PSDec 8" xfId="744"/>
    <cellStyle name="PSDec 9" xfId="745"/>
    <cellStyle name="PSHeading" xfId="8"/>
    <cellStyle name="PSHeading 2" xfId="746"/>
    <cellStyle name="PSHeading 2 2" xfId="747"/>
    <cellStyle name="PSHeading 2 2 2" xfId="748"/>
    <cellStyle name="PSHeading 2 2 3" xfId="749"/>
    <cellStyle name="PSHeading 3" xfId="750"/>
    <cellStyle name="PSHeading 3 2" xfId="751"/>
    <cellStyle name="PSHeading 3 3" xfId="752"/>
    <cellStyle name="PSHeading 3 3 2" xfId="753"/>
    <cellStyle name="PSHeading 4" xfId="754"/>
    <cellStyle name="PSHeading 5" xfId="755"/>
    <cellStyle name="PSInt" xfId="9"/>
    <cellStyle name="PSInt 2" xfId="756"/>
    <cellStyle name="PSInt 2 2" xfId="757"/>
    <cellStyle name="PSInt 2 2 2" xfId="758"/>
    <cellStyle name="PSInt 3" xfId="759"/>
    <cellStyle name="PSInt 3 2" xfId="760"/>
    <cellStyle name="PSInt 4" xfId="761"/>
    <cellStyle name="PSInt 4 2" xfId="762"/>
    <cellStyle name="PSInt 5" xfId="763"/>
    <cellStyle name="PSInt 5 2" xfId="764"/>
    <cellStyle name="PSInt 5 3" xfId="765"/>
    <cellStyle name="PSInt 5 3 2" xfId="766"/>
    <cellStyle name="PSInt 6" xfId="767"/>
    <cellStyle name="PSInt 6 2" xfId="768"/>
    <cellStyle name="PSInt 7" xfId="769"/>
    <cellStyle name="PSInt 8" xfId="770"/>
    <cellStyle name="PSInt 9" xfId="771"/>
    <cellStyle name="PSSpacer" xfId="10"/>
    <cellStyle name="PSSpacer 2" xfId="772"/>
    <cellStyle name="PSSpacer 2 2" xfId="773"/>
    <cellStyle name="PSSpacer 3" xfId="774"/>
    <cellStyle name="PSSpacer 3 2" xfId="775"/>
    <cellStyle name="PSSpacer 4" xfId="776"/>
    <cellStyle name="PSSpacer 4 2" xfId="777"/>
    <cellStyle name="PSSpacer 5" xfId="778"/>
    <cellStyle name="PSSpacer 5 2" xfId="779"/>
    <cellStyle name="PSSpacer 5 3" xfId="780"/>
    <cellStyle name="PSSpacer 5 3 2" xfId="781"/>
    <cellStyle name="PSSpacer 6" xfId="782"/>
    <cellStyle name="PSSpacer 6 2" xfId="783"/>
    <cellStyle name="PSSpacer 7" xfId="784"/>
    <cellStyle name="PSSpacer 8" xfId="785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111123</xdr:colOff>
      <xdr:row>45</xdr:row>
      <xdr:rowOff>142876</xdr:rowOff>
    </xdr:from>
    <xdr:to>
      <xdr:col>15</xdr:col>
      <xdr:colOff>507998</xdr:colOff>
      <xdr:row>56</xdr:row>
      <xdr:rowOff>23818</xdr:rowOff>
    </xdr:to>
    <xdr:sp macro="" textlink="">
      <xdr:nvSpPr>
        <xdr:cNvPr id="2" name="TextBox 1"/>
        <xdr:cNvSpPr txBox="1"/>
      </xdr:nvSpPr>
      <xdr:spPr>
        <a:xfrm rot="5400000">
          <a:off x="13021465" y="9409909"/>
          <a:ext cx="1627192" cy="1000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BS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1 - Form 2.0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F37" sqref="F37"/>
    </sheetView>
  </sheetViews>
  <sheetFormatPr defaultRowHeight="14.4" x14ac:dyDescent="0.3"/>
  <cols>
    <col min="1" max="1" width="6.33203125" style="1" customWidth="1"/>
    <col min="2" max="2" width="5" customWidth="1"/>
    <col min="3" max="3" width="15.6640625" customWidth="1"/>
    <col min="4" max="4" width="16.33203125" customWidth="1"/>
    <col min="5" max="5" width="13.109375" customWidth="1"/>
    <col min="6" max="6" width="20" customWidth="1"/>
    <col min="7" max="7" width="12" style="3" customWidth="1"/>
    <col min="8" max="8" width="6.6640625" customWidth="1"/>
  </cols>
  <sheetData>
    <row r="1" spans="1:7" x14ac:dyDescent="0.3">
      <c r="G1" s="14" t="s">
        <v>22</v>
      </c>
    </row>
    <row r="5" spans="1:7" x14ac:dyDescent="0.3">
      <c r="A5" s="229" t="s">
        <v>0</v>
      </c>
      <c r="B5" s="229"/>
      <c r="C5" s="229"/>
      <c r="D5" s="229"/>
      <c r="E5" s="229"/>
      <c r="F5" s="229"/>
      <c r="G5" s="229"/>
    </row>
    <row r="6" spans="1:7" x14ac:dyDescent="0.3">
      <c r="A6" s="227" t="s">
        <v>153</v>
      </c>
      <c r="B6" s="227"/>
      <c r="C6" s="227"/>
      <c r="D6" s="227"/>
      <c r="E6" s="227"/>
      <c r="F6" s="227"/>
      <c r="G6" s="227"/>
    </row>
    <row r="7" spans="1:7" ht="15" x14ac:dyDescent="0.25">
      <c r="A7" s="227" t="str">
        <f>'Input Sheet'!A2</f>
        <v>Twelve-Month Period ended June 30, 2016</v>
      </c>
      <c r="B7" s="227"/>
      <c r="C7" s="227"/>
      <c r="D7" s="227"/>
      <c r="E7" s="227"/>
      <c r="F7" s="227"/>
      <c r="G7" s="227"/>
    </row>
    <row r="9" spans="1:7" ht="15" x14ac:dyDescent="0.25">
      <c r="G9" s="111"/>
    </row>
    <row r="10" spans="1:7" s="71" customFormat="1" ht="15" x14ac:dyDescent="0.25">
      <c r="A10" s="1">
        <v>1</v>
      </c>
      <c r="B10" s="228" t="s">
        <v>147</v>
      </c>
      <c r="C10" s="228"/>
      <c r="D10" s="228"/>
      <c r="E10" s="228"/>
      <c r="F10" s="228"/>
      <c r="G10" s="112">
        <f>'BS1 Form 4.0'!D25</f>
        <v>22239504.52799388</v>
      </c>
    </row>
    <row r="11" spans="1:7" s="71" customFormat="1" ht="15" x14ac:dyDescent="0.25">
      <c r="A11" s="1"/>
      <c r="B11" s="70"/>
      <c r="C11" s="70"/>
      <c r="D11" s="70"/>
      <c r="E11" s="72"/>
      <c r="F11" s="70"/>
      <c r="G11" s="112"/>
    </row>
    <row r="12" spans="1:7" ht="15" x14ac:dyDescent="0.25">
      <c r="A12" s="1">
        <v>2</v>
      </c>
      <c r="B12" t="s">
        <v>148</v>
      </c>
      <c r="G12" s="218">
        <f>'BS1 Form 5.0'!F22</f>
        <v>16237515.75</v>
      </c>
    </row>
    <row r="13" spans="1:7" ht="15" x14ac:dyDescent="0.25">
      <c r="G13" s="111"/>
    </row>
    <row r="14" spans="1:7" ht="15" x14ac:dyDescent="0.25">
      <c r="A14" s="1">
        <v>3</v>
      </c>
      <c r="B14" t="s">
        <v>101</v>
      </c>
      <c r="G14" s="111">
        <f>G10-G12</f>
        <v>6001988.7779938802</v>
      </c>
    </row>
    <row r="15" spans="1:7" ht="15" x14ac:dyDescent="0.25">
      <c r="G15" s="111"/>
    </row>
    <row r="17" spans="1:7" ht="15" x14ac:dyDescent="0.25">
      <c r="A17" s="1">
        <v>4</v>
      </c>
      <c r="B17" t="s">
        <v>91</v>
      </c>
      <c r="G17" s="3">
        <f>'BS1 Form 3.0'!D27</f>
        <v>21332535.706780057</v>
      </c>
    </row>
    <row r="19" spans="1:7" x14ac:dyDescent="0.3">
      <c r="A19" s="1">
        <v>5</v>
      </c>
      <c r="B19" t="s">
        <v>27</v>
      </c>
      <c r="G19" s="4">
        <f>G14</f>
        <v>6001988.7779938802</v>
      </c>
    </row>
    <row r="21" spans="1:7" x14ac:dyDescent="0.3">
      <c r="A21" s="1">
        <v>6</v>
      </c>
      <c r="B21" t="s">
        <v>92</v>
      </c>
      <c r="G21" s="3">
        <f>G17+G19</f>
        <v>27334524.484773938</v>
      </c>
    </row>
    <row r="23" spans="1:7" x14ac:dyDescent="0.3">
      <c r="B23" s="18" t="s">
        <v>29</v>
      </c>
      <c r="C23" t="s">
        <v>18</v>
      </c>
      <c r="D23" s="68">
        <f>'BS1 Form 2.0'!G10</f>
        <v>25502788.561342474</v>
      </c>
      <c r="E23" s="68"/>
      <c r="F23" s="17"/>
    </row>
    <row r="24" spans="1:7" x14ac:dyDescent="0.3">
      <c r="B24" s="18" t="s">
        <v>30</v>
      </c>
      <c r="C24" t="s">
        <v>20</v>
      </c>
      <c r="D24" s="69">
        <f>'BS1 Form 2.0'!H10</f>
        <v>1831735.9234314612</v>
      </c>
      <c r="E24" s="68"/>
      <c r="F24" s="17"/>
    </row>
    <row r="25" spans="1:7" x14ac:dyDescent="0.3">
      <c r="D25" s="67">
        <f>SUM(D23:D24)</f>
        <v>27334524.484773934</v>
      </c>
      <c r="E25" s="67"/>
    </row>
    <row r="27" spans="1:7" x14ac:dyDescent="0.3">
      <c r="G27" s="75" t="s">
        <v>42</v>
      </c>
    </row>
    <row r="28" spans="1:7" x14ac:dyDescent="0.3">
      <c r="D28" s="75" t="s">
        <v>45</v>
      </c>
      <c r="F28" s="75" t="s">
        <v>90</v>
      </c>
      <c r="G28" s="75" t="s">
        <v>49</v>
      </c>
    </row>
    <row r="29" spans="1:7" x14ac:dyDescent="0.3">
      <c r="D29" s="74" t="s">
        <v>59</v>
      </c>
      <c r="F29" s="76">
        <f>'BS1 Form 2.0'!K21</f>
        <v>6.1900000000000002E-3</v>
      </c>
      <c r="G29" s="82">
        <f>'BS1 Form 2.0'!I21</f>
        <v>0</v>
      </c>
    </row>
    <row r="30" spans="1:7" x14ac:dyDescent="0.3">
      <c r="D30" s="74" t="s">
        <v>60</v>
      </c>
      <c r="F30" s="76">
        <f>'BS1 Form 2.0'!K22</f>
        <v>4.3899999999999998E-3</v>
      </c>
      <c r="G30" s="82">
        <f>'BS1 Form 2.0'!I22</f>
        <v>0</v>
      </c>
    </row>
    <row r="31" spans="1:7" x14ac:dyDescent="0.3">
      <c r="D31" s="74" t="s">
        <v>61</v>
      </c>
      <c r="F31" s="76">
        <f>'BS1 Form 2.0'!K23</f>
        <v>3.1E-4</v>
      </c>
      <c r="G31" s="82">
        <f>'BS1 Form 2.0'!I23</f>
        <v>0.96</v>
      </c>
    </row>
    <row r="32" spans="1:7" ht="16.2" x14ac:dyDescent="0.3">
      <c r="D32" s="74" t="s">
        <v>89</v>
      </c>
      <c r="F32" s="76">
        <f>'BS1 Form 2.0'!K24</f>
        <v>4.7200000000000002E-3</v>
      </c>
      <c r="G32" s="82">
        <f>'BS1 Form 2.0'!I24</f>
        <v>0</v>
      </c>
    </row>
    <row r="33" spans="4:7" x14ac:dyDescent="0.3">
      <c r="D33" s="74" t="s">
        <v>62</v>
      </c>
      <c r="F33" s="76">
        <f>'BS1 Form 2.0'!K25</f>
        <v>3.1E-4</v>
      </c>
      <c r="G33" s="82">
        <f>'BS1 Form 2.0'!I25</f>
        <v>1.24</v>
      </c>
    </row>
    <row r="34" spans="4:7" x14ac:dyDescent="0.3">
      <c r="D34" s="74" t="s">
        <v>63</v>
      </c>
      <c r="F34" s="76">
        <f>'BS1 Form 2.0'!K26</f>
        <v>4.5300000000000002E-3</v>
      </c>
      <c r="G34" s="82">
        <f>'BS1 Form 2.0'!I26</f>
        <v>0</v>
      </c>
    </row>
    <row r="35" spans="4:7" x14ac:dyDescent="0.3">
      <c r="D35" s="74" t="s">
        <v>64</v>
      </c>
      <c r="F35" s="76">
        <f>'BS1 Form 2.0'!K27</f>
        <v>3.2000000000000003E-4</v>
      </c>
      <c r="G35" s="82">
        <f>'BS1 Form 2.0'!I27</f>
        <v>1.52</v>
      </c>
    </row>
    <row r="36" spans="4:7" x14ac:dyDescent="0.3">
      <c r="D36" s="74" t="s">
        <v>65</v>
      </c>
      <c r="F36" s="76">
        <f>'BS1 Form 2.0'!K28</f>
        <v>3.64E-3</v>
      </c>
      <c r="G36" s="82">
        <f>'BS1 Form 2.0'!I28</f>
        <v>0</v>
      </c>
    </row>
    <row r="37" spans="4:7" x14ac:dyDescent="0.3">
      <c r="D37" s="74" t="s">
        <v>66</v>
      </c>
      <c r="F37" s="76">
        <f>'BS1 Form 2.0'!K29</f>
        <v>5.5000000000000003E-4</v>
      </c>
      <c r="G37" s="82">
        <f>'BS1 Form 2.0'!I29</f>
        <v>0</v>
      </c>
    </row>
    <row r="38" spans="4:7" x14ac:dyDescent="0.3">
      <c r="D38" s="74" t="s">
        <v>67</v>
      </c>
      <c r="F38" s="76">
        <f>'BS1 Form 2.0'!K30</f>
        <v>5.5999999999999995E-4</v>
      </c>
      <c r="G38" s="82">
        <f>'BS1 Form 2.0'!I30</f>
        <v>0</v>
      </c>
    </row>
  </sheetData>
  <mergeCells count="4">
    <mergeCell ref="A6:G6"/>
    <mergeCell ref="A7:G7"/>
    <mergeCell ref="B10:F10"/>
    <mergeCell ref="A5:G5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80" zoomScaleNormal="80" workbookViewId="0">
      <selection activeCell="I27" sqref="I27"/>
    </sheetView>
  </sheetViews>
  <sheetFormatPr defaultColWidth="9.109375" defaultRowHeight="13.8" x14ac:dyDescent="0.3"/>
  <cols>
    <col min="1" max="1" width="2.5546875" style="19" customWidth="1"/>
    <col min="2" max="2" width="30.5546875" style="19" customWidth="1"/>
    <col min="3" max="3" width="20.33203125" style="19" bestFit="1" customWidth="1"/>
    <col min="4" max="4" width="18.44140625" style="19" bestFit="1" customWidth="1"/>
    <col min="5" max="5" width="20" style="19" bestFit="1" customWidth="1"/>
    <col min="6" max="6" width="14.6640625" style="19" bestFit="1" customWidth="1"/>
    <col min="7" max="7" width="16.5546875" style="19" bestFit="1" customWidth="1"/>
    <col min="8" max="8" width="15.109375" style="19" bestFit="1" customWidth="1"/>
    <col min="9" max="9" width="18" style="19" bestFit="1" customWidth="1"/>
    <col min="10" max="10" width="1.6640625" style="19" customWidth="1"/>
    <col min="11" max="11" width="13" style="19" bestFit="1" customWidth="1"/>
    <col min="12" max="12" width="2.5546875" style="19" bestFit="1" customWidth="1"/>
    <col min="13" max="13" width="18" style="19" bestFit="1" customWidth="1"/>
    <col min="14" max="14" width="14.6640625" style="19" customWidth="1"/>
    <col min="15" max="15" width="9.109375" style="19"/>
    <col min="16" max="16" width="9.5546875" style="19" bestFit="1" customWidth="1"/>
    <col min="17" max="16384" width="9.109375" style="19"/>
  </cols>
  <sheetData>
    <row r="1" spans="2:14" ht="18.75" x14ac:dyDescent="0.3"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2:14" ht="18" x14ac:dyDescent="0.35">
      <c r="B2" s="230" t="s">
        <v>32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2:14" ht="20.399999999999999" customHeight="1" x14ac:dyDescent="0.35">
      <c r="B3" s="230" t="str">
        <f>'Input Sheet'!A2</f>
        <v>Twelve-Month Period ended June 30, 2016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2:14" s="20" customFormat="1" ht="15.6" x14ac:dyDescent="0.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14" s="20" customFormat="1" ht="16.5" thickBot="1" x14ac:dyDescent="0.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14" s="22" customFormat="1" ht="18.75" x14ac:dyDescent="0.3">
      <c r="B6" s="23"/>
      <c r="C6" s="23"/>
      <c r="D6" s="23"/>
      <c r="E6" s="24"/>
      <c r="F6" s="25"/>
      <c r="G6" s="26" t="s">
        <v>18</v>
      </c>
      <c r="H6" s="26" t="s">
        <v>20</v>
      </c>
      <c r="I6" s="26" t="s">
        <v>21</v>
      </c>
      <c r="J6" s="27"/>
      <c r="K6" s="23"/>
      <c r="L6" s="23"/>
      <c r="M6" s="23"/>
    </row>
    <row r="7" spans="2:14" s="22" customFormat="1" ht="18.75" x14ac:dyDescent="0.3">
      <c r="B7" s="23"/>
      <c r="C7" s="23"/>
      <c r="D7" s="23"/>
      <c r="E7" s="28" t="s">
        <v>33</v>
      </c>
      <c r="F7" s="29"/>
      <c r="G7" s="30"/>
      <c r="H7" s="30"/>
      <c r="I7" s="30"/>
      <c r="J7" s="31"/>
      <c r="K7" s="23"/>
      <c r="L7" s="23"/>
      <c r="M7" s="23"/>
    </row>
    <row r="8" spans="2:14" s="22" customFormat="1" ht="18.75" x14ac:dyDescent="0.3">
      <c r="B8" s="23"/>
      <c r="C8" s="23"/>
      <c r="D8" s="23"/>
      <c r="E8" s="28" t="s">
        <v>28</v>
      </c>
      <c r="F8" s="29"/>
      <c r="G8" s="100">
        <f>'BS1 Form 3.0'!D28</f>
        <v>19903003.906665534</v>
      </c>
      <c r="H8" s="100">
        <f>'BS1 Form 3.0'!D29</f>
        <v>1429531.8001145229</v>
      </c>
      <c r="I8" s="100">
        <f>G8+H8</f>
        <v>21332535.706780057</v>
      </c>
      <c r="J8" s="31"/>
      <c r="K8" s="23"/>
      <c r="L8" s="23"/>
      <c r="M8" s="23"/>
    </row>
    <row r="9" spans="2:14" s="22" customFormat="1" ht="18.75" x14ac:dyDescent="0.3">
      <c r="B9" s="23"/>
      <c r="C9" s="23"/>
      <c r="D9" s="23"/>
      <c r="E9" s="28" t="s">
        <v>118</v>
      </c>
      <c r="F9" s="29"/>
      <c r="G9" s="101">
        <f>G8*I9/I8</f>
        <v>5599784.6546769412</v>
      </c>
      <c r="H9" s="101">
        <f>H8*I9/I8</f>
        <v>402204.12331693835</v>
      </c>
      <c r="I9" s="101">
        <f>'BS1 Form 1.0'!G14</f>
        <v>6001988.7779938802</v>
      </c>
      <c r="J9" s="31"/>
      <c r="K9" s="23"/>
      <c r="L9" s="23"/>
      <c r="M9" s="23"/>
    </row>
    <row r="10" spans="2:14" s="22" customFormat="1" ht="19.5" thickBot="1" x14ac:dyDescent="0.35">
      <c r="C10" s="23"/>
      <c r="D10" s="23"/>
      <c r="E10" s="32" t="s">
        <v>119</v>
      </c>
      <c r="F10" s="33"/>
      <c r="G10" s="34">
        <f>G8+G9</f>
        <v>25502788.561342474</v>
      </c>
      <c r="H10" s="34">
        <f>H8+H9</f>
        <v>1831735.9234314612</v>
      </c>
      <c r="I10" s="34">
        <f>G10+H10</f>
        <v>27334524.484773934</v>
      </c>
      <c r="J10" s="35"/>
      <c r="K10" s="23"/>
      <c r="L10" s="23"/>
      <c r="M10" s="23"/>
    </row>
    <row r="11" spans="2:14" s="22" customFormat="1" ht="18.75" x14ac:dyDescent="0.3">
      <c r="B11" s="23"/>
      <c r="C11" s="23"/>
      <c r="D11" s="23"/>
      <c r="E11" s="23"/>
      <c r="F11" s="36"/>
      <c r="G11" s="36"/>
      <c r="H11" s="36"/>
      <c r="I11" s="23"/>
      <c r="J11" s="23"/>
      <c r="K11" s="23"/>
      <c r="L11" s="23"/>
      <c r="M11" s="23"/>
    </row>
    <row r="12" spans="2:14" s="22" customFormat="1" ht="18.75" x14ac:dyDescent="0.3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2:14" s="22" customFormat="1" ht="18.75" x14ac:dyDescent="0.3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2:14" s="22" customFormat="1" ht="18.75" x14ac:dyDescent="0.3">
      <c r="B14" s="37"/>
      <c r="E14" s="37"/>
      <c r="F14" s="37" t="s">
        <v>34</v>
      </c>
      <c r="G14" s="37" t="s">
        <v>35</v>
      </c>
      <c r="H14" s="37" t="s">
        <v>35</v>
      </c>
      <c r="K14" s="37"/>
      <c r="L14" s="37"/>
    </row>
    <row r="15" spans="2:14" s="22" customFormat="1" ht="18.75" x14ac:dyDescent="0.3">
      <c r="B15" s="37"/>
      <c r="C15" s="37" t="s">
        <v>36</v>
      </c>
      <c r="D15" s="37" t="s">
        <v>36</v>
      </c>
      <c r="E15" s="37" t="s">
        <v>37</v>
      </c>
      <c r="F15" s="37" t="s">
        <v>18</v>
      </c>
      <c r="G15" s="37" t="s">
        <v>18</v>
      </c>
      <c r="H15" s="37" t="s">
        <v>20</v>
      </c>
      <c r="K15" s="37"/>
      <c r="L15" s="37"/>
    </row>
    <row r="16" spans="2:14" s="22" customFormat="1" ht="18.75" x14ac:dyDescent="0.3">
      <c r="B16" s="37"/>
      <c r="C16" s="37" t="s">
        <v>38</v>
      </c>
      <c r="D16" s="37" t="s">
        <v>38</v>
      </c>
      <c r="E16" s="37" t="s">
        <v>39</v>
      </c>
      <c r="F16" s="37" t="s">
        <v>40</v>
      </c>
      <c r="G16" s="37" t="s">
        <v>41</v>
      </c>
      <c r="H16" s="37" t="s">
        <v>41</v>
      </c>
      <c r="I16" s="37" t="s">
        <v>42</v>
      </c>
      <c r="J16" s="37"/>
      <c r="K16" s="37" t="s">
        <v>43</v>
      </c>
      <c r="L16" s="37"/>
      <c r="M16" s="37" t="s">
        <v>44</v>
      </c>
    </row>
    <row r="17" spans="2:14" s="22" customFormat="1" ht="18.75" x14ac:dyDescent="0.3">
      <c r="B17" s="38" t="s">
        <v>45</v>
      </c>
      <c r="C17" s="38" t="s">
        <v>20</v>
      </c>
      <c r="D17" s="38" t="s">
        <v>18</v>
      </c>
      <c r="E17" s="38" t="s">
        <v>46</v>
      </c>
      <c r="F17" s="38" t="s">
        <v>47</v>
      </c>
      <c r="G17" s="38" t="s">
        <v>48</v>
      </c>
      <c r="H17" s="38" t="s">
        <v>48</v>
      </c>
      <c r="I17" s="38" t="s">
        <v>49</v>
      </c>
      <c r="J17" s="38"/>
      <c r="K17" s="38" t="s">
        <v>49</v>
      </c>
      <c r="L17" s="38"/>
      <c r="M17" s="38" t="s">
        <v>50</v>
      </c>
      <c r="N17" s="38" t="s">
        <v>51</v>
      </c>
    </row>
    <row r="18" spans="2:14" s="22" customFormat="1" ht="18.75" x14ac:dyDescent="0.3">
      <c r="B18" s="39">
        <v>-1</v>
      </c>
      <c r="C18" s="39">
        <v>-2</v>
      </c>
      <c r="D18" s="39">
        <v>-3</v>
      </c>
      <c r="E18" s="40">
        <v>-4</v>
      </c>
      <c r="F18" s="40" t="s">
        <v>52</v>
      </c>
      <c r="G18" s="39">
        <v>-6</v>
      </c>
      <c r="H18" s="39">
        <v>-7</v>
      </c>
      <c r="I18" s="40" t="s">
        <v>53</v>
      </c>
      <c r="J18" s="40"/>
      <c r="K18" s="40" t="s">
        <v>54</v>
      </c>
      <c r="L18" s="39"/>
      <c r="M18" s="39">
        <v>-10</v>
      </c>
      <c r="N18" s="40" t="s">
        <v>55</v>
      </c>
    </row>
    <row r="19" spans="2:14" s="22" customFormat="1" ht="18" x14ac:dyDescent="0.35">
      <c r="C19" s="39"/>
      <c r="D19" s="39"/>
      <c r="E19" s="40"/>
      <c r="G19" s="39" t="s">
        <v>56</v>
      </c>
      <c r="H19" s="39" t="s">
        <v>57</v>
      </c>
      <c r="K19" s="39"/>
      <c r="L19" s="39"/>
      <c r="N19" s="40" t="s">
        <v>58</v>
      </c>
    </row>
    <row r="20" spans="2:14" s="22" customFormat="1" ht="9" customHeight="1" x14ac:dyDescent="0.35"/>
    <row r="21" spans="2:14" s="22" customFormat="1" ht="19.95" x14ac:dyDescent="0.35">
      <c r="B21" s="22" t="s">
        <v>151</v>
      </c>
      <c r="C21" s="41">
        <f>'Input Sheet'!C9</f>
        <v>2026629558</v>
      </c>
      <c r="D21" s="41"/>
      <c r="E21" s="220">
        <v>2.3606000000000001E-4</v>
      </c>
      <c r="F21" s="41">
        <f>ROUND(C21*E21,0)</f>
        <v>478406</v>
      </c>
      <c r="G21" s="42">
        <f>ROUND(G$10*(F21/F$32),0)</f>
        <v>11910011</v>
      </c>
      <c r="H21" s="42">
        <f>ROUND(H$10*(C21/C$32),0)</f>
        <v>633077</v>
      </c>
      <c r="I21" s="43">
        <f>ROUND(IF(D21&gt;0,G21/D21,0),2)</f>
        <v>0</v>
      </c>
      <c r="J21" s="41"/>
      <c r="K21" s="44">
        <f>ROUND(IF(D21&gt;0,H21/C21,(G21+H21)/C21),5)</f>
        <v>6.1900000000000002E-3</v>
      </c>
      <c r="L21" s="45"/>
      <c r="M21" s="42">
        <f t="shared" ref="M21:M22" si="0">(C21*K21)+(D21*I21)</f>
        <v>12544836.964020001</v>
      </c>
      <c r="N21" s="46">
        <f>M21-H21-G21</f>
        <v>1748.9640200007707</v>
      </c>
    </row>
    <row r="22" spans="2:14" s="22" customFormat="1" ht="19.95" x14ac:dyDescent="0.35">
      <c r="B22" s="22" t="s">
        <v>60</v>
      </c>
      <c r="C22" s="41">
        <f>'Input Sheet'!C10</f>
        <v>134868134</v>
      </c>
      <c r="D22" s="41"/>
      <c r="E22" s="220">
        <v>1.6393700000000001E-4</v>
      </c>
      <c r="F22" s="41">
        <f>ROUND(C22*E22,0)</f>
        <v>22110</v>
      </c>
      <c r="G22" s="47">
        <f t="shared" ref="G22:G30" si="1">ROUND(G$10*(F22/F$32),0)</f>
        <v>550433</v>
      </c>
      <c r="H22" s="47">
        <f t="shared" ref="H22:H30" si="2">ROUND(H$10*(C22/C$32),0)</f>
        <v>42130</v>
      </c>
      <c r="I22" s="43">
        <f t="shared" ref="I22:I30" si="3">ROUND(IF(D22&gt;0,G22/D22,0),2)</f>
        <v>0</v>
      </c>
      <c r="J22" s="41"/>
      <c r="K22" s="44">
        <f>ROUND(IF(D22&gt;0,H22/C22,(G22+H22)/C22),5)</f>
        <v>4.3899999999999998E-3</v>
      </c>
      <c r="L22" s="45"/>
      <c r="M22" s="47">
        <f t="shared" si="0"/>
        <v>592071.10826000001</v>
      </c>
      <c r="N22" s="46">
        <f t="shared" ref="N22:N30" si="4">M22-H22-G22</f>
        <v>-491.89173999999184</v>
      </c>
    </row>
    <row r="23" spans="2:14" s="22" customFormat="1" ht="19.95" x14ac:dyDescent="0.35">
      <c r="B23" s="22" t="s">
        <v>61</v>
      </c>
      <c r="C23" s="41">
        <f>'Input Sheet'!C11</f>
        <v>463412833</v>
      </c>
      <c r="D23" s="41">
        <f>'Input Sheet'!D11</f>
        <v>2119598</v>
      </c>
      <c r="E23" s="220">
        <v>1.77002E-4</v>
      </c>
      <c r="F23" s="41">
        <f t="shared" ref="F23:F30" si="5">ROUND(C23*E23,0)</f>
        <v>82025</v>
      </c>
      <c r="G23" s="47">
        <f t="shared" si="1"/>
        <v>2042028</v>
      </c>
      <c r="H23" s="47">
        <f t="shared" si="2"/>
        <v>144760</v>
      </c>
      <c r="I23" s="43">
        <f>ROUND(IF(D23&gt;0,G23/D23,0),2)</f>
        <v>0.96</v>
      </c>
      <c r="J23" s="41"/>
      <c r="K23" s="44">
        <f>ROUND(IF(D23&gt;0,H23/C23,(G23+H23)/C23),5)</f>
        <v>3.1E-4</v>
      </c>
      <c r="L23" s="45"/>
      <c r="M23" s="47">
        <f>(C23*K23)+(D23*I23)</f>
        <v>2178472.0582299996</v>
      </c>
      <c r="N23" s="46">
        <f t="shared" si="4"/>
        <v>-8315.9417700003833</v>
      </c>
    </row>
    <row r="24" spans="2:14" s="22" customFormat="1" ht="19.8" x14ac:dyDescent="0.35">
      <c r="B24" s="22" t="s">
        <v>71</v>
      </c>
      <c r="C24" s="41">
        <f>'Input Sheet'!C12</f>
        <v>4331107</v>
      </c>
      <c r="D24" s="41"/>
      <c r="E24" s="220">
        <v>1.77002E-4</v>
      </c>
      <c r="F24" s="41">
        <f>ROUND(C24*E24,0)</f>
        <v>767</v>
      </c>
      <c r="G24" s="47">
        <f t="shared" si="1"/>
        <v>19095</v>
      </c>
      <c r="H24" s="47">
        <f t="shared" si="2"/>
        <v>1353</v>
      </c>
      <c r="I24" s="43">
        <f t="shared" si="3"/>
        <v>0</v>
      </c>
      <c r="J24" s="41"/>
      <c r="K24" s="44">
        <f t="shared" ref="K24:K30" si="6">ROUND(IF(D24&gt;0,H24/C24,(G24+H24)/C24),5)</f>
        <v>4.7200000000000002E-3</v>
      </c>
      <c r="L24" s="48"/>
      <c r="M24" s="47">
        <f t="shared" ref="M24:M30" si="7">(C24*K24)+(D24*I24)</f>
        <v>20442.82504</v>
      </c>
      <c r="N24" s="46">
        <f t="shared" si="4"/>
        <v>-5.1749600000002829</v>
      </c>
    </row>
    <row r="25" spans="2:14" s="22" customFormat="1" ht="19.8" x14ac:dyDescent="0.35">
      <c r="B25" s="22" t="s">
        <v>62</v>
      </c>
      <c r="C25" s="41">
        <f>'Input Sheet'!C13</f>
        <v>636916268</v>
      </c>
      <c r="D25" s="41">
        <f>'Input Sheet'!D13</f>
        <v>2169269</v>
      </c>
      <c r="E25" s="220">
        <v>1.69381E-4</v>
      </c>
      <c r="F25" s="41">
        <f t="shared" si="5"/>
        <v>107882</v>
      </c>
      <c r="G25" s="47">
        <f t="shared" si="1"/>
        <v>2685744</v>
      </c>
      <c r="H25" s="47">
        <f t="shared" si="2"/>
        <v>198959</v>
      </c>
      <c r="I25" s="43">
        <f t="shared" si="3"/>
        <v>1.24</v>
      </c>
      <c r="J25" s="41"/>
      <c r="K25" s="44">
        <f>ROUND(IF(D25&gt;0,H25/C25,(G25+H25)/C25),5)</f>
        <v>3.1E-4</v>
      </c>
      <c r="L25" s="45"/>
      <c r="M25" s="47">
        <f>(C25*K25)+(D25*I25)</f>
        <v>2887337.6030800003</v>
      </c>
      <c r="N25" s="46">
        <f t="shared" si="4"/>
        <v>2634.6030800002627</v>
      </c>
    </row>
    <row r="26" spans="2:14" s="22" customFormat="1" ht="18" x14ac:dyDescent="0.35">
      <c r="B26" s="22" t="s">
        <v>63</v>
      </c>
      <c r="C26" s="41">
        <f>'Input Sheet'!C14</f>
        <v>2114142</v>
      </c>
      <c r="D26" s="41"/>
      <c r="E26" s="220">
        <v>1.69381E-4</v>
      </c>
      <c r="F26" s="41">
        <f t="shared" si="5"/>
        <v>358</v>
      </c>
      <c r="G26" s="47">
        <f t="shared" si="1"/>
        <v>8912</v>
      </c>
      <c r="H26" s="47">
        <f t="shared" si="2"/>
        <v>660</v>
      </c>
      <c r="I26" s="43">
        <f t="shared" si="3"/>
        <v>0</v>
      </c>
      <c r="J26" s="41"/>
      <c r="K26" s="44">
        <f t="shared" si="6"/>
        <v>4.5300000000000002E-3</v>
      </c>
      <c r="L26" s="48"/>
      <c r="M26" s="47">
        <f t="shared" si="7"/>
        <v>9577.0632600000008</v>
      </c>
      <c r="N26" s="46">
        <f t="shared" si="4"/>
        <v>5.0632600000008097</v>
      </c>
    </row>
    <row r="27" spans="2:14" s="22" customFormat="1" ht="19.8" x14ac:dyDescent="0.35">
      <c r="B27" s="22" t="s">
        <v>152</v>
      </c>
      <c r="C27" s="41">
        <f>'Input Sheet'!C15</f>
        <v>2542381500</v>
      </c>
      <c r="D27" s="41">
        <f>'Input Sheet'!D15</f>
        <v>5429712</v>
      </c>
      <c r="E27" s="220">
        <v>1.3062600000000001E-4</v>
      </c>
      <c r="F27" s="41">
        <f t="shared" si="5"/>
        <v>332101</v>
      </c>
      <c r="G27" s="47">
        <f t="shared" si="1"/>
        <v>8267720</v>
      </c>
      <c r="H27" s="47">
        <f t="shared" si="2"/>
        <v>794187</v>
      </c>
      <c r="I27" s="43">
        <f t="shared" si="3"/>
        <v>1.52</v>
      </c>
      <c r="J27" s="41"/>
      <c r="K27" s="44">
        <f>ROUND(IF(D27&gt;0,H27/C27,(G27+H27)/C27),5)+0.00001</f>
        <v>3.2000000000000003E-4</v>
      </c>
      <c r="L27" s="45">
        <v>2</v>
      </c>
      <c r="M27" s="47">
        <f t="shared" si="7"/>
        <v>9066724.3200000003</v>
      </c>
      <c r="N27" s="46">
        <f t="shared" si="4"/>
        <v>4817.320000000298</v>
      </c>
    </row>
    <row r="28" spans="2:14" s="22" customFormat="1" ht="18" x14ac:dyDescent="0.35">
      <c r="B28" s="22" t="s">
        <v>65</v>
      </c>
      <c r="C28" s="41">
        <f>'Input Sheet'!C16</f>
        <v>2025020</v>
      </c>
      <c r="D28" s="41"/>
      <c r="E28" s="220">
        <v>1.3405700000000001E-4</v>
      </c>
      <c r="F28" s="41">
        <f t="shared" si="5"/>
        <v>271</v>
      </c>
      <c r="G28" s="47">
        <f t="shared" si="1"/>
        <v>6747</v>
      </c>
      <c r="H28" s="47">
        <f t="shared" si="2"/>
        <v>633</v>
      </c>
      <c r="I28" s="43">
        <f t="shared" si="3"/>
        <v>0</v>
      </c>
      <c r="J28" s="41"/>
      <c r="K28" s="44">
        <f t="shared" si="6"/>
        <v>3.64E-3</v>
      </c>
      <c r="L28" s="48"/>
      <c r="M28" s="47">
        <f t="shared" si="7"/>
        <v>7371.0727999999999</v>
      </c>
      <c r="N28" s="46">
        <f t="shared" si="4"/>
        <v>-8.9272000000000844</v>
      </c>
    </row>
    <row r="29" spans="2:14" s="22" customFormat="1" ht="18" x14ac:dyDescent="0.35">
      <c r="B29" s="22" t="s">
        <v>66</v>
      </c>
      <c r="C29" s="41">
        <f>'Input Sheet'!C17</f>
        <v>42609936</v>
      </c>
      <c r="D29" s="41"/>
      <c r="E29" s="220">
        <v>9.431E-6</v>
      </c>
      <c r="F29" s="41">
        <f t="shared" si="5"/>
        <v>402</v>
      </c>
      <c r="G29" s="47">
        <f t="shared" si="1"/>
        <v>10008</v>
      </c>
      <c r="H29" s="47">
        <f t="shared" si="2"/>
        <v>13310</v>
      </c>
      <c r="I29" s="43">
        <f t="shared" si="3"/>
        <v>0</v>
      </c>
      <c r="J29" s="41"/>
      <c r="K29" s="44">
        <f t="shared" si="6"/>
        <v>5.5000000000000003E-4</v>
      </c>
      <c r="L29" s="48"/>
      <c r="M29" s="47">
        <f t="shared" si="7"/>
        <v>23435.464800000002</v>
      </c>
      <c r="N29" s="46">
        <f t="shared" si="4"/>
        <v>117.46480000000156</v>
      </c>
    </row>
    <row r="30" spans="2:14" s="22" customFormat="1" ht="18" x14ac:dyDescent="0.35">
      <c r="B30" s="22" t="s">
        <v>67</v>
      </c>
      <c r="C30" s="41">
        <f>'Input Sheet'!C18</f>
        <v>8534845</v>
      </c>
      <c r="D30" s="41"/>
      <c r="E30" s="220">
        <v>9.8900000000000002E-6</v>
      </c>
      <c r="F30" s="41">
        <f t="shared" si="5"/>
        <v>84</v>
      </c>
      <c r="G30" s="47">
        <f t="shared" si="1"/>
        <v>2091</v>
      </c>
      <c r="H30" s="47">
        <f t="shared" si="2"/>
        <v>2666</v>
      </c>
      <c r="I30" s="43">
        <f t="shared" si="3"/>
        <v>0</v>
      </c>
      <c r="J30" s="41"/>
      <c r="K30" s="44">
        <f t="shared" si="6"/>
        <v>5.5999999999999995E-4</v>
      </c>
      <c r="L30" s="48"/>
      <c r="M30" s="47">
        <f t="shared" si="7"/>
        <v>4779.5131999999994</v>
      </c>
      <c r="N30" s="46">
        <f t="shared" si="4"/>
        <v>22.513199999999415</v>
      </c>
    </row>
    <row r="31" spans="2:14" s="22" customFormat="1" ht="18" x14ac:dyDescent="0.35">
      <c r="C31" s="41"/>
      <c r="D31" s="41"/>
      <c r="E31" s="49"/>
      <c r="F31" s="41"/>
      <c r="G31" s="41"/>
      <c r="H31" s="41"/>
      <c r="I31" s="41"/>
      <c r="J31" s="41"/>
      <c r="M31" s="41"/>
      <c r="N31" s="41"/>
    </row>
    <row r="32" spans="2:14" s="22" customFormat="1" ht="18" x14ac:dyDescent="0.35">
      <c r="B32" s="50" t="s">
        <v>21</v>
      </c>
      <c r="C32" s="51">
        <f>SUM(C21:C30)</f>
        <v>5863823343</v>
      </c>
      <c r="D32" s="51">
        <f>SUM(D21:D30)</f>
        <v>9718579</v>
      </c>
      <c r="E32" s="52"/>
      <c r="F32" s="51">
        <f>SUM(F21:F30)</f>
        <v>1024406</v>
      </c>
      <c r="G32" s="53">
        <f>SUM(G21:G30)</f>
        <v>25502789</v>
      </c>
      <c r="H32" s="53">
        <f>SUM(H21:H30)</f>
        <v>1831735</v>
      </c>
      <c r="I32" s="53"/>
      <c r="J32" s="53"/>
      <c r="K32" s="50"/>
      <c r="L32" s="50"/>
      <c r="M32" s="53">
        <f>SUM(M21:M30)</f>
        <v>27335047.992690001</v>
      </c>
      <c r="N32" s="53">
        <f>SUM(N21:N30)</f>
        <v>523.99269000095774</v>
      </c>
    </row>
    <row r="33" spans="1:14" s="20" customFormat="1" ht="15.6" x14ac:dyDescent="0.3">
      <c r="C33" s="54"/>
      <c r="D33" s="54"/>
      <c r="M33" s="55"/>
      <c r="N33" s="55"/>
    </row>
    <row r="34" spans="1:14" s="20" customFormat="1" ht="15.6" x14ac:dyDescent="0.3">
      <c r="M34" s="56"/>
    </row>
    <row r="35" spans="1:14" x14ac:dyDescent="0.3">
      <c r="A35" s="19" t="s">
        <v>68</v>
      </c>
    </row>
    <row r="36" spans="1:14" ht="15" x14ac:dyDescent="0.3">
      <c r="A36" s="57">
        <v>1</v>
      </c>
      <c r="B36" s="19" t="s">
        <v>69</v>
      </c>
      <c r="H36" s="58"/>
    </row>
    <row r="37" spans="1:14" ht="15" x14ac:dyDescent="0.3">
      <c r="A37" s="59">
        <v>2</v>
      </c>
      <c r="B37" s="19" t="s">
        <v>70</v>
      </c>
    </row>
    <row r="38" spans="1:14" s="20" customFormat="1" ht="15.6" x14ac:dyDescent="0.3"/>
    <row r="39" spans="1:14" s="20" customFormat="1" ht="15.6" x14ac:dyDescent="0.3"/>
    <row r="40" spans="1:14" s="20" customFormat="1" ht="15.6" x14ac:dyDescent="0.3"/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7" workbookViewId="0">
      <selection activeCell="C40" sqref="C40"/>
    </sheetView>
  </sheetViews>
  <sheetFormatPr defaultRowHeight="14.4" x14ac:dyDescent="0.3"/>
  <cols>
    <col min="1" max="1" width="6" customWidth="1"/>
    <col min="2" max="2" width="5.6640625" customWidth="1"/>
    <col min="3" max="3" width="43.33203125" customWidth="1"/>
    <col min="4" max="4" width="12.5546875" bestFit="1" customWidth="1"/>
    <col min="5" max="5" width="1.6640625" customWidth="1"/>
    <col min="6" max="6" width="15.33203125" bestFit="1" customWidth="1"/>
  </cols>
  <sheetData>
    <row r="1" spans="1:7" ht="15" x14ac:dyDescent="0.25">
      <c r="B1" s="5"/>
    </row>
    <row r="2" spans="1:7" ht="15" x14ac:dyDescent="0.25">
      <c r="D2" s="14" t="s">
        <v>23</v>
      </c>
    </row>
    <row r="3" spans="1:7" ht="15" x14ac:dyDescent="0.25">
      <c r="D3" s="14"/>
    </row>
    <row r="4" spans="1:7" s="9" customFormat="1" ht="15" x14ac:dyDescent="0.25">
      <c r="A4"/>
      <c r="B4"/>
      <c r="C4"/>
      <c r="D4"/>
      <c r="E4"/>
      <c r="F4"/>
      <c r="G4"/>
    </row>
    <row r="5" spans="1:7" s="9" customFormat="1" ht="15" x14ac:dyDescent="0.25">
      <c r="A5"/>
      <c r="B5"/>
      <c r="C5" s="231" t="s">
        <v>114</v>
      </c>
      <c r="D5" s="231"/>
      <c r="E5" s="231"/>
      <c r="F5" s="231"/>
      <c r="G5" s="231"/>
    </row>
    <row r="7" spans="1:7" ht="15" x14ac:dyDescent="0.25">
      <c r="B7" s="232" t="s">
        <v>0</v>
      </c>
      <c r="C7" s="232"/>
      <c r="D7" s="232"/>
    </row>
    <row r="8" spans="1:7" ht="15" x14ac:dyDescent="0.25">
      <c r="B8" s="9"/>
      <c r="C8" s="9"/>
      <c r="D8" s="9"/>
    </row>
    <row r="9" spans="1:7" ht="15" x14ac:dyDescent="0.25">
      <c r="B9" s="9"/>
      <c r="C9" s="73" t="s">
        <v>15</v>
      </c>
      <c r="D9" s="73" t="s">
        <v>16</v>
      </c>
    </row>
    <row r="11" spans="1:7" ht="15" x14ac:dyDescent="0.25">
      <c r="B11" s="9" t="s">
        <v>11</v>
      </c>
    </row>
    <row r="12" spans="1:7" ht="15" x14ac:dyDescent="0.25">
      <c r="C12" t="s">
        <v>12</v>
      </c>
      <c r="D12" s="6">
        <f>'Input Sheet'!D26</f>
        <v>13058749</v>
      </c>
    </row>
    <row r="13" spans="1:7" ht="30" x14ac:dyDescent="0.25">
      <c r="C13" s="83" t="s">
        <v>115</v>
      </c>
      <c r="D13" s="6">
        <f>'Input Sheet'!D27</f>
        <v>1322452.2552401924</v>
      </c>
    </row>
    <row r="14" spans="1:7" ht="15" x14ac:dyDescent="0.25">
      <c r="C14" t="s">
        <v>103</v>
      </c>
      <c r="D14" s="3">
        <f>'Input Sheet'!D28</f>
        <v>2052198.5217695641</v>
      </c>
    </row>
    <row r="15" spans="1:7" ht="18.75" x14ac:dyDescent="0.3">
      <c r="C15" t="s">
        <v>17</v>
      </c>
      <c r="D15" s="3">
        <f>'Input Sheet'!D29</f>
        <v>253819.77037601004</v>
      </c>
      <c r="F15" s="113"/>
    </row>
    <row r="16" spans="1:7" ht="15" x14ac:dyDescent="0.25">
      <c r="C16" t="s">
        <v>13</v>
      </c>
      <c r="D16" s="4">
        <f>'Input Sheet'!D30</f>
        <v>100000</v>
      </c>
    </row>
    <row r="17" spans="2:6" ht="15" x14ac:dyDescent="0.25">
      <c r="D17" s="3"/>
    </row>
    <row r="18" spans="2:6" x14ac:dyDescent="0.3">
      <c r="B18" s="16" t="s">
        <v>95</v>
      </c>
      <c r="D18" s="78">
        <f>SUM(D12:D16)</f>
        <v>16787219.547385767</v>
      </c>
    </row>
    <row r="19" spans="2:6" ht="15" x14ac:dyDescent="0.25">
      <c r="C19" s="89" t="s">
        <v>150</v>
      </c>
      <c r="D19" s="219">
        <f>'Input Sheet'!D32</f>
        <v>1.004977</v>
      </c>
      <c r="F19" s="110"/>
    </row>
    <row r="20" spans="2:6" x14ac:dyDescent="0.3">
      <c r="B20" s="9" t="s">
        <v>14</v>
      </c>
      <c r="D20" s="80">
        <f>D18*D19</f>
        <v>16870769.539073106</v>
      </c>
    </row>
    <row r="22" spans="2:6" x14ac:dyDescent="0.3">
      <c r="C22" t="s">
        <v>93</v>
      </c>
      <c r="D22" s="86">
        <f>'Input Sheet'!D36</f>
        <v>44053773.377833262</v>
      </c>
    </row>
    <row r="23" spans="2:6" x14ac:dyDescent="0.3">
      <c r="C23" t="s">
        <v>94</v>
      </c>
      <c r="D23" s="79">
        <f>'Input Sheet'!D37</f>
        <v>0.10128</v>
      </c>
    </row>
    <row r="25" spans="2:6" x14ac:dyDescent="0.3">
      <c r="B25" s="9" t="s">
        <v>96</v>
      </c>
      <c r="D25" s="80">
        <f>D23*D22</f>
        <v>4461766.1677069524</v>
      </c>
    </row>
    <row r="27" spans="2:6" x14ac:dyDescent="0.3">
      <c r="B27" s="9" t="s">
        <v>97</v>
      </c>
      <c r="D27" s="81">
        <f>D25+D20</f>
        <v>21332535.706780057</v>
      </c>
    </row>
    <row r="28" spans="2:6" x14ac:dyDescent="0.3">
      <c r="C28" t="s">
        <v>116</v>
      </c>
      <c r="D28" s="81">
        <f>(D12+D14+D15)*D19+D25</f>
        <v>19903003.906665534</v>
      </c>
    </row>
    <row r="29" spans="2:6" x14ac:dyDescent="0.3">
      <c r="C29" t="s">
        <v>117</v>
      </c>
      <c r="D29" s="7">
        <f>(D13+D16)*D19</f>
        <v>1429531.8001145229</v>
      </c>
    </row>
  </sheetData>
  <mergeCells count="2">
    <mergeCell ref="C5:G5"/>
    <mergeCell ref="B7:D7"/>
  </mergeCells>
  <printOptions horizontalCentered="1"/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8"/>
  <sheetViews>
    <sheetView tabSelected="1" topLeftCell="B1" workbookViewId="0">
      <selection activeCell="G13" sqref="G13"/>
    </sheetView>
  </sheetViews>
  <sheetFormatPr defaultRowHeight="14.4" x14ac:dyDescent="0.3"/>
  <cols>
    <col min="1" max="1" width="3.88671875" customWidth="1"/>
    <col min="2" max="2" width="4.109375" customWidth="1"/>
    <col min="3" max="3" width="43.109375" customWidth="1"/>
    <col min="4" max="4" width="17.88671875" customWidth="1"/>
    <col min="6" max="6" width="10.5546875" bestFit="1" customWidth="1"/>
  </cols>
  <sheetData>
    <row r="1" spans="2:13" ht="15" x14ac:dyDescent="0.25">
      <c r="B1" s="5"/>
      <c r="D1" s="14" t="s">
        <v>24</v>
      </c>
    </row>
    <row r="4" spans="2:13" x14ac:dyDescent="0.3">
      <c r="C4" s="231" t="s">
        <v>190</v>
      </c>
      <c r="D4" s="231"/>
      <c r="E4" s="231"/>
      <c r="F4" s="231"/>
      <c r="G4" s="231"/>
    </row>
    <row r="6" spans="2:13" x14ac:dyDescent="0.3">
      <c r="B6" s="9"/>
      <c r="C6" s="9"/>
      <c r="D6" s="9"/>
      <c r="F6" t="s">
        <v>149</v>
      </c>
    </row>
    <row r="7" spans="2:13" ht="15" x14ac:dyDescent="0.25">
      <c r="B7" s="9"/>
      <c r="C7" s="12" t="s">
        <v>15</v>
      </c>
      <c r="D7" s="12" t="s">
        <v>16</v>
      </c>
    </row>
    <row r="9" spans="2:13" ht="15" x14ac:dyDescent="0.25">
      <c r="B9" s="9" t="s">
        <v>11</v>
      </c>
    </row>
    <row r="10" spans="2:13" ht="15" x14ac:dyDescent="0.25">
      <c r="C10" t="s">
        <v>12</v>
      </c>
      <c r="D10" s="123">
        <f>21861640.05</f>
        <v>21861640.050000001</v>
      </c>
    </row>
    <row r="11" spans="2:13" ht="30" x14ac:dyDescent="0.25">
      <c r="C11" s="83" t="s">
        <v>115</v>
      </c>
      <c r="D11" s="123">
        <v>-78107.25</v>
      </c>
    </row>
    <row r="12" spans="2:13" ht="15" x14ac:dyDescent="0.25">
      <c r="C12" t="s">
        <v>103</v>
      </c>
      <c r="D12" s="6">
        <f>'Input Sheet'!G28</f>
        <v>0</v>
      </c>
    </row>
    <row r="13" spans="2:13" ht="15" x14ac:dyDescent="0.25">
      <c r="C13" t="s">
        <v>17</v>
      </c>
      <c r="D13" s="6">
        <f>'Input Sheet'!G29</f>
        <v>0</v>
      </c>
      <c r="E13" t="s">
        <v>142</v>
      </c>
    </row>
    <row r="14" spans="2:13" ht="15" x14ac:dyDescent="0.25">
      <c r="C14" t="s">
        <v>13</v>
      </c>
      <c r="D14" s="124">
        <v>0</v>
      </c>
      <c r="E14" t="s">
        <v>142</v>
      </c>
    </row>
    <row r="15" spans="2:13" ht="15" x14ac:dyDescent="0.25">
      <c r="D15" s="3"/>
    </row>
    <row r="16" spans="2:13" x14ac:dyDescent="0.3">
      <c r="B16" s="16" t="s">
        <v>95</v>
      </c>
      <c r="D16" s="78">
        <f>SUM(D10:D14)</f>
        <v>21783532.800000001</v>
      </c>
      <c r="E16" s="216"/>
      <c r="F16" s="216"/>
      <c r="G16" s="216"/>
      <c r="H16" s="216"/>
      <c r="I16" s="216"/>
      <c r="J16" s="216"/>
      <c r="K16" s="216"/>
      <c r="L16" s="216"/>
      <c r="M16" s="216"/>
    </row>
    <row r="17" spans="2:13" x14ac:dyDescent="0.3">
      <c r="C17" s="89" t="s">
        <v>82</v>
      </c>
      <c r="D17" s="125">
        <v>1</v>
      </c>
      <c r="E17" s="216" t="s">
        <v>197</v>
      </c>
      <c r="F17" s="216"/>
      <c r="G17" s="216"/>
      <c r="H17" s="216"/>
      <c r="I17" s="216"/>
      <c r="J17" s="216"/>
      <c r="K17" s="216"/>
      <c r="L17" s="216"/>
      <c r="M17" s="216"/>
    </row>
    <row r="18" spans="2:13" x14ac:dyDescent="0.3">
      <c r="B18" s="9" t="s">
        <v>14</v>
      </c>
      <c r="D18" s="80">
        <f>D16*D17</f>
        <v>21783532.800000001</v>
      </c>
      <c r="E18" s="216"/>
      <c r="F18" s="216"/>
      <c r="G18" s="216"/>
      <c r="H18" s="216"/>
      <c r="I18" s="216"/>
      <c r="J18" s="216"/>
      <c r="K18" s="216"/>
      <c r="L18" s="216"/>
      <c r="M18" s="216"/>
    </row>
    <row r="19" spans="2:13" x14ac:dyDescent="0.3">
      <c r="E19" s="216"/>
      <c r="F19" s="216"/>
      <c r="G19" s="216"/>
      <c r="H19" s="216"/>
      <c r="I19" s="216"/>
      <c r="J19" s="216"/>
      <c r="K19" s="216"/>
      <c r="L19" s="216"/>
      <c r="M19" s="216"/>
    </row>
    <row r="20" spans="2:13" x14ac:dyDescent="0.3">
      <c r="C20" t="s">
        <v>93</v>
      </c>
      <c r="D20" s="77">
        <f>'Net Plant'!B4*0.986</f>
        <v>54290966.184380002</v>
      </c>
      <c r="E20" s="216"/>
      <c r="F20" s="216"/>
      <c r="G20" s="216"/>
      <c r="H20" s="216"/>
      <c r="I20" s="216"/>
      <c r="J20" s="216"/>
      <c r="K20" s="216"/>
      <c r="L20" s="216"/>
      <c r="M20" s="216"/>
    </row>
    <row r="21" spans="2:13" x14ac:dyDescent="0.3">
      <c r="C21" t="s">
        <v>189</v>
      </c>
      <c r="D21" s="214">
        <f>GRCF!S18</f>
        <v>0.10078400000000001</v>
      </c>
      <c r="E21" s="217" t="s">
        <v>198</v>
      </c>
      <c r="F21" s="217"/>
      <c r="G21" s="217"/>
      <c r="H21" s="217"/>
      <c r="I21" s="217"/>
      <c r="J21" s="217"/>
      <c r="K21" s="216"/>
      <c r="L21" s="216"/>
      <c r="M21" s="216"/>
    </row>
    <row r="22" spans="2:13" x14ac:dyDescent="0.3">
      <c r="D22" s="104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2:13" x14ac:dyDescent="0.3">
      <c r="B23" s="9" t="s">
        <v>96</v>
      </c>
      <c r="D23" s="215">
        <f>D20*D21/12</f>
        <v>455971.72799387953</v>
      </c>
      <c r="E23" s="104" t="s">
        <v>149</v>
      </c>
      <c r="F23" s="104"/>
      <c r="G23" s="119"/>
      <c r="H23" s="119"/>
      <c r="I23" s="119"/>
      <c r="J23" s="119"/>
      <c r="K23" s="119"/>
      <c r="L23" s="119"/>
      <c r="M23" s="104"/>
    </row>
    <row r="24" spans="2:13" x14ac:dyDescent="0.3">
      <c r="D24" s="104"/>
      <c r="E24" s="104"/>
      <c r="F24" s="104"/>
      <c r="G24" s="104"/>
      <c r="H24" s="104"/>
      <c r="I24" s="104"/>
      <c r="J24" s="104"/>
      <c r="K24" s="104"/>
      <c r="L24" s="104"/>
      <c r="M24" s="104"/>
    </row>
    <row r="25" spans="2:13" x14ac:dyDescent="0.3">
      <c r="B25" s="9" t="s">
        <v>143</v>
      </c>
      <c r="D25" s="81">
        <f>D23+D18</f>
        <v>22239504.52799388</v>
      </c>
      <c r="G25" s="104"/>
      <c r="H25" s="104"/>
      <c r="I25" s="104"/>
      <c r="J25" s="104"/>
      <c r="K25" s="104"/>
      <c r="L25" s="104"/>
      <c r="M25" s="104"/>
    </row>
    <row r="26" spans="2:13" x14ac:dyDescent="0.3">
      <c r="G26" s="104"/>
      <c r="H26" s="104"/>
      <c r="I26" s="104"/>
      <c r="J26" s="104"/>
      <c r="K26" s="104"/>
      <c r="L26" s="104"/>
      <c r="M26" s="104"/>
    </row>
    <row r="27" spans="2:13" x14ac:dyDescent="0.3">
      <c r="G27" s="104"/>
      <c r="H27" s="104"/>
      <c r="I27" s="104"/>
      <c r="J27" s="104"/>
      <c r="K27" s="104"/>
      <c r="L27" s="104"/>
      <c r="M27" s="104"/>
    </row>
    <row r="28" spans="2:13" x14ac:dyDescent="0.3">
      <c r="G28" s="104"/>
      <c r="H28" s="104"/>
      <c r="I28" s="104"/>
      <c r="J28" s="104"/>
      <c r="K28" s="104"/>
      <c r="L28" s="104"/>
      <c r="M28" s="104"/>
    </row>
  </sheetData>
  <mergeCells count="1">
    <mergeCell ref="C4:G4"/>
  </mergeCells>
  <printOptions horizontalCentered="1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workbookViewId="0">
      <selection activeCell="F2" sqref="F2"/>
    </sheetView>
  </sheetViews>
  <sheetFormatPr defaultRowHeight="14.4" x14ac:dyDescent="0.3"/>
  <cols>
    <col min="1" max="1" width="58.6640625" customWidth="1"/>
    <col min="2" max="2" width="11.5546875" bestFit="1" customWidth="1"/>
    <col min="3" max="3" width="1.6640625" customWidth="1"/>
    <col min="4" max="4" width="17.109375" customWidth="1"/>
    <col min="5" max="5" width="1.6640625" customWidth="1"/>
    <col min="6" max="6" width="19.88671875" bestFit="1" customWidth="1"/>
  </cols>
  <sheetData>
    <row r="1" spans="1:6" ht="15" x14ac:dyDescent="0.25">
      <c r="F1" s="14" t="s">
        <v>31</v>
      </c>
    </row>
    <row r="2" spans="1:6" ht="15" x14ac:dyDescent="0.25">
      <c r="B2" s="3"/>
    </row>
    <row r="3" spans="1:6" x14ac:dyDescent="0.3">
      <c r="A3" s="227" t="s">
        <v>0</v>
      </c>
      <c r="B3" s="227"/>
      <c r="C3" s="227"/>
      <c r="D3" s="227"/>
      <c r="E3" s="227"/>
      <c r="F3" s="227"/>
    </row>
    <row r="4" spans="1:6" x14ac:dyDescent="0.3">
      <c r="A4" s="227" t="s">
        <v>25</v>
      </c>
      <c r="B4" s="227"/>
      <c r="C4" s="227"/>
      <c r="D4" s="227"/>
      <c r="E4" s="227"/>
      <c r="F4" s="227"/>
    </row>
    <row r="5" spans="1:6" x14ac:dyDescent="0.3">
      <c r="A5" s="229" t="str">
        <f>'Input Sheet'!A2:D2</f>
        <v>Twelve-Month Period ended June 30, 2016</v>
      </c>
      <c r="B5" s="229"/>
      <c r="C5" s="229"/>
      <c r="D5" s="229"/>
      <c r="E5" s="229"/>
      <c r="F5" s="229"/>
    </row>
    <row r="6" spans="1:6" x14ac:dyDescent="0.3">
      <c r="B6" s="13"/>
    </row>
    <row r="7" spans="1:6" ht="15" x14ac:dyDescent="0.25">
      <c r="A7" s="12" t="s">
        <v>1</v>
      </c>
      <c r="B7" s="12"/>
      <c r="D7" s="12"/>
      <c r="F7" s="12" t="s">
        <v>139</v>
      </c>
    </row>
    <row r="9" spans="1:6" ht="15" x14ac:dyDescent="0.25">
      <c r="A9" s="2" t="s">
        <v>3</v>
      </c>
      <c r="B9" s="3"/>
      <c r="D9" s="3"/>
      <c r="F9" s="120">
        <v>6596933.5499999998</v>
      </c>
    </row>
    <row r="10" spans="1:6" ht="15" x14ac:dyDescent="0.25">
      <c r="A10" s="2" t="s">
        <v>2</v>
      </c>
      <c r="B10" s="3"/>
      <c r="D10" s="3"/>
      <c r="F10" s="120">
        <v>361379.43</v>
      </c>
    </row>
    <row r="11" spans="1:6" ht="15" x14ac:dyDescent="0.25">
      <c r="A11" s="2" t="s">
        <v>4</v>
      </c>
      <c r="B11" s="3"/>
      <c r="D11" s="3"/>
      <c r="F11" s="120">
        <v>1303065.48</v>
      </c>
    </row>
    <row r="12" spans="1:6" ht="15" x14ac:dyDescent="0.25">
      <c r="A12" s="2" t="s">
        <v>5</v>
      </c>
      <c r="B12" s="3"/>
      <c r="D12" s="3"/>
      <c r="F12" s="120">
        <v>17324.87</v>
      </c>
    </row>
    <row r="13" spans="1:6" ht="15" x14ac:dyDescent="0.25">
      <c r="A13" s="2" t="s">
        <v>6</v>
      </c>
      <c r="B13" s="3"/>
      <c r="D13" s="3"/>
      <c r="F13" s="120">
        <v>1756548.28</v>
      </c>
    </row>
    <row r="14" spans="1:6" ht="15" x14ac:dyDescent="0.25">
      <c r="A14" s="2" t="s">
        <v>7</v>
      </c>
      <c r="B14" s="3"/>
      <c r="D14" s="3"/>
      <c r="F14" s="120">
        <v>5789.95</v>
      </c>
    </row>
    <row r="15" spans="1:6" ht="15" x14ac:dyDescent="0.25">
      <c r="A15" s="2" t="s">
        <v>121</v>
      </c>
      <c r="B15" s="3"/>
      <c r="D15" s="3"/>
      <c r="F15" s="120">
        <v>6115985.2300000004</v>
      </c>
    </row>
    <row r="16" spans="1:6" ht="15" x14ac:dyDescent="0.25">
      <c r="A16" s="2" t="s">
        <v>8</v>
      </c>
      <c r="B16" s="3"/>
      <c r="D16" s="3"/>
      <c r="F16" s="120">
        <v>4900.03</v>
      </c>
    </row>
    <row r="17" spans="1:8" ht="15" x14ac:dyDescent="0.25">
      <c r="A17" s="2" t="s">
        <v>9</v>
      </c>
      <c r="B17" s="3"/>
      <c r="D17" s="3"/>
      <c r="F17" s="120">
        <v>62612.08</v>
      </c>
    </row>
    <row r="18" spans="1:8" ht="15" x14ac:dyDescent="0.25">
      <c r="A18" s="2" t="s">
        <v>10</v>
      </c>
      <c r="B18" s="6"/>
      <c r="C18" s="17"/>
      <c r="D18" s="6"/>
      <c r="F18" s="121">
        <v>12976.85</v>
      </c>
    </row>
    <row r="19" spans="1:8" ht="15" x14ac:dyDescent="0.25">
      <c r="B19" s="3"/>
      <c r="F19" s="104"/>
    </row>
    <row r="20" spans="1:8" x14ac:dyDescent="0.3">
      <c r="A20" s="16" t="s">
        <v>26</v>
      </c>
      <c r="B20" s="15"/>
      <c r="D20" s="7"/>
      <c r="F20" s="120">
        <f>SUM(F9:F18)</f>
        <v>16237515.749999998</v>
      </c>
    </row>
    <row r="21" spans="1:8" ht="15" x14ac:dyDescent="0.25">
      <c r="F21" s="120"/>
    </row>
    <row r="22" spans="1:8" x14ac:dyDescent="0.3">
      <c r="A22" s="9" t="s">
        <v>19</v>
      </c>
      <c r="F22" s="122">
        <v>16237515.75</v>
      </c>
    </row>
    <row r="23" spans="1:8" x14ac:dyDescent="0.3">
      <c r="A23" s="8"/>
      <c r="F23" s="104"/>
      <c r="G23" s="104"/>
      <c r="H23" s="104"/>
    </row>
    <row r="24" spans="1:8" x14ac:dyDescent="0.3">
      <c r="A24" s="2"/>
      <c r="F24" s="104" t="s">
        <v>149</v>
      </c>
      <c r="G24" s="104"/>
      <c r="H24" s="104"/>
    </row>
    <row r="25" spans="1:8" x14ac:dyDescent="0.3">
      <c r="A25" s="2"/>
      <c r="F25" s="104"/>
      <c r="G25" s="104"/>
      <c r="H25" s="104"/>
    </row>
    <row r="26" spans="1:8" x14ac:dyDescent="0.3">
      <c r="A26" s="2"/>
    </row>
    <row r="27" spans="1:8" x14ac:dyDescent="0.3">
      <c r="A27" s="2"/>
    </row>
    <row r="28" spans="1:8" x14ac:dyDescent="0.3">
      <c r="A28" s="2"/>
    </row>
    <row r="29" spans="1:8" x14ac:dyDescent="0.3">
      <c r="A29" s="2"/>
    </row>
    <row r="30" spans="1:8" x14ac:dyDescent="0.3">
      <c r="A30" s="2"/>
    </row>
    <row r="31" spans="1:8" x14ac:dyDescent="0.3">
      <c r="A31" s="2"/>
    </row>
    <row r="32" spans="1:8" x14ac:dyDescent="0.3">
      <c r="A32" s="2"/>
    </row>
    <row r="33" spans="1:2" x14ac:dyDescent="0.3">
      <c r="A33" s="2"/>
    </row>
    <row r="34" spans="1:2" x14ac:dyDescent="0.3">
      <c r="B34" s="3"/>
    </row>
    <row r="35" spans="1:2" x14ac:dyDescent="0.3">
      <c r="A35" s="9"/>
      <c r="B35" s="10"/>
    </row>
    <row r="37" spans="1:2" x14ac:dyDescent="0.3">
      <c r="A37" s="9"/>
      <c r="B37" s="11"/>
    </row>
  </sheetData>
  <mergeCells count="3">
    <mergeCell ref="A3:F3"/>
    <mergeCell ref="A4:F4"/>
    <mergeCell ref="A5:F5"/>
  </mergeCells>
  <printOptions horizontalCentered="1"/>
  <pageMargins left="0.7" right="0.7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9" workbookViewId="0">
      <selection activeCell="H19" sqref="H19"/>
    </sheetView>
  </sheetViews>
  <sheetFormatPr defaultColWidth="9.109375" defaultRowHeight="14.4" x14ac:dyDescent="0.3"/>
  <cols>
    <col min="1" max="1" width="10.6640625" style="60" customWidth="1"/>
    <col min="2" max="2" width="11.6640625" style="60" customWidth="1"/>
    <col min="3" max="3" width="19" style="60" customWidth="1"/>
    <col min="4" max="4" width="15" style="60" bestFit="1" customWidth="1"/>
    <col min="5" max="5" width="18.88671875" style="60" bestFit="1" customWidth="1"/>
    <col min="6" max="6" width="2.6640625" style="60" customWidth="1"/>
    <col min="7" max="7" width="12.33203125" style="60" bestFit="1" customWidth="1"/>
    <col min="8" max="8" width="9.109375" style="60"/>
    <col min="9" max="9" width="11.5546875" style="60" bestFit="1" customWidth="1"/>
    <col min="10" max="16384" width="9.109375" style="60"/>
  </cols>
  <sheetData>
    <row r="1" spans="1:4" ht="15" x14ac:dyDescent="0.25">
      <c r="A1" s="234" t="s">
        <v>72</v>
      </c>
      <c r="B1" s="234"/>
      <c r="C1" s="234"/>
      <c r="D1" s="234"/>
    </row>
    <row r="2" spans="1:4" ht="15" x14ac:dyDescent="0.25">
      <c r="A2" s="234" t="s">
        <v>191</v>
      </c>
      <c r="B2" s="234"/>
      <c r="C2" s="234"/>
      <c r="D2" s="234"/>
    </row>
    <row r="3" spans="1:4" ht="15" x14ac:dyDescent="0.25">
      <c r="A3" s="235" t="s">
        <v>120</v>
      </c>
      <c r="B3" s="235"/>
      <c r="C3" s="235"/>
      <c r="D3" s="235"/>
    </row>
    <row r="4" spans="1:4" ht="15.75" thickBot="1" x14ac:dyDescent="0.3">
      <c r="A4" s="61"/>
      <c r="B4" s="62"/>
      <c r="C4" s="62"/>
      <c r="D4" s="62"/>
    </row>
    <row r="5" spans="1:4" ht="15.75" thickBot="1" x14ac:dyDescent="0.3">
      <c r="C5" s="237" t="s">
        <v>88</v>
      </c>
      <c r="D5" s="238"/>
    </row>
    <row r="6" spans="1:4" ht="15" x14ac:dyDescent="0.25">
      <c r="A6" s="63" t="s">
        <v>45</v>
      </c>
      <c r="B6" s="63"/>
      <c r="C6" s="63" t="s">
        <v>87</v>
      </c>
      <c r="D6" s="63"/>
    </row>
    <row r="7" spans="1:4" ht="15" x14ac:dyDescent="0.25">
      <c r="A7" s="64">
        <v>-1</v>
      </c>
      <c r="B7" s="62"/>
      <c r="C7" s="62"/>
      <c r="D7" s="62"/>
    </row>
    <row r="9" spans="1:4" ht="15" x14ac:dyDescent="0.25">
      <c r="A9" s="62" t="s">
        <v>59</v>
      </c>
      <c r="B9" s="62"/>
      <c r="C9" s="65">
        <v>2026629558</v>
      </c>
      <c r="D9" s="65"/>
    </row>
    <row r="10" spans="1:4" ht="15" x14ac:dyDescent="0.25">
      <c r="A10" s="62" t="s">
        <v>60</v>
      </c>
      <c r="B10" s="62"/>
      <c r="C10" s="65">
        <v>134868134</v>
      </c>
      <c r="D10" s="65"/>
    </row>
    <row r="11" spans="1:4" ht="15" x14ac:dyDescent="0.25">
      <c r="A11" s="62" t="s">
        <v>61</v>
      </c>
      <c r="B11" s="62"/>
      <c r="C11" s="65">
        <v>463412833</v>
      </c>
      <c r="D11" s="65">
        <v>2119598</v>
      </c>
    </row>
    <row r="12" spans="1:4" ht="15" x14ac:dyDescent="0.25">
      <c r="A12" s="62" t="s">
        <v>73</v>
      </c>
      <c r="B12" s="62"/>
      <c r="C12" s="65">
        <v>4331107</v>
      </c>
      <c r="D12" s="65"/>
    </row>
    <row r="13" spans="1:4" ht="15" x14ac:dyDescent="0.25">
      <c r="A13" s="62" t="s">
        <v>62</v>
      </c>
      <c r="B13" s="62"/>
      <c r="C13" s="65">
        <f>528889684+108026584</f>
        <v>636916268</v>
      </c>
      <c r="D13" s="65">
        <v>2169269</v>
      </c>
    </row>
    <row r="14" spans="1:4" ht="15" x14ac:dyDescent="0.25">
      <c r="A14" s="62" t="s">
        <v>74</v>
      </c>
      <c r="B14" s="62"/>
      <c r="C14" s="65">
        <v>2114142</v>
      </c>
      <c r="D14" s="65"/>
    </row>
    <row r="15" spans="1:4" ht="15" x14ac:dyDescent="0.25">
      <c r="A15" s="62" t="s">
        <v>75</v>
      </c>
      <c r="B15" s="62"/>
      <c r="C15" s="65">
        <v>2542381500</v>
      </c>
      <c r="D15" s="65">
        <v>5429712</v>
      </c>
    </row>
    <row r="16" spans="1:4" ht="15" x14ac:dyDescent="0.25">
      <c r="A16" s="62" t="s">
        <v>65</v>
      </c>
      <c r="B16" s="62"/>
      <c r="C16" s="65">
        <v>2025020</v>
      </c>
      <c r="D16" s="65"/>
    </row>
    <row r="17" spans="1:7" ht="15" x14ac:dyDescent="0.25">
      <c r="A17" s="62" t="s">
        <v>66</v>
      </c>
      <c r="B17" s="62"/>
      <c r="C17" s="65">
        <v>42609936</v>
      </c>
      <c r="D17" s="65"/>
    </row>
    <row r="18" spans="1:7" ht="15" x14ac:dyDescent="0.25">
      <c r="A18" s="62" t="s">
        <v>67</v>
      </c>
      <c r="B18" s="62"/>
      <c r="C18" s="65">
        <v>8534845</v>
      </c>
      <c r="D18" s="65"/>
    </row>
    <row r="19" spans="1:7" ht="15" x14ac:dyDescent="0.25">
      <c r="A19" s="62"/>
      <c r="B19" s="62"/>
      <c r="C19" s="65"/>
      <c r="D19" s="65"/>
    </row>
    <row r="20" spans="1:7" x14ac:dyDescent="0.3">
      <c r="A20" s="62" t="s">
        <v>21</v>
      </c>
      <c r="B20" s="62"/>
      <c r="C20" s="66">
        <f>SUM(C9:C18)</f>
        <v>5863823343</v>
      </c>
      <c r="D20" s="66"/>
    </row>
    <row r="23" spans="1:7" x14ac:dyDescent="0.3">
      <c r="A23" s="236" t="s">
        <v>100</v>
      </c>
      <c r="B23" s="236"/>
      <c r="C23" s="236"/>
      <c r="D23" s="236"/>
    </row>
    <row r="24" spans="1:7" x14ac:dyDescent="0.3">
      <c r="A24" s="236" t="s">
        <v>99</v>
      </c>
      <c r="B24" s="236"/>
      <c r="C24" s="236"/>
      <c r="D24" s="236"/>
      <c r="G24" s="99"/>
    </row>
    <row r="25" spans="1:7" s="92" customFormat="1" ht="12.75" x14ac:dyDescent="0.2">
      <c r="A25" s="84"/>
      <c r="D25" s="87" t="s">
        <v>76</v>
      </c>
      <c r="E25" s="84"/>
      <c r="G25" s="87"/>
    </row>
    <row r="26" spans="1:7" s="92" customFormat="1" ht="13.2" customHeight="1" x14ac:dyDescent="0.2">
      <c r="A26" s="84" t="s">
        <v>77</v>
      </c>
      <c r="D26" s="221">
        <v>13058749</v>
      </c>
      <c r="E26" s="84" t="s">
        <v>78</v>
      </c>
      <c r="G26" s="88"/>
    </row>
    <row r="27" spans="1:7" s="92" customFormat="1" ht="12.75" x14ac:dyDescent="0.2">
      <c r="A27" s="84" t="s">
        <v>79</v>
      </c>
      <c r="D27" s="221">
        <f>'PJM Cost Estimate'!B10+27500</f>
        <v>1322452.2552401924</v>
      </c>
      <c r="E27" s="84" t="s">
        <v>80</v>
      </c>
      <c r="F27" s="92" t="s">
        <v>192</v>
      </c>
      <c r="G27" s="88"/>
    </row>
    <row r="28" spans="1:7" s="92" customFormat="1" ht="13.2" x14ac:dyDescent="0.25">
      <c r="A28" s="84" t="s">
        <v>103</v>
      </c>
      <c r="D28" s="221">
        <f>'Net Plant'!B6*0.986</f>
        <v>2052198.5217695641</v>
      </c>
      <c r="E28" s="84" t="s">
        <v>104</v>
      </c>
      <c r="G28" s="88"/>
    </row>
    <row r="29" spans="1:7" s="92" customFormat="1" ht="12.75" x14ac:dyDescent="0.2">
      <c r="A29" s="84" t="s">
        <v>17</v>
      </c>
      <c r="D29" s="221">
        <v>253819.77037601004</v>
      </c>
      <c r="E29" s="84" t="s">
        <v>105</v>
      </c>
      <c r="G29" s="114"/>
    </row>
    <row r="30" spans="1:7" s="92" customFormat="1" ht="12.75" x14ac:dyDescent="0.2">
      <c r="A30" s="84" t="s">
        <v>13</v>
      </c>
      <c r="D30" s="222">
        <v>100000</v>
      </c>
      <c r="E30" s="84" t="s">
        <v>106</v>
      </c>
      <c r="G30" s="114"/>
    </row>
    <row r="31" spans="1:7" s="92" customFormat="1" ht="12.75" x14ac:dyDescent="0.2">
      <c r="A31" s="89" t="s">
        <v>81</v>
      </c>
      <c r="D31" s="221">
        <f>SUM(D26:D30)</f>
        <v>16787219.547385767</v>
      </c>
      <c r="E31" s="84" t="s">
        <v>107</v>
      </c>
      <c r="G31" s="114"/>
    </row>
    <row r="32" spans="1:7" s="92" customFormat="1" ht="12.75" x14ac:dyDescent="0.2">
      <c r="A32" s="89" t="s">
        <v>82</v>
      </c>
      <c r="D32" s="223">
        <v>1.004977</v>
      </c>
      <c r="E32" s="84" t="s">
        <v>108</v>
      </c>
      <c r="G32" s="115"/>
    </row>
    <row r="33" spans="1:7" s="92" customFormat="1" ht="12.75" x14ac:dyDescent="0.2">
      <c r="A33" s="89" t="s">
        <v>144</v>
      </c>
      <c r="D33" s="223">
        <v>0.98599999999999999</v>
      </c>
      <c r="E33" s="84" t="s">
        <v>145</v>
      </c>
      <c r="G33" s="115"/>
    </row>
    <row r="34" spans="1:7" s="92" customFormat="1" ht="12.75" x14ac:dyDescent="0.2">
      <c r="A34" s="89" t="s">
        <v>83</v>
      </c>
      <c r="D34" s="224">
        <f>D31*D32*D33</f>
        <v>16634578.765526082</v>
      </c>
      <c r="E34" s="84" t="s">
        <v>146</v>
      </c>
      <c r="G34" s="114"/>
    </row>
    <row r="35" spans="1:7" s="92" customFormat="1" ht="13.2" x14ac:dyDescent="0.25">
      <c r="A35" s="93"/>
      <c r="D35" s="94"/>
      <c r="G35" s="116"/>
    </row>
    <row r="36" spans="1:7" s="92" customFormat="1" ht="12.75" x14ac:dyDescent="0.2">
      <c r="A36" s="95" t="s">
        <v>93</v>
      </c>
      <c r="D36" s="225">
        <f>'Net Plant'!B11</f>
        <v>44053773.377833262</v>
      </c>
      <c r="E36" s="84" t="s">
        <v>109</v>
      </c>
      <c r="G36" s="117"/>
    </row>
    <row r="37" spans="1:7" s="92" customFormat="1" ht="12.75" x14ac:dyDescent="0.2">
      <c r="A37" s="95" t="s">
        <v>94</v>
      </c>
      <c r="D37" s="226">
        <v>0.10128</v>
      </c>
      <c r="E37" s="84" t="s">
        <v>110</v>
      </c>
      <c r="G37" s="118"/>
    </row>
    <row r="38" spans="1:7" s="92" customFormat="1" ht="12.75" x14ac:dyDescent="0.2">
      <c r="A38" s="90" t="s">
        <v>98</v>
      </c>
      <c r="D38" s="88">
        <f>D37*D36</f>
        <v>4461766.1677069524</v>
      </c>
      <c r="E38" s="84" t="s">
        <v>111</v>
      </c>
      <c r="G38" s="114"/>
    </row>
    <row r="39" spans="1:7" s="92" customFormat="1" ht="12.75" x14ac:dyDescent="0.2">
      <c r="A39" s="93"/>
      <c r="D39" s="94"/>
      <c r="G39" s="116"/>
    </row>
    <row r="40" spans="1:7" s="92" customFormat="1" ht="13.2" x14ac:dyDescent="0.25">
      <c r="A40" s="89" t="s">
        <v>84</v>
      </c>
      <c r="D40" s="88">
        <f>(D26+D28+D29)*D32+D38</f>
        <v>19903003.906665534</v>
      </c>
      <c r="E40" s="85" t="s">
        <v>112</v>
      </c>
      <c r="G40" s="114"/>
    </row>
    <row r="41" spans="1:7" s="92" customFormat="1" ht="13.2" x14ac:dyDescent="0.25">
      <c r="A41" s="89" t="s">
        <v>102</v>
      </c>
      <c r="D41" s="91">
        <f>(D27++D30)*D32</f>
        <v>1429531.8001145229</v>
      </c>
      <c r="E41" s="85" t="s">
        <v>113</v>
      </c>
      <c r="G41" s="114"/>
    </row>
    <row r="42" spans="1:7" s="92" customFormat="1" ht="13.2" x14ac:dyDescent="0.25">
      <c r="A42" s="90" t="s">
        <v>21</v>
      </c>
      <c r="D42" s="88">
        <f>SUM(D40:D41)</f>
        <v>21332535.706780057</v>
      </c>
      <c r="E42" s="84"/>
      <c r="G42" s="114"/>
    </row>
    <row r="43" spans="1:7" s="92" customFormat="1" ht="13.2" x14ac:dyDescent="0.25">
      <c r="G43" s="93"/>
    </row>
    <row r="44" spans="1:7" s="92" customFormat="1" ht="13.2" x14ac:dyDescent="0.25">
      <c r="G44" s="93"/>
    </row>
    <row r="45" spans="1:7" s="92" customFormat="1" ht="13.2" x14ac:dyDescent="0.25">
      <c r="G45" s="93"/>
    </row>
    <row r="46" spans="1:7" s="92" customFormat="1" ht="13.2" x14ac:dyDescent="0.25">
      <c r="G46" s="93"/>
    </row>
    <row r="47" spans="1:7" s="92" customFormat="1" ht="13.2" x14ac:dyDescent="0.25">
      <c r="A47" s="233" t="s">
        <v>86</v>
      </c>
      <c r="B47" s="233"/>
      <c r="C47" s="233"/>
      <c r="D47" s="233"/>
      <c r="G47" s="93"/>
    </row>
    <row r="48" spans="1:7" s="92" customFormat="1" ht="13.2" x14ac:dyDescent="0.25">
      <c r="A48" s="84" t="s">
        <v>84</v>
      </c>
      <c r="C48" s="94">
        <f>D40/D42*C50</f>
        <v>5599784.6546769422</v>
      </c>
      <c r="D48" s="96">
        <f>ROUND(D40+C48,4)</f>
        <v>25502788.561299998</v>
      </c>
      <c r="G48" s="93"/>
    </row>
    <row r="49" spans="1:7" s="92" customFormat="1" ht="15" x14ac:dyDescent="0.4">
      <c r="A49" s="89" t="s">
        <v>85</v>
      </c>
      <c r="C49" s="97">
        <f>D41/D42*C50</f>
        <v>402204.12331693835</v>
      </c>
      <c r="D49" s="98">
        <f>ROUND(D41+C49,4)</f>
        <v>1831735.9234</v>
      </c>
      <c r="G49" s="93"/>
    </row>
    <row r="50" spans="1:7" s="92" customFormat="1" ht="13.2" x14ac:dyDescent="0.25">
      <c r="A50" s="90" t="s">
        <v>21</v>
      </c>
      <c r="C50" s="94">
        <f>'BS1 Form 1.0'!G19</f>
        <v>6001988.7779938802</v>
      </c>
      <c r="D50" s="96">
        <f>SUM(D48:D49)</f>
        <v>27334524.484699998</v>
      </c>
      <c r="G50" s="93"/>
    </row>
  </sheetData>
  <mergeCells count="7">
    <mergeCell ref="A47:D47"/>
    <mergeCell ref="A1:D1"/>
    <mergeCell ref="A2:D2"/>
    <mergeCell ref="A3:D3"/>
    <mergeCell ref="A23:D23"/>
    <mergeCell ref="A24:D24"/>
    <mergeCell ref="C5:D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12" sqref="A12"/>
    </sheetView>
  </sheetViews>
  <sheetFormatPr defaultRowHeight="14.4" x14ac:dyDescent="0.3"/>
  <cols>
    <col min="1" max="1" width="31.88671875" customWidth="1"/>
    <col min="2" max="2" width="15" customWidth="1"/>
    <col min="3" max="3" width="15.33203125" bestFit="1" customWidth="1"/>
    <col min="4" max="14" width="12.5546875" bestFit="1" customWidth="1"/>
  </cols>
  <sheetData>
    <row r="1" spans="1:14" x14ac:dyDescent="0.25">
      <c r="A1" s="9" t="s">
        <v>127</v>
      </c>
    </row>
    <row r="2" spans="1:14" x14ac:dyDescent="0.25">
      <c r="A2" s="9"/>
    </row>
    <row r="3" spans="1:14" x14ac:dyDescent="0.25">
      <c r="B3" s="1" t="s">
        <v>123</v>
      </c>
      <c r="C3" s="102">
        <v>42552</v>
      </c>
      <c r="D3" s="102">
        <v>42583</v>
      </c>
      <c r="E3" s="102">
        <v>42614</v>
      </c>
      <c r="F3" s="102">
        <v>42644</v>
      </c>
      <c r="G3" s="102">
        <v>42675</v>
      </c>
      <c r="H3" s="102">
        <v>42705</v>
      </c>
      <c r="I3" s="102">
        <v>42736</v>
      </c>
      <c r="J3" s="102">
        <v>42767</v>
      </c>
      <c r="K3" s="102">
        <v>42795</v>
      </c>
      <c r="L3" s="102">
        <v>42826</v>
      </c>
      <c r="M3" s="102">
        <v>42856</v>
      </c>
      <c r="N3" s="102">
        <v>42887</v>
      </c>
    </row>
    <row r="4" spans="1:14" x14ac:dyDescent="0.25">
      <c r="A4" t="s">
        <v>188</v>
      </c>
      <c r="B4" s="81">
        <f>AVERAGE(C4:N4)</f>
        <v>55061831.830000006</v>
      </c>
      <c r="C4" s="86">
        <v>55061831.829999998</v>
      </c>
      <c r="D4" s="86">
        <v>55061831.829999998</v>
      </c>
      <c r="E4" s="86">
        <v>55061831.829999998</v>
      </c>
      <c r="F4" s="86">
        <v>55061831.829999998</v>
      </c>
      <c r="G4" s="86">
        <v>55061831.829999998</v>
      </c>
      <c r="H4" s="86">
        <v>55061831.829999998</v>
      </c>
      <c r="I4" s="86">
        <v>55061831.829999998</v>
      </c>
      <c r="J4" s="86">
        <v>55061831.829999998</v>
      </c>
      <c r="K4" s="86">
        <v>55061831.829999998</v>
      </c>
      <c r="L4" s="86">
        <v>55061831.829999998</v>
      </c>
      <c r="M4" s="86">
        <v>55061831.829999998</v>
      </c>
      <c r="N4" s="86">
        <v>55061831.829999998</v>
      </c>
    </row>
    <row r="5" spans="1:14" x14ac:dyDescent="0.25">
      <c r="A5" t="s">
        <v>126</v>
      </c>
      <c r="B5" s="81">
        <f>AVERAGE(C5:N5)</f>
        <v>1127391.0067192502</v>
      </c>
      <c r="C5" s="81">
        <f>C6</f>
        <v>173444.7702645</v>
      </c>
      <c r="D5" s="81">
        <f t="shared" ref="D5:N5" si="0">C5+D6</f>
        <v>346889.54052899999</v>
      </c>
      <c r="E5" s="81">
        <f t="shared" si="0"/>
        <v>520334.31079349999</v>
      </c>
      <c r="F5" s="81">
        <f t="shared" si="0"/>
        <v>693779.08105799998</v>
      </c>
      <c r="G5" s="81">
        <f t="shared" si="0"/>
        <v>867223.85132250004</v>
      </c>
      <c r="H5" s="81">
        <f t="shared" si="0"/>
        <v>1040668.6215870001</v>
      </c>
      <c r="I5" s="81">
        <f t="shared" si="0"/>
        <v>1214113.3918515001</v>
      </c>
      <c r="J5" s="81">
        <f t="shared" si="0"/>
        <v>1387558.1621160002</v>
      </c>
      <c r="K5" s="81">
        <f t="shared" si="0"/>
        <v>1561002.9323805002</v>
      </c>
      <c r="L5" s="81">
        <f t="shared" si="0"/>
        <v>1734447.7026450003</v>
      </c>
      <c r="M5" s="81">
        <f t="shared" si="0"/>
        <v>1907892.4729095004</v>
      </c>
      <c r="N5" s="81">
        <f t="shared" si="0"/>
        <v>2081337.2431740004</v>
      </c>
    </row>
    <row r="6" spans="1:14" x14ac:dyDescent="0.25">
      <c r="A6" t="s">
        <v>124</v>
      </c>
      <c r="B6" s="81">
        <f>B4*0.0378</f>
        <v>2081337.2431740002</v>
      </c>
      <c r="C6" s="86">
        <f t="shared" ref="C6:N6" si="1">C4*0.0378/12</f>
        <v>173444.7702645</v>
      </c>
      <c r="D6" s="86">
        <f t="shared" si="1"/>
        <v>173444.7702645</v>
      </c>
      <c r="E6" s="86">
        <f t="shared" si="1"/>
        <v>173444.7702645</v>
      </c>
      <c r="F6" s="86">
        <f t="shared" si="1"/>
        <v>173444.7702645</v>
      </c>
      <c r="G6" s="86">
        <f t="shared" si="1"/>
        <v>173444.7702645</v>
      </c>
      <c r="H6" s="86">
        <f t="shared" si="1"/>
        <v>173444.7702645</v>
      </c>
      <c r="I6" s="86">
        <f t="shared" si="1"/>
        <v>173444.7702645</v>
      </c>
      <c r="J6" s="86">
        <f t="shared" si="1"/>
        <v>173444.7702645</v>
      </c>
      <c r="K6" s="86">
        <f t="shared" si="1"/>
        <v>173444.7702645</v>
      </c>
      <c r="L6" s="86">
        <f t="shared" si="1"/>
        <v>173444.7702645</v>
      </c>
      <c r="M6" s="86">
        <f t="shared" si="1"/>
        <v>173444.7702645</v>
      </c>
      <c r="N6" s="86">
        <f t="shared" si="1"/>
        <v>173444.7702645</v>
      </c>
    </row>
    <row r="7" spans="1:14" x14ac:dyDescent="0.25">
      <c r="A7" s="104" t="s">
        <v>125</v>
      </c>
      <c r="B7" s="105">
        <f>B4*0.5</f>
        <v>27530915.915000003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x14ac:dyDescent="0.25">
      <c r="A8" s="104" t="s">
        <v>128</v>
      </c>
      <c r="B8" s="105">
        <f>(B4*0.5)*0.036095</f>
        <v>993728.40995192516</v>
      </c>
    </row>
    <row r="9" spans="1:14" x14ac:dyDescent="0.25">
      <c r="A9" t="s">
        <v>122</v>
      </c>
      <c r="B9" s="86">
        <f>((B7+B8)-B6)*0.35</f>
        <v>9255157.4786222745</v>
      </c>
    </row>
    <row r="10" spans="1:14" x14ac:dyDescent="0.25">
      <c r="A10" t="s">
        <v>141</v>
      </c>
      <c r="B10">
        <v>0.98599999999999999</v>
      </c>
    </row>
    <row r="11" spans="1:14" x14ac:dyDescent="0.25">
      <c r="A11" s="9" t="s">
        <v>140</v>
      </c>
      <c r="B11" s="103">
        <f>(B4-B5-B9)*B10</f>
        <v>44053773.377833262</v>
      </c>
    </row>
    <row r="15" spans="1:14" x14ac:dyDescent="0.3">
      <c r="A15" t="s">
        <v>196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C10"/>
  <sheetViews>
    <sheetView workbookViewId="0">
      <selection activeCell="G35" sqref="G35"/>
    </sheetView>
  </sheetViews>
  <sheetFormatPr defaultRowHeight="14.4" x14ac:dyDescent="0.3"/>
  <cols>
    <col min="1" max="1" width="30" bestFit="1" customWidth="1"/>
    <col min="2" max="2" width="14.33203125" bestFit="1" customWidth="1"/>
  </cols>
  <sheetData>
    <row r="4" spans="1:3" ht="15" x14ac:dyDescent="0.25">
      <c r="A4" t="s">
        <v>134</v>
      </c>
      <c r="B4" s="3">
        <f>1336*1000</f>
        <v>1336000</v>
      </c>
      <c r="C4" t="s">
        <v>78</v>
      </c>
    </row>
    <row r="5" spans="1:3" ht="15" x14ac:dyDescent="0.25">
      <c r="A5" t="s">
        <v>129</v>
      </c>
      <c r="B5" s="106">
        <v>-9.0029515268476107E-2</v>
      </c>
      <c r="C5" t="s">
        <v>80</v>
      </c>
    </row>
    <row r="6" spans="1:3" x14ac:dyDescent="0.3">
      <c r="A6" t="s">
        <v>130</v>
      </c>
      <c r="B6" s="106">
        <v>0.95114768986263898</v>
      </c>
      <c r="C6" t="s">
        <v>104</v>
      </c>
    </row>
    <row r="7" spans="1:3" ht="15" x14ac:dyDescent="0.25">
      <c r="A7" t="s">
        <v>131</v>
      </c>
      <c r="B7">
        <v>0.12192000000000001</v>
      </c>
      <c r="C7" t="s">
        <v>135</v>
      </c>
    </row>
    <row r="8" spans="1:3" ht="15" x14ac:dyDescent="0.25">
      <c r="A8" s="107" t="s">
        <v>132</v>
      </c>
      <c r="B8" s="108">
        <f>SUM(B5:B7)</f>
        <v>0.98303817459416287</v>
      </c>
      <c r="C8" s="109" t="s">
        <v>136</v>
      </c>
    </row>
    <row r="9" spans="1:3" ht="15" x14ac:dyDescent="0.25">
      <c r="A9" t="s">
        <v>133</v>
      </c>
      <c r="B9" s="86">
        <f>B8*B4</f>
        <v>1313339.0012578017</v>
      </c>
      <c r="C9" s="109" t="s">
        <v>137</v>
      </c>
    </row>
    <row r="10" spans="1:3" ht="15" x14ac:dyDescent="0.25">
      <c r="A10" t="s">
        <v>138</v>
      </c>
      <c r="B10" s="86">
        <f>B9*0.986</f>
        <v>1294952.2552401924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8" topLeftCell="A9" activePane="bottomLeft" state="frozen"/>
      <selection activeCell="M27" sqref="M27"/>
      <selection pane="bottomLeft" activeCell="V26" sqref="V26"/>
    </sheetView>
  </sheetViews>
  <sheetFormatPr defaultRowHeight="13.2" x14ac:dyDescent="0.25"/>
  <cols>
    <col min="1" max="1" width="10.6640625" style="127" customWidth="1"/>
    <col min="2" max="2" width="5" style="126" bestFit="1" customWidth="1"/>
    <col min="3" max="3" width="0.33203125" style="127" customWidth="1"/>
    <col min="4" max="4" width="12.6640625" style="127" customWidth="1"/>
    <col min="5" max="5" width="0.33203125" style="127" customWidth="1"/>
    <col min="6" max="6" width="15.6640625" style="127" customWidth="1"/>
    <col min="7" max="7" width="0.33203125" style="127" customWidth="1"/>
    <col min="8" max="8" width="12.88671875" style="127" customWidth="1"/>
    <col min="9" max="9" width="0.33203125" style="127" customWidth="1"/>
    <col min="10" max="10" width="12.6640625" style="127" customWidth="1"/>
    <col min="11" max="11" width="3.6640625" style="127" customWidth="1"/>
    <col min="12" max="12" width="0.33203125" style="127" customWidth="1"/>
    <col min="13" max="13" width="12.6640625" style="127" customWidth="1"/>
    <col min="14" max="14" width="0.33203125" style="127" customWidth="1"/>
    <col min="15" max="15" width="10.33203125" style="127" customWidth="1"/>
    <col min="16" max="16" width="0.33203125" style="127" customWidth="1"/>
    <col min="17" max="17" width="0.109375" style="127" customWidth="1"/>
    <col min="18" max="18" width="0.33203125" style="127" hidden="1" customWidth="1"/>
    <col min="19" max="19" width="12" style="127" bestFit="1" customWidth="1"/>
    <col min="20" max="20" width="3.44140625" style="127" customWidth="1"/>
    <col min="21" max="256" width="8.88671875" style="127"/>
    <col min="257" max="257" width="10.6640625" style="127" customWidth="1"/>
    <col min="258" max="258" width="5" style="127" bestFit="1" customWidth="1"/>
    <col min="259" max="259" width="0.33203125" style="127" customWidth="1"/>
    <col min="260" max="260" width="12.6640625" style="127" customWidth="1"/>
    <col min="261" max="261" width="0.33203125" style="127" customWidth="1"/>
    <col min="262" max="262" width="15.6640625" style="127" customWidth="1"/>
    <col min="263" max="263" width="0.33203125" style="127" customWidth="1"/>
    <col min="264" max="264" width="12.88671875" style="127" customWidth="1"/>
    <col min="265" max="265" width="0.33203125" style="127" customWidth="1"/>
    <col min="266" max="266" width="12.6640625" style="127" customWidth="1"/>
    <col min="267" max="267" width="3.6640625" style="127" customWidth="1"/>
    <col min="268" max="268" width="0.33203125" style="127" customWidth="1"/>
    <col min="269" max="269" width="12.6640625" style="127" customWidth="1"/>
    <col min="270" max="270" width="0.33203125" style="127" customWidth="1"/>
    <col min="271" max="271" width="9.6640625" style="127" customWidth="1"/>
    <col min="272" max="272" width="0.33203125" style="127" customWidth="1"/>
    <col min="273" max="273" width="3.6640625" style="127" customWidth="1"/>
    <col min="274" max="274" width="0.33203125" style="127" customWidth="1"/>
    <col min="275" max="275" width="12" style="127" bestFit="1" customWidth="1"/>
    <col min="276" max="276" width="2.33203125" style="127" customWidth="1"/>
    <col min="277" max="512" width="8.88671875" style="127"/>
    <col min="513" max="513" width="10.6640625" style="127" customWidth="1"/>
    <col min="514" max="514" width="5" style="127" bestFit="1" customWidth="1"/>
    <col min="515" max="515" width="0.33203125" style="127" customWidth="1"/>
    <col min="516" max="516" width="12.6640625" style="127" customWidth="1"/>
    <col min="517" max="517" width="0.33203125" style="127" customWidth="1"/>
    <col min="518" max="518" width="15.6640625" style="127" customWidth="1"/>
    <col min="519" max="519" width="0.33203125" style="127" customWidth="1"/>
    <col min="520" max="520" width="12.88671875" style="127" customWidth="1"/>
    <col min="521" max="521" width="0.33203125" style="127" customWidth="1"/>
    <col min="522" max="522" width="12.6640625" style="127" customWidth="1"/>
    <col min="523" max="523" width="3.6640625" style="127" customWidth="1"/>
    <col min="524" max="524" width="0.33203125" style="127" customWidth="1"/>
    <col min="525" max="525" width="12.6640625" style="127" customWidth="1"/>
    <col min="526" max="526" width="0.33203125" style="127" customWidth="1"/>
    <col min="527" max="527" width="9.6640625" style="127" customWidth="1"/>
    <col min="528" max="528" width="0.33203125" style="127" customWidth="1"/>
    <col min="529" max="529" width="3.6640625" style="127" customWidth="1"/>
    <col min="530" max="530" width="0.33203125" style="127" customWidth="1"/>
    <col min="531" max="531" width="12" style="127" bestFit="1" customWidth="1"/>
    <col min="532" max="532" width="2.33203125" style="127" customWidth="1"/>
    <col min="533" max="768" width="8.88671875" style="127"/>
    <col min="769" max="769" width="10.6640625" style="127" customWidth="1"/>
    <col min="770" max="770" width="5" style="127" bestFit="1" customWidth="1"/>
    <col min="771" max="771" width="0.33203125" style="127" customWidth="1"/>
    <col min="772" max="772" width="12.6640625" style="127" customWidth="1"/>
    <col min="773" max="773" width="0.33203125" style="127" customWidth="1"/>
    <col min="774" max="774" width="15.6640625" style="127" customWidth="1"/>
    <col min="775" max="775" width="0.33203125" style="127" customWidth="1"/>
    <col min="776" max="776" width="12.88671875" style="127" customWidth="1"/>
    <col min="777" max="777" width="0.33203125" style="127" customWidth="1"/>
    <col min="778" max="778" width="12.6640625" style="127" customWidth="1"/>
    <col min="779" max="779" width="3.6640625" style="127" customWidth="1"/>
    <col min="780" max="780" width="0.33203125" style="127" customWidth="1"/>
    <col min="781" max="781" width="12.6640625" style="127" customWidth="1"/>
    <col min="782" max="782" width="0.33203125" style="127" customWidth="1"/>
    <col min="783" max="783" width="9.6640625" style="127" customWidth="1"/>
    <col min="784" max="784" width="0.33203125" style="127" customWidth="1"/>
    <col min="785" max="785" width="3.6640625" style="127" customWidth="1"/>
    <col min="786" max="786" width="0.33203125" style="127" customWidth="1"/>
    <col min="787" max="787" width="12" style="127" bestFit="1" customWidth="1"/>
    <col min="788" max="788" width="2.33203125" style="127" customWidth="1"/>
    <col min="789" max="1024" width="8.88671875" style="127"/>
    <col min="1025" max="1025" width="10.6640625" style="127" customWidth="1"/>
    <col min="1026" max="1026" width="5" style="127" bestFit="1" customWidth="1"/>
    <col min="1027" max="1027" width="0.33203125" style="127" customWidth="1"/>
    <col min="1028" max="1028" width="12.6640625" style="127" customWidth="1"/>
    <col min="1029" max="1029" width="0.33203125" style="127" customWidth="1"/>
    <col min="1030" max="1030" width="15.6640625" style="127" customWidth="1"/>
    <col min="1031" max="1031" width="0.33203125" style="127" customWidth="1"/>
    <col min="1032" max="1032" width="12.88671875" style="127" customWidth="1"/>
    <col min="1033" max="1033" width="0.33203125" style="127" customWidth="1"/>
    <col min="1034" max="1034" width="12.6640625" style="127" customWidth="1"/>
    <col min="1035" max="1035" width="3.6640625" style="127" customWidth="1"/>
    <col min="1036" max="1036" width="0.33203125" style="127" customWidth="1"/>
    <col min="1037" max="1037" width="12.6640625" style="127" customWidth="1"/>
    <col min="1038" max="1038" width="0.33203125" style="127" customWidth="1"/>
    <col min="1039" max="1039" width="9.6640625" style="127" customWidth="1"/>
    <col min="1040" max="1040" width="0.33203125" style="127" customWidth="1"/>
    <col min="1041" max="1041" width="3.6640625" style="127" customWidth="1"/>
    <col min="1042" max="1042" width="0.33203125" style="127" customWidth="1"/>
    <col min="1043" max="1043" width="12" style="127" bestFit="1" customWidth="1"/>
    <col min="1044" max="1044" width="2.33203125" style="127" customWidth="1"/>
    <col min="1045" max="1280" width="8.88671875" style="127"/>
    <col min="1281" max="1281" width="10.6640625" style="127" customWidth="1"/>
    <col min="1282" max="1282" width="5" style="127" bestFit="1" customWidth="1"/>
    <col min="1283" max="1283" width="0.33203125" style="127" customWidth="1"/>
    <col min="1284" max="1284" width="12.6640625" style="127" customWidth="1"/>
    <col min="1285" max="1285" width="0.33203125" style="127" customWidth="1"/>
    <col min="1286" max="1286" width="15.6640625" style="127" customWidth="1"/>
    <col min="1287" max="1287" width="0.33203125" style="127" customWidth="1"/>
    <col min="1288" max="1288" width="12.88671875" style="127" customWidth="1"/>
    <col min="1289" max="1289" width="0.33203125" style="127" customWidth="1"/>
    <col min="1290" max="1290" width="12.6640625" style="127" customWidth="1"/>
    <col min="1291" max="1291" width="3.6640625" style="127" customWidth="1"/>
    <col min="1292" max="1292" width="0.33203125" style="127" customWidth="1"/>
    <col min="1293" max="1293" width="12.6640625" style="127" customWidth="1"/>
    <col min="1294" max="1294" width="0.33203125" style="127" customWidth="1"/>
    <col min="1295" max="1295" width="9.6640625" style="127" customWidth="1"/>
    <col min="1296" max="1296" width="0.33203125" style="127" customWidth="1"/>
    <col min="1297" max="1297" width="3.6640625" style="127" customWidth="1"/>
    <col min="1298" max="1298" width="0.33203125" style="127" customWidth="1"/>
    <col min="1299" max="1299" width="12" style="127" bestFit="1" customWidth="1"/>
    <col min="1300" max="1300" width="2.33203125" style="127" customWidth="1"/>
    <col min="1301" max="1536" width="8.88671875" style="127"/>
    <col min="1537" max="1537" width="10.6640625" style="127" customWidth="1"/>
    <col min="1538" max="1538" width="5" style="127" bestFit="1" customWidth="1"/>
    <col min="1539" max="1539" width="0.33203125" style="127" customWidth="1"/>
    <col min="1540" max="1540" width="12.6640625" style="127" customWidth="1"/>
    <col min="1541" max="1541" width="0.33203125" style="127" customWidth="1"/>
    <col min="1542" max="1542" width="15.6640625" style="127" customWidth="1"/>
    <col min="1543" max="1543" width="0.33203125" style="127" customWidth="1"/>
    <col min="1544" max="1544" width="12.88671875" style="127" customWidth="1"/>
    <col min="1545" max="1545" width="0.33203125" style="127" customWidth="1"/>
    <col min="1546" max="1546" width="12.6640625" style="127" customWidth="1"/>
    <col min="1547" max="1547" width="3.6640625" style="127" customWidth="1"/>
    <col min="1548" max="1548" width="0.33203125" style="127" customWidth="1"/>
    <col min="1549" max="1549" width="12.6640625" style="127" customWidth="1"/>
    <col min="1550" max="1550" width="0.33203125" style="127" customWidth="1"/>
    <col min="1551" max="1551" width="9.6640625" style="127" customWidth="1"/>
    <col min="1552" max="1552" width="0.33203125" style="127" customWidth="1"/>
    <col min="1553" max="1553" width="3.6640625" style="127" customWidth="1"/>
    <col min="1554" max="1554" width="0.33203125" style="127" customWidth="1"/>
    <col min="1555" max="1555" width="12" style="127" bestFit="1" customWidth="1"/>
    <col min="1556" max="1556" width="2.33203125" style="127" customWidth="1"/>
    <col min="1557" max="1792" width="8.88671875" style="127"/>
    <col min="1793" max="1793" width="10.6640625" style="127" customWidth="1"/>
    <col min="1794" max="1794" width="5" style="127" bestFit="1" customWidth="1"/>
    <col min="1795" max="1795" width="0.33203125" style="127" customWidth="1"/>
    <col min="1796" max="1796" width="12.6640625" style="127" customWidth="1"/>
    <col min="1797" max="1797" width="0.33203125" style="127" customWidth="1"/>
    <col min="1798" max="1798" width="15.6640625" style="127" customWidth="1"/>
    <col min="1799" max="1799" width="0.33203125" style="127" customWidth="1"/>
    <col min="1800" max="1800" width="12.88671875" style="127" customWidth="1"/>
    <col min="1801" max="1801" width="0.33203125" style="127" customWidth="1"/>
    <col min="1802" max="1802" width="12.6640625" style="127" customWidth="1"/>
    <col min="1803" max="1803" width="3.6640625" style="127" customWidth="1"/>
    <col min="1804" max="1804" width="0.33203125" style="127" customWidth="1"/>
    <col min="1805" max="1805" width="12.6640625" style="127" customWidth="1"/>
    <col min="1806" max="1806" width="0.33203125" style="127" customWidth="1"/>
    <col min="1807" max="1807" width="9.6640625" style="127" customWidth="1"/>
    <col min="1808" max="1808" width="0.33203125" style="127" customWidth="1"/>
    <col min="1809" max="1809" width="3.6640625" style="127" customWidth="1"/>
    <col min="1810" max="1810" width="0.33203125" style="127" customWidth="1"/>
    <col min="1811" max="1811" width="12" style="127" bestFit="1" customWidth="1"/>
    <col min="1812" max="1812" width="2.33203125" style="127" customWidth="1"/>
    <col min="1813" max="2048" width="8.88671875" style="127"/>
    <col min="2049" max="2049" width="10.6640625" style="127" customWidth="1"/>
    <col min="2050" max="2050" width="5" style="127" bestFit="1" customWidth="1"/>
    <col min="2051" max="2051" width="0.33203125" style="127" customWidth="1"/>
    <col min="2052" max="2052" width="12.6640625" style="127" customWidth="1"/>
    <col min="2053" max="2053" width="0.33203125" style="127" customWidth="1"/>
    <col min="2054" max="2054" width="15.6640625" style="127" customWidth="1"/>
    <col min="2055" max="2055" width="0.33203125" style="127" customWidth="1"/>
    <col min="2056" max="2056" width="12.88671875" style="127" customWidth="1"/>
    <col min="2057" max="2057" width="0.33203125" style="127" customWidth="1"/>
    <col min="2058" max="2058" width="12.6640625" style="127" customWidth="1"/>
    <col min="2059" max="2059" width="3.6640625" style="127" customWidth="1"/>
    <col min="2060" max="2060" width="0.33203125" style="127" customWidth="1"/>
    <col min="2061" max="2061" width="12.6640625" style="127" customWidth="1"/>
    <col min="2062" max="2062" width="0.33203125" style="127" customWidth="1"/>
    <col min="2063" max="2063" width="9.6640625" style="127" customWidth="1"/>
    <col min="2064" max="2064" width="0.33203125" style="127" customWidth="1"/>
    <col min="2065" max="2065" width="3.6640625" style="127" customWidth="1"/>
    <col min="2066" max="2066" width="0.33203125" style="127" customWidth="1"/>
    <col min="2067" max="2067" width="12" style="127" bestFit="1" customWidth="1"/>
    <col min="2068" max="2068" width="2.33203125" style="127" customWidth="1"/>
    <col min="2069" max="2304" width="8.88671875" style="127"/>
    <col min="2305" max="2305" width="10.6640625" style="127" customWidth="1"/>
    <col min="2306" max="2306" width="5" style="127" bestFit="1" customWidth="1"/>
    <col min="2307" max="2307" width="0.33203125" style="127" customWidth="1"/>
    <col min="2308" max="2308" width="12.6640625" style="127" customWidth="1"/>
    <col min="2309" max="2309" width="0.33203125" style="127" customWidth="1"/>
    <col min="2310" max="2310" width="15.6640625" style="127" customWidth="1"/>
    <col min="2311" max="2311" width="0.33203125" style="127" customWidth="1"/>
    <col min="2312" max="2312" width="12.88671875" style="127" customWidth="1"/>
    <col min="2313" max="2313" width="0.33203125" style="127" customWidth="1"/>
    <col min="2314" max="2314" width="12.6640625" style="127" customWidth="1"/>
    <col min="2315" max="2315" width="3.6640625" style="127" customWidth="1"/>
    <col min="2316" max="2316" width="0.33203125" style="127" customWidth="1"/>
    <col min="2317" max="2317" width="12.6640625" style="127" customWidth="1"/>
    <col min="2318" max="2318" width="0.33203125" style="127" customWidth="1"/>
    <col min="2319" max="2319" width="9.6640625" style="127" customWidth="1"/>
    <col min="2320" max="2320" width="0.33203125" style="127" customWidth="1"/>
    <col min="2321" max="2321" width="3.6640625" style="127" customWidth="1"/>
    <col min="2322" max="2322" width="0.33203125" style="127" customWidth="1"/>
    <col min="2323" max="2323" width="12" style="127" bestFit="1" customWidth="1"/>
    <col min="2324" max="2324" width="2.33203125" style="127" customWidth="1"/>
    <col min="2325" max="2560" width="8.88671875" style="127"/>
    <col min="2561" max="2561" width="10.6640625" style="127" customWidth="1"/>
    <col min="2562" max="2562" width="5" style="127" bestFit="1" customWidth="1"/>
    <col min="2563" max="2563" width="0.33203125" style="127" customWidth="1"/>
    <col min="2564" max="2564" width="12.6640625" style="127" customWidth="1"/>
    <col min="2565" max="2565" width="0.33203125" style="127" customWidth="1"/>
    <col min="2566" max="2566" width="15.6640625" style="127" customWidth="1"/>
    <col min="2567" max="2567" width="0.33203125" style="127" customWidth="1"/>
    <col min="2568" max="2568" width="12.88671875" style="127" customWidth="1"/>
    <col min="2569" max="2569" width="0.33203125" style="127" customWidth="1"/>
    <col min="2570" max="2570" width="12.6640625" style="127" customWidth="1"/>
    <col min="2571" max="2571" width="3.6640625" style="127" customWidth="1"/>
    <col min="2572" max="2572" width="0.33203125" style="127" customWidth="1"/>
    <col min="2573" max="2573" width="12.6640625" style="127" customWidth="1"/>
    <col min="2574" max="2574" width="0.33203125" style="127" customWidth="1"/>
    <col min="2575" max="2575" width="9.6640625" style="127" customWidth="1"/>
    <col min="2576" max="2576" width="0.33203125" style="127" customWidth="1"/>
    <col min="2577" max="2577" width="3.6640625" style="127" customWidth="1"/>
    <col min="2578" max="2578" width="0.33203125" style="127" customWidth="1"/>
    <col min="2579" max="2579" width="12" style="127" bestFit="1" customWidth="1"/>
    <col min="2580" max="2580" width="2.33203125" style="127" customWidth="1"/>
    <col min="2581" max="2816" width="8.88671875" style="127"/>
    <col min="2817" max="2817" width="10.6640625" style="127" customWidth="1"/>
    <col min="2818" max="2818" width="5" style="127" bestFit="1" customWidth="1"/>
    <col min="2819" max="2819" width="0.33203125" style="127" customWidth="1"/>
    <col min="2820" max="2820" width="12.6640625" style="127" customWidth="1"/>
    <col min="2821" max="2821" width="0.33203125" style="127" customWidth="1"/>
    <col min="2822" max="2822" width="15.6640625" style="127" customWidth="1"/>
    <col min="2823" max="2823" width="0.33203125" style="127" customWidth="1"/>
    <col min="2824" max="2824" width="12.88671875" style="127" customWidth="1"/>
    <col min="2825" max="2825" width="0.33203125" style="127" customWidth="1"/>
    <col min="2826" max="2826" width="12.6640625" style="127" customWidth="1"/>
    <col min="2827" max="2827" width="3.6640625" style="127" customWidth="1"/>
    <col min="2828" max="2828" width="0.33203125" style="127" customWidth="1"/>
    <col min="2829" max="2829" width="12.6640625" style="127" customWidth="1"/>
    <col min="2830" max="2830" width="0.33203125" style="127" customWidth="1"/>
    <col min="2831" max="2831" width="9.6640625" style="127" customWidth="1"/>
    <col min="2832" max="2832" width="0.33203125" style="127" customWidth="1"/>
    <col min="2833" max="2833" width="3.6640625" style="127" customWidth="1"/>
    <col min="2834" max="2834" width="0.33203125" style="127" customWidth="1"/>
    <col min="2835" max="2835" width="12" style="127" bestFit="1" customWidth="1"/>
    <col min="2836" max="2836" width="2.33203125" style="127" customWidth="1"/>
    <col min="2837" max="3072" width="8.88671875" style="127"/>
    <col min="3073" max="3073" width="10.6640625" style="127" customWidth="1"/>
    <col min="3074" max="3074" width="5" style="127" bestFit="1" customWidth="1"/>
    <col min="3075" max="3075" width="0.33203125" style="127" customWidth="1"/>
    <col min="3076" max="3076" width="12.6640625" style="127" customWidth="1"/>
    <col min="3077" max="3077" width="0.33203125" style="127" customWidth="1"/>
    <col min="3078" max="3078" width="15.6640625" style="127" customWidth="1"/>
    <col min="3079" max="3079" width="0.33203125" style="127" customWidth="1"/>
    <col min="3080" max="3080" width="12.88671875" style="127" customWidth="1"/>
    <col min="3081" max="3081" width="0.33203125" style="127" customWidth="1"/>
    <col min="3082" max="3082" width="12.6640625" style="127" customWidth="1"/>
    <col min="3083" max="3083" width="3.6640625" style="127" customWidth="1"/>
    <col min="3084" max="3084" width="0.33203125" style="127" customWidth="1"/>
    <col min="3085" max="3085" width="12.6640625" style="127" customWidth="1"/>
    <col min="3086" max="3086" width="0.33203125" style="127" customWidth="1"/>
    <col min="3087" max="3087" width="9.6640625" style="127" customWidth="1"/>
    <col min="3088" max="3088" width="0.33203125" style="127" customWidth="1"/>
    <col min="3089" max="3089" width="3.6640625" style="127" customWidth="1"/>
    <col min="3090" max="3090" width="0.33203125" style="127" customWidth="1"/>
    <col min="3091" max="3091" width="12" style="127" bestFit="1" customWidth="1"/>
    <col min="3092" max="3092" width="2.33203125" style="127" customWidth="1"/>
    <col min="3093" max="3328" width="8.88671875" style="127"/>
    <col min="3329" max="3329" width="10.6640625" style="127" customWidth="1"/>
    <col min="3330" max="3330" width="5" style="127" bestFit="1" customWidth="1"/>
    <col min="3331" max="3331" width="0.33203125" style="127" customWidth="1"/>
    <col min="3332" max="3332" width="12.6640625" style="127" customWidth="1"/>
    <col min="3333" max="3333" width="0.33203125" style="127" customWidth="1"/>
    <col min="3334" max="3334" width="15.6640625" style="127" customWidth="1"/>
    <col min="3335" max="3335" width="0.33203125" style="127" customWidth="1"/>
    <col min="3336" max="3336" width="12.88671875" style="127" customWidth="1"/>
    <col min="3337" max="3337" width="0.33203125" style="127" customWidth="1"/>
    <col min="3338" max="3338" width="12.6640625" style="127" customWidth="1"/>
    <col min="3339" max="3339" width="3.6640625" style="127" customWidth="1"/>
    <col min="3340" max="3340" width="0.33203125" style="127" customWidth="1"/>
    <col min="3341" max="3341" width="12.6640625" style="127" customWidth="1"/>
    <col min="3342" max="3342" width="0.33203125" style="127" customWidth="1"/>
    <col min="3343" max="3343" width="9.6640625" style="127" customWidth="1"/>
    <col min="3344" max="3344" width="0.33203125" style="127" customWidth="1"/>
    <col min="3345" max="3345" width="3.6640625" style="127" customWidth="1"/>
    <col min="3346" max="3346" width="0.33203125" style="127" customWidth="1"/>
    <col min="3347" max="3347" width="12" style="127" bestFit="1" customWidth="1"/>
    <col min="3348" max="3348" width="2.33203125" style="127" customWidth="1"/>
    <col min="3349" max="3584" width="8.88671875" style="127"/>
    <col min="3585" max="3585" width="10.6640625" style="127" customWidth="1"/>
    <col min="3586" max="3586" width="5" style="127" bestFit="1" customWidth="1"/>
    <col min="3587" max="3587" width="0.33203125" style="127" customWidth="1"/>
    <col min="3588" max="3588" width="12.6640625" style="127" customWidth="1"/>
    <col min="3589" max="3589" width="0.33203125" style="127" customWidth="1"/>
    <col min="3590" max="3590" width="15.6640625" style="127" customWidth="1"/>
    <col min="3591" max="3591" width="0.33203125" style="127" customWidth="1"/>
    <col min="3592" max="3592" width="12.88671875" style="127" customWidth="1"/>
    <col min="3593" max="3593" width="0.33203125" style="127" customWidth="1"/>
    <col min="3594" max="3594" width="12.6640625" style="127" customWidth="1"/>
    <col min="3595" max="3595" width="3.6640625" style="127" customWidth="1"/>
    <col min="3596" max="3596" width="0.33203125" style="127" customWidth="1"/>
    <col min="3597" max="3597" width="12.6640625" style="127" customWidth="1"/>
    <col min="3598" max="3598" width="0.33203125" style="127" customWidth="1"/>
    <col min="3599" max="3599" width="9.6640625" style="127" customWidth="1"/>
    <col min="3600" max="3600" width="0.33203125" style="127" customWidth="1"/>
    <col min="3601" max="3601" width="3.6640625" style="127" customWidth="1"/>
    <col min="3602" max="3602" width="0.33203125" style="127" customWidth="1"/>
    <col min="3603" max="3603" width="12" style="127" bestFit="1" customWidth="1"/>
    <col min="3604" max="3604" width="2.33203125" style="127" customWidth="1"/>
    <col min="3605" max="3840" width="8.88671875" style="127"/>
    <col min="3841" max="3841" width="10.6640625" style="127" customWidth="1"/>
    <col min="3842" max="3842" width="5" style="127" bestFit="1" customWidth="1"/>
    <col min="3843" max="3843" width="0.33203125" style="127" customWidth="1"/>
    <col min="3844" max="3844" width="12.6640625" style="127" customWidth="1"/>
    <col min="3845" max="3845" width="0.33203125" style="127" customWidth="1"/>
    <col min="3846" max="3846" width="15.6640625" style="127" customWidth="1"/>
    <col min="3847" max="3847" width="0.33203125" style="127" customWidth="1"/>
    <col min="3848" max="3848" width="12.88671875" style="127" customWidth="1"/>
    <col min="3849" max="3849" width="0.33203125" style="127" customWidth="1"/>
    <col min="3850" max="3850" width="12.6640625" style="127" customWidth="1"/>
    <col min="3851" max="3851" width="3.6640625" style="127" customWidth="1"/>
    <col min="3852" max="3852" width="0.33203125" style="127" customWidth="1"/>
    <col min="3853" max="3853" width="12.6640625" style="127" customWidth="1"/>
    <col min="3854" max="3854" width="0.33203125" style="127" customWidth="1"/>
    <col min="3855" max="3855" width="9.6640625" style="127" customWidth="1"/>
    <col min="3856" max="3856" width="0.33203125" style="127" customWidth="1"/>
    <col min="3857" max="3857" width="3.6640625" style="127" customWidth="1"/>
    <col min="3858" max="3858" width="0.33203125" style="127" customWidth="1"/>
    <col min="3859" max="3859" width="12" style="127" bestFit="1" customWidth="1"/>
    <col min="3860" max="3860" width="2.33203125" style="127" customWidth="1"/>
    <col min="3861" max="4096" width="8.88671875" style="127"/>
    <col min="4097" max="4097" width="10.6640625" style="127" customWidth="1"/>
    <col min="4098" max="4098" width="5" style="127" bestFit="1" customWidth="1"/>
    <col min="4099" max="4099" width="0.33203125" style="127" customWidth="1"/>
    <col min="4100" max="4100" width="12.6640625" style="127" customWidth="1"/>
    <col min="4101" max="4101" width="0.33203125" style="127" customWidth="1"/>
    <col min="4102" max="4102" width="15.6640625" style="127" customWidth="1"/>
    <col min="4103" max="4103" width="0.33203125" style="127" customWidth="1"/>
    <col min="4104" max="4104" width="12.88671875" style="127" customWidth="1"/>
    <col min="4105" max="4105" width="0.33203125" style="127" customWidth="1"/>
    <col min="4106" max="4106" width="12.6640625" style="127" customWidth="1"/>
    <col min="4107" max="4107" width="3.6640625" style="127" customWidth="1"/>
    <col min="4108" max="4108" width="0.33203125" style="127" customWidth="1"/>
    <col min="4109" max="4109" width="12.6640625" style="127" customWidth="1"/>
    <col min="4110" max="4110" width="0.33203125" style="127" customWidth="1"/>
    <col min="4111" max="4111" width="9.6640625" style="127" customWidth="1"/>
    <col min="4112" max="4112" width="0.33203125" style="127" customWidth="1"/>
    <col min="4113" max="4113" width="3.6640625" style="127" customWidth="1"/>
    <col min="4114" max="4114" width="0.33203125" style="127" customWidth="1"/>
    <col min="4115" max="4115" width="12" style="127" bestFit="1" customWidth="1"/>
    <col min="4116" max="4116" width="2.33203125" style="127" customWidth="1"/>
    <col min="4117" max="4352" width="8.88671875" style="127"/>
    <col min="4353" max="4353" width="10.6640625" style="127" customWidth="1"/>
    <col min="4354" max="4354" width="5" style="127" bestFit="1" customWidth="1"/>
    <col min="4355" max="4355" width="0.33203125" style="127" customWidth="1"/>
    <col min="4356" max="4356" width="12.6640625" style="127" customWidth="1"/>
    <col min="4357" max="4357" width="0.33203125" style="127" customWidth="1"/>
    <col min="4358" max="4358" width="15.6640625" style="127" customWidth="1"/>
    <col min="4359" max="4359" width="0.33203125" style="127" customWidth="1"/>
    <col min="4360" max="4360" width="12.88671875" style="127" customWidth="1"/>
    <col min="4361" max="4361" width="0.33203125" style="127" customWidth="1"/>
    <col min="4362" max="4362" width="12.6640625" style="127" customWidth="1"/>
    <col min="4363" max="4363" width="3.6640625" style="127" customWidth="1"/>
    <col min="4364" max="4364" width="0.33203125" style="127" customWidth="1"/>
    <col min="4365" max="4365" width="12.6640625" style="127" customWidth="1"/>
    <col min="4366" max="4366" width="0.33203125" style="127" customWidth="1"/>
    <col min="4367" max="4367" width="9.6640625" style="127" customWidth="1"/>
    <col min="4368" max="4368" width="0.33203125" style="127" customWidth="1"/>
    <col min="4369" max="4369" width="3.6640625" style="127" customWidth="1"/>
    <col min="4370" max="4370" width="0.33203125" style="127" customWidth="1"/>
    <col min="4371" max="4371" width="12" style="127" bestFit="1" customWidth="1"/>
    <col min="4372" max="4372" width="2.33203125" style="127" customWidth="1"/>
    <col min="4373" max="4608" width="8.88671875" style="127"/>
    <col min="4609" max="4609" width="10.6640625" style="127" customWidth="1"/>
    <col min="4610" max="4610" width="5" style="127" bestFit="1" customWidth="1"/>
    <col min="4611" max="4611" width="0.33203125" style="127" customWidth="1"/>
    <col min="4612" max="4612" width="12.6640625" style="127" customWidth="1"/>
    <col min="4613" max="4613" width="0.33203125" style="127" customWidth="1"/>
    <col min="4614" max="4614" width="15.6640625" style="127" customWidth="1"/>
    <col min="4615" max="4615" width="0.33203125" style="127" customWidth="1"/>
    <col min="4616" max="4616" width="12.88671875" style="127" customWidth="1"/>
    <col min="4617" max="4617" width="0.33203125" style="127" customWidth="1"/>
    <col min="4618" max="4618" width="12.6640625" style="127" customWidth="1"/>
    <col min="4619" max="4619" width="3.6640625" style="127" customWidth="1"/>
    <col min="4620" max="4620" width="0.33203125" style="127" customWidth="1"/>
    <col min="4621" max="4621" width="12.6640625" style="127" customWidth="1"/>
    <col min="4622" max="4622" width="0.33203125" style="127" customWidth="1"/>
    <col min="4623" max="4623" width="9.6640625" style="127" customWidth="1"/>
    <col min="4624" max="4624" width="0.33203125" style="127" customWidth="1"/>
    <col min="4625" max="4625" width="3.6640625" style="127" customWidth="1"/>
    <col min="4626" max="4626" width="0.33203125" style="127" customWidth="1"/>
    <col min="4627" max="4627" width="12" style="127" bestFit="1" customWidth="1"/>
    <col min="4628" max="4628" width="2.33203125" style="127" customWidth="1"/>
    <col min="4629" max="4864" width="8.88671875" style="127"/>
    <col min="4865" max="4865" width="10.6640625" style="127" customWidth="1"/>
    <col min="4866" max="4866" width="5" style="127" bestFit="1" customWidth="1"/>
    <col min="4867" max="4867" width="0.33203125" style="127" customWidth="1"/>
    <col min="4868" max="4868" width="12.6640625" style="127" customWidth="1"/>
    <col min="4869" max="4869" width="0.33203125" style="127" customWidth="1"/>
    <col min="4870" max="4870" width="15.6640625" style="127" customWidth="1"/>
    <col min="4871" max="4871" width="0.33203125" style="127" customWidth="1"/>
    <col min="4872" max="4872" width="12.88671875" style="127" customWidth="1"/>
    <col min="4873" max="4873" width="0.33203125" style="127" customWidth="1"/>
    <col min="4874" max="4874" width="12.6640625" style="127" customWidth="1"/>
    <col min="4875" max="4875" width="3.6640625" style="127" customWidth="1"/>
    <col min="4876" max="4876" width="0.33203125" style="127" customWidth="1"/>
    <col min="4877" max="4877" width="12.6640625" style="127" customWidth="1"/>
    <col min="4878" max="4878" width="0.33203125" style="127" customWidth="1"/>
    <col min="4879" max="4879" width="9.6640625" style="127" customWidth="1"/>
    <col min="4880" max="4880" width="0.33203125" style="127" customWidth="1"/>
    <col min="4881" max="4881" width="3.6640625" style="127" customWidth="1"/>
    <col min="4882" max="4882" width="0.33203125" style="127" customWidth="1"/>
    <col min="4883" max="4883" width="12" style="127" bestFit="1" customWidth="1"/>
    <col min="4884" max="4884" width="2.33203125" style="127" customWidth="1"/>
    <col min="4885" max="5120" width="8.88671875" style="127"/>
    <col min="5121" max="5121" width="10.6640625" style="127" customWidth="1"/>
    <col min="5122" max="5122" width="5" style="127" bestFit="1" customWidth="1"/>
    <col min="5123" max="5123" width="0.33203125" style="127" customWidth="1"/>
    <col min="5124" max="5124" width="12.6640625" style="127" customWidth="1"/>
    <col min="5125" max="5125" width="0.33203125" style="127" customWidth="1"/>
    <col min="5126" max="5126" width="15.6640625" style="127" customWidth="1"/>
    <col min="5127" max="5127" width="0.33203125" style="127" customWidth="1"/>
    <col min="5128" max="5128" width="12.88671875" style="127" customWidth="1"/>
    <col min="5129" max="5129" width="0.33203125" style="127" customWidth="1"/>
    <col min="5130" max="5130" width="12.6640625" style="127" customWidth="1"/>
    <col min="5131" max="5131" width="3.6640625" style="127" customWidth="1"/>
    <col min="5132" max="5132" width="0.33203125" style="127" customWidth="1"/>
    <col min="5133" max="5133" width="12.6640625" style="127" customWidth="1"/>
    <col min="5134" max="5134" width="0.33203125" style="127" customWidth="1"/>
    <col min="5135" max="5135" width="9.6640625" style="127" customWidth="1"/>
    <col min="5136" max="5136" width="0.33203125" style="127" customWidth="1"/>
    <col min="5137" max="5137" width="3.6640625" style="127" customWidth="1"/>
    <col min="5138" max="5138" width="0.33203125" style="127" customWidth="1"/>
    <col min="5139" max="5139" width="12" style="127" bestFit="1" customWidth="1"/>
    <col min="5140" max="5140" width="2.33203125" style="127" customWidth="1"/>
    <col min="5141" max="5376" width="8.88671875" style="127"/>
    <col min="5377" max="5377" width="10.6640625" style="127" customWidth="1"/>
    <col min="5378" max="5378" width="5" style="127" bestFit="1" customWidth="1"/>
    <col min="5379" max="5379" width="0.33203125" style="127" customWidth="1"/>
    <col min="5380" max="5380" width="12.6640625" style="127" customWidth="1"/>
    <col min="5381" max="5381" width="0.33203125" style="127" customWidth="1"/>
    <col min="5382" max="5382" width="15.6640625" style="127" customWidth="1"/>
    <col min="5383" max="5383" width="0.33203125" style="127" customWidth="1"/>
    <col min="5384" max="5384" width="12.88671875" style="127" customWidth="1"/>
    <col min="5385" max="5385" width="0.33203125" style="127" customWidth="1"/>
    <col min="5386" max="5386" width="12.6640625" style="127" customWidth="1"/>
    <col min="5387" max="5387" width="3.6640625" style="127" customWidth="1"/>
    <col min="5388" max="5388" width="0.33203125" style="127" customWidth="1"/>
    <col min="5389" max="5389" width="12.6640625" style="127" customWidth="1"/>
    <col min="5390" max="5390" width="0.33203125" style="127" customWidth="1"/>
    <col min="5391" max="5391" width="9.6640625" style="127" customWidth="1"/>
    <col min="5392" max="5392" width="0.33203125" style="127" customWidth="1"/>
    <col min="5393" max="5393" width="3.6640625" style="127" customWidth="1"/>
    <col min="5394" max="5394" width="0.33203125" style="127" customWidth="1"/>
    <col min="5395" max="5395" width="12" style="127" bestFit="1" customWidth="1"/>
    <col min="5396" max="5396" width="2.33203125" style="127" customWidth="1"/>
    <col min="5397" max="5632" width="8.88671875" style="127"/>
    <col min="5633" max="5633" width="10.6640625" style="127" customWidth="1"/>
    <col min="5634" max="5634" width="5" style="127" bestFit="1" customWidth="1"/>
    <col min="5635" max="5635" width="0.33203125" style="127" customWidth="1"/>
    <col min="5636" max="5636" width="12.6640625" style="127" customWidth="1"/>
    <col min="5637" max="5637" width="0.33203125" style="127" customWidth="1"/>
    <col min="5638" max="5638" width="15.6640625" style="127" customWidth="1"/>
    <col min="5639" max="5639" width="0.33203125" style="127" customWidth="1"/>
    <col min="5640" max="5640" width="12.88671875" style="127" customWidth="1"/>
    <col min="5641" max="5641" width="0.33203125" style="127" customWidth="1"/>
    <col min="5642" max="5642" width="12.6640625" style="127" customWidth="1"/>
    <col min="5643" max="5643" width="3.6640625" style="127" customWidth="1"/>
    <col min="5644" max="5644" width="0.33203125" style="127" customWidth="1"/>
    <col min="5645" max="5645" width="12.6640625" style="127" customWidth="1"/>
    <col min="5646" max="5646" width="0.33203125" style="127" customWidth="1"/>
    <col min="5647" max="5647" width="9.6640625" style="127" customWidth="1"/>
    <col min="5648" max="5648" width="0.33203125" style="127" customWidth="1"/>
    <col min="5649" max="5649" width="3.6640625" style="127" customWidth="1"/>
    <col min="5650" max="5650" width="0.33203125" style="127" customWidth="1"/>
    <col min="5651" max="5651" width="12" style="127" bestFit="1" customWidth="1"/>
    <col min="5652" max="5652" width="2.33203125" style="127" customWidth="1"/>
    <col min="5653" max="5888" width="8.88671875" style="127"/>
    <col min="5889" max="5889" width="10.6640625" style="127" customWidth="1"/>
    <col min="5890" max="5890" width="5" style="127" bestFit="1" customWidth="1"/>
    <col min="5891" max="5891" width="0.33203125" style="127" customWidth="1"/>
    <col min="5892" max="5892" width="12.6640625" style="127" customWidth="1"/>
    <col min="5893" max="5893" width="0.33203125" style="127" customWidth="1"/>
    <col min="5894" max="5894" width="15.6640625" style="127" customWidth="1"/>
    <col min="5895" max="5895" width="0.33203125" style="127" customWidth="1"/>
    <col min="5896" max="5896" width="12.88671875" style="127" customWidth="1"/>
    <col min="5897" max="5897" width="0.33203125" style="127" customWidth="1"/>
    <col min="5898" max="5898" width="12.6640625" style="127" customWidth="1"/>
    <col min="5899" max="5899" width="3.6640625" style="127" customWidth="1"/>
    <col min="5900" max="5900" width="0.33203125" style="127" customWidth="1"/>
    <col min="5901" max="5901" width="12.6640625" style="127" customWidth="1"/>
    <col min="5902" max="5902" width="0.33203125" style="127" customWidth="1"/>
    <col min="5903" max="5903" width="9.6640625" style="127" customWidth="1"/>
    <col min="5904" max="5904" width="0.33203125" style="127" customWidth="1"/>
    <col min="5905" max="5905" width="3.6640625" style="127" customWidth="1"/>
    <col min="5906" max="5906" width="0.33203125" style="127" customWidth="1"/>
    <col min="5907" max="5907" width="12" style="127" bestFit="1" customWidth="1"/>
    <col min="5908" max="5908" width="2.33203125" style="127" customWidth="1"/>
    <col min="5909" max="6144" width="8.88671875" style="127"/>
    <col min="6145" max="6145" width="10.6640625" style="127" customWidth="1"/>
    <col min="6146" max="6146" width="5" style="127" bestFit="1" customWidth="1"/>
    <col min="6147" max="6147" width="0.33203125" style="127" customWidth="1"/>
    <col min="6148" max="6148" width="12.6640625" style="127" customWidth="1"/>
    <col min="6149" max="6149" width="0.33203125" style="127" customWidth="1"/>
    <col min="6150" max="6150" width="15.6640625" style="127" customWidth="1"/>
    <col min="6151" max="6151" width="0.33203125" style="127" customWidth="1"/>
    <col min="6152" max="6152" width="12.88671875" style="127" customWidth="1"/>
    <col min="6153" max="6153" width="0.33203125" style="127" customWidth="1"/>
    <col min="6154" max="6154" width="12.6640625" style="127" customWidth="1"/>
    <col min="6155" max="6155" width="3.6640625" style="127" customWidth="1"/>
    <col min="6156" max="6156" width="0.33203125" style="127" customWidth="1"/>
    <col min="6157" max="6157" width="12.6640625" style="127" customWidth="1"/>
    <col min="6158" max="6158" width="0.33203125" style="127" customWidth="1"/>
    <col min="6159" max="6159" width="9.6640625" style="127" customWidth="1"/>
    <col min="6160" max="6160" width="0.33203125" style="127" customWidth="1"/>
    <col min="6161" max="6161" width="3.6640625" style="127" customWidth="1"/>
    <col min="6162" max="6162" width="0.33203125" style="127" customWidth="1"/>
    <col min="6163" max="6163" width="12" style="127" bestFit="1" customWidth="1"/>
    <col min="6164" max="6164" width="2.33203125" style="127" customWidth="1"/>
    <col min="6165" max="6400" width="8.88671875" style="127"/>
    <col min="6401" max="6401" width="10.6640625" style="127" customWidth="1"/>
    <col min="6402" max="6402" width="5" style="127" bestFit="1" customWidth="1"/>
    <col min="6403" max="6403" width="0.33203125" style="127" customWidth="1"/>
    <col min="6404" max="6404" width="12.6640625" style="127" customWidth="1"/>
    <col min="6405" max="6405" width="0.33203125" style="127" customWidth="1"/>
    <col min="6406" max="6406" width="15.6640625" style="127" customWidth="1"/>
    <col min="6407" max="6407" width="0.33203125" style="127" customWidth="1"/>
    <col min="6408" max="6408" width="12.88671875" style="127" customWidth="1"/>
    <col min="6409" max="6409" width="0.33203125" style="127" customWidth="1"/>
    <col min="6410" max="6410" width="12.6640625" style="127" customWidth="1"/>
    <col min="6411" max="6411" width="3.6640625" style="127" customWidth="1"/>
    <col min="6412" max="6412" width="0.33203125" style="127" customWidth="1"/>
    <col min="6413" max="6413" width="12.6640625" style="127" customWidth="1"/>
    <col min="6414" max="6414" width="0.33203125" style="127" customWidth="1"/>
    <col min="6415" max="6415" width="9.6640625" style="127" customWidth="1"/>
    <col min="6416" max="6416" width="0.33203125" style="127" customWidth="1"/>
    <col min="6417" max="6417" width="3.6640625" style="127" customWidth="1"/>
    <col min="6418" max="6418" width="0.33203125" style="127" customWidth="1"/>
    <col min="6419" max="6419" width="12" style="127" bestFit="1" customWidth="1"/>
    <col min="6420" max="6420" width="2.33203125" style="127" customWidth="1"/>
    <col min="6421" max="6656" width="8.88671875" style="127"/>
    <col min="6657" max="6657" width="10.6640625" style="127" customWidth="1"/>
    <col min="6658" max="6658" width="5" style="127" bestFit="1" customWidth="1"/>
    <col min="6659" max="6659" width="0.33203125" style="127" customWidth="1"/>
    <col min="6660" max="6660" width="12.6640625" style="127" customWidth="1"/>
    <col min="6661" max="6661" width="0.33203125" style="127" customWidth="1"/>
    <col min="6662" max="6662" width="15.6640625" style="127" customWidth="1"/>
    <col min="6663" max="6663" width="0.33203125" style="127" customWidth="1"/>
    <col min="6664" max="6664" width="12.88671875" style="127" customWidth="1"/>
    <col min="6665" max="6665" width="0.33203125" style="127" customWidth="1"/>
    <col min="6666" max="6666" width="12.6640625" style="127" customWidth="1"/>
    <col min="6667" max="6667" width="3.6640625" style="127" customWidth="1"/>
    <col min="6668" max="6668" width="0.33203125" style="127" customWidth="1"/>
    <col min="6669" max="6669" width="12.6640625" style="127" customWidth="1"/>
    <col min="6670" max="6670" width="0.33203125" style="127" customWidth="1"/>
    <col min="6671" max="6671" width="9.6640625" style="127" customWidth="1"/>
    <col min="6672" max="6672" width="0.33203125" style="127" customWidth="1"/>
    <col min="6673" max="6673" width="3.6640625" style="127" customWidth="1"/>
    <col min="6674" max="6674" width="0.33203125" style="127" customWidth="1"/>
    <col min="6675" max="6675" width="12" style="127" bestFit="1" customWidth="1"/>
    <col min="6676" max="6676" width="2.33203125" style="127" customWidth="1"/>
    <col min="6677" max="6912" width="8.88671875" style="127"/>
    <col min="6913" max="6913" width="10.6640625" style="127" customWidth="1"/>
    <col min="6914" max="6914" width="5" style="127" bestFit="1" customWidth="1"/>
    <col min="6915" max="6915" width="0.33203125" style="127" customWidth="1"/>
    <col min="6916" max="6916" width="12.6640625" style="127" customWidth="1"/>
    <col min="6917" max="6917" width="0.33203125" style="127" customWidth="1"/>
    <col min="6918" max="6918" width="15.6640625" style="127" customWidth="1"/>
    <col min="6919" max="6919" width="0.33203125" style="127" customWidth="1"/>
    <col min="6920" max="6920" width="12.88671875" style="127" customWidth="1"/>
    <col min="6921" max="6921" width="0.33203125" style="127" customWidth="1"/>
    <col min="6922" max="6922" width="12.6640625" style="127" customWidth="1"/>
    <col min="6923" max="6923" width="3.6640625" style="127" customWidth="1"/>
    <col min="6924" max="6924" width="0.33203125" style="127" customWidth="1"/>
    <col min="6925" max="6925" width="12.6640625" style="127" customWidth="1"/>
    <col min="6926" max="6926" width="0.33203125" style="127" customWidth="1"/>
    <col min="6927" max="6927" width="9.6640625" style="127" customWidth="1"/>
    <col min="6928" max="6928" width="0.33203125" style="127" customWidth="1"/>
    <col min="6929" max="6929" width="3.6640625" style="127" customWidth="1"/>
    <col min="6930" max="6930" width="0.33203125" style="127" customWidth="1"/>
    <col min="6931" max="6931" width="12" style="127" bestFit="1" customWidth="1"/>
    <col min="6932" max="6932" width="2.33203125" style="127" customWidth="1"/>
    <col min="6933" max="7168" width="8.88671875" style="127"/>
    <col min="7169" max="7169" width="10.6640625" style="127" customWidth="1"/>
    <col min="7170" max="7170" width="5" style="127" bestFit="1" customWidth="1"/>
    <col min="7171" max="7171" width="0.33203125" style="127" customWidth="1"/>
    <col min="7172" max="7172" width="12.6640625" style="127" customWidth="1"/>
    <col min="7173" max="7173" width="0.33203125" style="127" customWidth="1"/>
    <col min="7174" max="7174" width="15.6640625" style="127" customWidth="1"/>
    <col min="7175" max="7175" width="0.33203125" style="127" customWidth="1"/>
    <col min="7176" max="7176" width="12.88671875" style="127" customWidth="1"/>
    <col min="7177" max="7177" width="0.33203125" style="127" customWidth="1"/>
    <col min="7178" max="7178" width="12.6640625" style="127" customWidth="1"/>
    <col min="7179" max="7179" width="3.6640625" style="127" customWidth="1"/>
    <col min="7180" max="7180" width="0.33203125" style="127" customWidth="1"/>
    <col min="7181" max="7181" width="12.6640625" style="127" customWidth="1"/>
    <col min="7182" max="7182" width="0.33203125" style="127" customWidth="1"/>
    <col min="7183" max="7183" width="9.6640625" style="127" customWidth="1"/>
    <col min="7184" max="7184" width="0.33203125" style="127" customWidth="1"/>
    <col min="7185" max="7185" width="3.6640625" style="127" customWidth="1"/>
    <col min="7186" max="7186" width="0.33203125" style="127" customWidth="1"/>
    <col min="7187" max="7187" width="12" style="127" bestFit="1" customWidth="1"/>
    <col min="7188" max="7188" width="2.33203125" style="127" customWidth="1"/>
    <col min="7189" max="7424" width="8.88671875" style="127"/>
    <col min="7425" max="7425" width="10.6640625" style="127" customWidth="1"/>
    <col min="7426" max="7426" width="5" style="127" bestFit="1" customWidth="1"/>
    <col min="7427" max="7427" width="0.33203125" style="127" customWidth="1"/>
    <col min="7428" max="7428" width="12.6640625" style="127" customWidth="1"/>
    <col min="7429" max="7429" width="0.33203125" style="127" customWidth="1"/>
    <col min="7430" max="7430" width="15.6640625" style="127" customWidth="1"/>
    <col min="7431" max="7431" width="0.33203125" style="127" customWidth="1"/>
    <col min="7432" max="7432" width="12.88671875" style="127" customWidth="1"/>
    <col min="7433" max="7433" width="0.33203125" style="127" customWidth="1"/>
    <col min="7434" max="7434" width="12.6640625" style="127" customWidth="1"/>
    <col min="7435" max="7435" width="3.6640625" style="127" customWidth="1"/>
    <col min="7436" max="7436" width="0.33203125" style="127" customWidth="1"/>
    <col min="7437" max="7437" width="12.6640625" style="127" customWidth="1"/>
    <col min="7438" max="7438" width="0.33203125" style="127" customWidth="1"/>
    <col min="7439" max="7439" width="9.6640625" style="127" customWidth="1"/>
    <col min="7440" max="7440" width="0.33203125" style="127" customWidth="1"/>
    <col min="7441" max="7441" width="3.6640625" style="127" customWidth="1"/>
    <col min="7442" max="7442" width="0.33203125" style="127" customWidth="1"/>
    <col min="7443" max="7443" width="12" style="127" bestFit="1" customWidth="1"/>
    <col min="7444" max="7444" width="2.33203125" style="127" customWidth="1"/>
    <col min="7445" max="7680" width="8.88671875" style="127"/>
    <col min="7681" max="7681" width="10.6640625" style="127" customWidth="1"/>
    <col min="7682" max="7682" width="5" style="127" bestFit="1" customWidth="1"/>
    <col min="7683" max="7683" width="0.33203125" style="127" customWidth="1"/>
    <col min="7684" max="7684" width="12.6640625" style="127" customWidth="1"/>
    <col min="7685" max="7685" width="0.33203125" style="127" customWidth="1"/>
    <col min="7686" max="7686" width="15.6640625" style="127" customWidth="1"/>
    <col min="7687" max="7687" width="0.33203125" style="127" customWidth="1"/>
    <col min="7688" max="7688" width="12.88671875" style="127" customWidth="1"/>
    <col min="7689" max="7689" width="0.33203125" style="127" customWidth="1"/>
    <col min="7690" max="7690" width="12.6640625" style="127" customWidth="1"/>
    <col min="7691" max="7691" width="3.6640625" style="127" customWidth="1"/>
    <col min="7692" max="7692" width="0.33203125" style="127" customWidth="1"/>
    <col min="7693" max="7693" width="12.6640625" style="127" customWidth="1"/>
    <col min="7694" max="7694" width="0.33203125" style="127" customWidth="1"/>
    <col min="7695" max="7695" width="9.6640625" style="127" customWidth="1"/>
    <col min="7696" max="7696" width="0.33203125" style="127" customWidth="1"/>
    <col min="7697" max="7697" width="3.6640625" style="127" customWidth="1"/>
    <col min="7698" max="7698" width="0.33203125" style="127" customWidth="1"/>
    <col min="7699" max="7699" width="12" style="127" bestFit="1" customWidth="1"/>
    <col min="7700" max="7700" width="2.33203125" style="127" customWidth="1"/>
    <col min="7701" max="7936" width="8.88671875" style="127"/>
    <col min="7937" max="7937" width="10.6640625" style="127" customWidth="1"/>
    <col min="7938" max="7938" width="5" style="127" bestFit="1" customWidth="1"/>
    <col min="7939" max="7939" width="0.33203125" style="127" customWidth="1"/>
    <col min="7940" max="7940" width="12.6640625" style="127" customWidth="1"/>
    <col min="7941" max="7941" width="0.33203125" style="127" customWidth="1"/>
    <col min="7942" max="7942" width="15.6640625" style="127" customWidth="1"/>
    <col min="7943" max="7943" width="0.33203125" style="127" customWidth="1"/>
    <col min="7944" max="7944" width="12.88671875" style="127" customWidth="1"/>
    <col min="7945" max="7945" width="0.33203125" style="127" customWidth="1"/>
    <col min="7946" max="7946" width="12.6640625" style="127" customWidth="1"/>
    <col min="7947" max="7947" width="3.6640625" style="127" customWidth="1"/>
    <col min="7948" max="7948" width="0.33203125" style="127" customWidth="1"/>
    <col min="7949" max="7949" width="12.6640625" style="127" customWidth="1"/>
    <col min="7950" max="7950" width="0.33203125" style="127" customWidth="1"/>
    <col min="7951" max="7951" width="9.6640625" style="127" customWidth="1"/>
    <col min="7952" max="7952" width="0.33203125" style="127" customWidth="1"/>
    <col min="7953" max="7953" width="3.6640625" style="127" customWidth="1"/>
    <col min="7954" max="7954" width="0.33203125" style="127" customWidth="1"/>
    <col min="7955" max="7955" width="12" style="127" bestFit="1" customWidth="1"/>
    <col min="7956" max="7956" width="2.33203125" style="127" customWidth="1"/>
    <col min="7957" max="8192" width="8.88671875" style="127"/>
    <col min="8193" max="8193" width="10.6640625" style="127" customWidth="1"/>
    <col min="8194" max="8194" width="5" style="127" bestFit="1" customWidth="1"/>
    <col min="8195" max="8195" width="0.33203125" style="127" customWidth="1"/>
    <col min="8196" max="8196" width="12.6640625" style="127" customWidth="1"/>
    <col min="8197" max="8197" width="0.33203125" style="127" customWidth="1"/>
    <col min="8198" max="8198" width="15.6640625" style="127" customWidth="1"/>
    <col min="8199" max="8199" width="0.33203125" style="127" customWidth="1"/>
    <col min="8200" max="8200" width="12.88671875" style="127" customWidth="1"/>
    <col min="8201" max="8201" width="0.33203125" style="127" customWidth="1"/>
    <col min="8202" max="8202" width="12.6640625" style="127" customWidth="1"/>
    <col min="8203" max="8203" width="3.6640625" style="127" customWidth="1"/>
    <col min="8204" max="8204" width="0.33203125" style="127" customWidth="1"/>
    <col min="8205" max="8205" width="12.6640625" style="127" customWidth="1"/>
    <col min="8206" max="8206" width="0.33203125" style="127" customWidth="1"/>
    <col min="8207" max="8207" width="9.6640625" style="127" customWidth="1"/>
    <col min="8208" max="8208" width="0.33203125" style="127" customWidth="1"/>
    <col min="8209" max="8209" width="3.6640625" style="127" customWidth="1"/>
    <col min="8210" max="8210" width="0.33203125" style="127" customWidth="1"/>
    <col min="8211" max="8211" width="12" style="127" bestFit="1" customWidth="1"/>
    <col min="8212" max="8212" width="2.33203125" style="127" customWidth="1"/>
    <col min="8213" max="8448" width="8.88671875" style="127"/>
    <col min="8449" max="8449" width="10.6640625" style="127" customWidth="1"/>
    <col min="8450" max="8450" width="5" style="127" bestFit="1" customWidth="1"/>
    <col min="8451" max="8451" width="0.33203125" style="127" customWidth="1"/>
    <col min="8452" max="8452" width="12.6640625" style="127" customWidth="1"/>
    <col min="8453" max="8453" width="0.33203125" style="127" customWidth="1"/>
    <col min="8454" max="8454" width="15.6640625" style="127" customWidth="1"/>
    <col min="8455" max="8455" width="0.33203125" style="127" customWidth="1"/>
    <col min="8456" max="8456" width="12.88671875" style="127" customWidth="1"/>
    <col min="8457" max="8457" width="0.33203125" style="127" customWidth="1"/>
    <col min="8458" max="8458" width="12.6640625" style="127" customWidth="1"/>
    <col min="8459" max="8459" width="3.6640625" style="127" customWidth="1"/>
    <col min="8460" max="8460" width="0.33203125" style="127" customWidth="1"/>
    <col min="8461" max="8461" width="12.6640625" style="127" customWidth="1"/>
    <col min="8462" max="8462" width="0.33203125" style="127" customWidth="1"/>
    <col min="8463" max="8463" width="9.6640625" style="127" customWidth="1"/>
    <col min="8464" max="8464" width="0.33203125" style="127" customWidth="1"/>
    <col min="8465" max="8465" width="3.6640625" style="127" customWidth="1"/>
    <col min="8466" max="8466" width="0.33203125" style="127" customWidth="1"/>
    <col min="8467" max="8467" width="12" style="127" bestFit="1" customWidth="1"/>
    <col min="8468" max="8468" width="2.33203125" style="127" customWidth="1"/>
    <col min="8469" max="8704" width="8.88671875" style="127"/>
    <col min="8705" max="8705" width="10.6640625" style="127" customWidth="1"/>
    <col min="8706" max="8706" width="5" style="127" bestFit="1" customWidth="1"/>
    <col min="8707" max="8707" width="0.33203125" style="127" customWidth="1"/>
    <col min="8708" max="8708" width="12.6640625" style="127" customWidth="1"/>
    <col min="8709" max="8709" width="0.33203125" style="127" customWidth="1"/>
    <col min="8710" max="8710" width="15.6640625" style="127" customWidth="1"/>
    <col min="8711" max="8711" width="0.33203125" style="127" customWidth="1"/>
    <col min="8712" max="8712" width="12.88671875" style="127" customWidth="1"/>
    <col min="8713" max="8713" width="0.33203125" style="127" customWidth="1"/>
    <col min="8714" max="8714" width="12.6640625" style="127" customWidth="1"/>
    <col min="8715" max="8715" width="3.6640625" style="127" customWidth="1"/>
    <col min="8716" max="8716" width="0.33203125" style="127" customWidth="1"/>
    <col min="8717" max="8717" width="12.6640625" style="127" customWidth="1"/>
    <col min="8718" max="8718" width="0.33203125" style="127" customWidth="1"/>
    <col min="8719" max="8719" width="9.6640625" style="127" customWidth="1"/>
    <col min="8720" max="8720" width="0.33203125" style="127" customWidth="1"/>
    <col min="8721" max="8721" width="3.6640625" style="127" customWidth="1"/>
    <col min="8722" max="8722" width="0.33203125" style="127" customWidth="1"/>
    <col min="8723" max="8723" width="12" style="127" bestFit="1" customWidth="1"/>
    <col min="8724" max="8724" width="2.33203125" style="127" customWidth="1"/>
    <col min="8725" max="8960" width="8.88671875" style="127"/>
    <col min="8961" max="8961" width="10.6640625" style="127" customWidth="1"/>
    <col min="8962" max="8962" width="5" style="127" bestFit="1" customWidth="1"/>
    <col min="8963" max="8963" width="0.33203125" style="127" customWidth="1"/>
    <col min="8964" max="8964" width="12.6640625" style="127" customWidth="1"/>
    <col min="8965" max="8965" width="0.33203125" style="127" customWidth="1"/>
    <col min="8966" max="8966" width="15.6640625" style="127" customWidth="1"/>
    <col min="8967" max="8967" width="0.33203125" style="127" customWidth="1"/>
    <col min="8968" max="8968" width="12.88671875" style="127" customWidth="1"/>
    <col min="8969" max="8969" width="0.33203125" style="127" customWidth="1"/>
    <col min="8970" max="8970" width="12.6640625" style="127" customWidth="1"/>
    <col min="8971" max="8971" width="3.6640625" style="127" customWidth="1"/>
    <col min="8972" max="8972" width="0.33203125" style="127" customWidth="1"/>
    <col min="8973" max="8973" width="12.6640625" style="127" customWidth="1"/>
    <col min="8974" max="8974" width="0.33203125" style="127" customWidth="1"/>
    <col min="8975" max="8975" width="9.6640625" style="127" customWidth="1"/>
    <col min="8976" max="8976" width="0.33203125" style="127" customWidth="1"/>
    <col min="8977" max="8977" width="3.6640625" style="127" customWidth="1"/>
    <col min="8978" max="8978" width="0.33203125" style="127" customWidth="1"/>
    <col min="8979" max="8979" width="12" style="127" bestFit="1" customWidth="1"/>
    <col min="8980" max="8980" width="2.33203125" style="127" customWidth="1"/>
    <col min="8981" max="9216" width="8.88671875" style="127"/>
    <col min="9217" max="9217" width="10.6640625" style="127" customWidth="1"/>
    <col min="9218" max="9218" width="5" style="127" bestFit="1" customWidth="1"/>
    <col min="9219" max="9219" width="0.33203125" style="127" customWidth="1"/>
    <col min="9220" max="9220" width="12.6640625" style="127" customWidth="1"/>
    <col min="9221" max="9221" width="0.33203125" style="127" customWidth="1"/>
    <col min="9222" max="9222" width="15.6640625" style="127" customWidth="1"/>
    <col min="9223" max="9223" width="0.33203125" style="127" customWidth="1"/>
    <col min="9224" max="9224" width="12.88671875" style="127" customWidth="1"/>
    <col min="9225" max="9225" width="0.33203125" style="127" customWidth="1"/>
    <col min="9226" max="9226" width="12.6640625" style="127" customWidth="1"/>
    <col min="9227" max="9227" width="3.6640625" style="127" customWidth="1"/>
    <col min="9228" max="9228" width="0.33203125" style="127" customWidth="1"/>
    <col min="9229" max="9229" width="12.6640625" style="127" customWidth="1"/>
    <col min="9230" max="9230" width="0.33203125" style="127" customWidth="1"/>
    <col min="9231" max="9231" width="9.6640625" style="127" customWidth="1"/>
    <col min="9232" max="9232" width="0.33203125" style="127" customWidth="1"/>
    <col min="9233" max="9233" width="3.6640625" style="127" customWidth="1"/>
    <col min="9234" max="9234" width="0.33203125" style="127" customWidth="1"/>
    <col min="9235" max="9235" width="12" style="127" bestFit="1" customWidth="1"/>
    <col min="9236" max="9236" width="2.33203125" style="127" customWidth="1"/>
    <col min="9237" max="9472" width="8.88671875" style="127"/>
    <col min="9473" max="9473" width="10.6640625" style="127" customWidth="1"/>
    <col min="9474" max="9474" width="5" style="127" bestFit="1" customWidth="1"/>
    <col min="9475" max="9475" width="0.33203125" style="127" customWidth="1"/>
    <col min="9476" max="9476" width="12.6640625" style="127" customWidth="1"/>
    <col min="9477" max="9477" width="0.33203125" style="127" customWidth="1"/>
    <col min="9478" max="9478" width="15.6640625" style="127" customWidth="1"/>
    <col min="9479" max="9479" width="0.33203125" style="127" customWidth="1"/>
    <col min="9480" max="9480" width="12.88671875" style="127" customWidth="1"/>
    <col min="9481" max="9481" width="0.33203125" style="127" customWidth="1"/>
    <col min="9482" max="9482" width="12.6640625" style="127" customWidth="1"/>
    <col min="9483" max="9483" width="3.6640625" style="127" customWidth="1"/>
    <col min="9484" max="9484" width="0.33203125" style="127" customWidth="1"/>
    <col min="9485" max="9485" width="12.6640625" style="127" customWidth="1"/>
    <col min="9486" max="9486" width="0.33203125" style="127" customWidth="1"/>
    <col min="9487" max="9487" width="9.6640625" style="127" customWidth="1"/>
    <col min="9488" max="9488" width="0.33203125" style="127" customWidth="1"/>
    <col min="9489" max="9489" width="3.6640625" style="127" customWidth="1"/>
    <col min="9490" max="9490" width="0.33203125" style="127" customWidth="1"/>
    <col min="9491" max="9491" width="12" style="127" bestFit="1" customWidth="1"/>
    <col min="9492" max="9492" width="2.33203125" style="127" customWidth="1"/>
    <col min="9493" max="9728" width="8.88671875" style="127"/>
    <col min="9729" max="9729" width="10.6640625" style="127" customWidth="1"/>
    <col min="9730" max="9730" width="5" style="127" bestFit="1" customWidth="1"/>
    <col min="9731" max="9731" width="0.33203125" style="127" customWidth="1"/>
    <col min="9732" max="9732" width="12.6640625" style="127" customWidth="1"/>
    <col min="9733" max="9733" width="0.33203125" style="127" customWidth="1"/>
    <col min="9734" max="9734" width="15.6640625" style="127" customWidth="1"/>
    <col min="9735" max="9735" width="0.33203125" style="127" customWidth="1"/>
    <col min="9736" max="9736" width="12.88671875" style="127" customWidth="1"/>
    <col min="9737" max="9737" width="0.33203125" style="127" customWidth="1"/>
    <col min="9738" max="9738" width="12.6640625" style="127" customWidth="1"/>
    <col min="9739" max="9739" width="3.6640625" style="127" customWidth="1"/>
    <col min="9740" max="9740" width="0.33203125" style="127" customWidth="1"/>
    <col min="9741" max="9741" width="12.6640625" style="127" customWidth="1"/>
    <col min="9742" max="9742" width="0.33203125" style="127" customWidth="1"/>
    <col min="9743" max="9743" width="9.6640625" style="127" customWidth="1"/>
    <col min="9744" max="9744" width="0.33203125" style="127" customWidth="1"/>
    <col min="9745" max="9745" width="3.6640625" style="127" customWidth="1"/>
    <col min="9746" max="9746" width="0.33203125" style="127" customWidth="1"/>
    <col min="9747" max="9747" width="12" style="127" bestFit="1" customWidth="1"/>
    <col min="9748" max="9748" width="2.33203125" style="127" customWidth="1"/>
    <col min="9749" max="9984" width="8.88671875" style="127"/>
    <col min="9985" max="9985" width="10.6640625" style="127" customWidth="1"/>
    <col min="9986" max="9986" width="5" style="127" bestFit="1" customWidth="1"/>
    <col min="9987" max="9987" width="0.33203125" style="127" customWidth="1"/>
    <col min="9988" max="9988" width="12.6640625" style="127" customWidth="1"/>
    <col min="9989" max="9989" width="0.33203125" style="127" customWidth="1"/>
    <col min="9990" max="9990" width="15.6640625" style="127" customWidth="1"/>
    <col min="9991" max="9991" width="0.33203125" style="127" customWidth="1"/>
    <col min="9992" max="9992" width="12.88671875" style="127" customWidth="1"/>
    <col min="9993" max="9993" width="0.33203125" style="127" customWidth="1"/>
    <col min="9994" max="9994" width="12.6640625" style="127" customWidth="1"/>
    <col min="9995" max="9995" width="3.6640625" style="127" customWidth="1"/>
    <col min="9996" max="9996" width="0.33203125" style="127" customWidth="1"/>
    <col min="9997" max="9997" width="12.6640625" style="127" customWidth="1"/>
    <col min="9998" max="9998" width="0.33203125" style="127" customWidth="1"/>
    <col min="9999" max="9999" width="9.6640625" style="127" customWidth="1"/>
    <col min="10000" max="10000" width="0.33203125" style="127" customWidth="1"/>
    <col min="10001" max="10001" width="3.6640625" style="127" customWidth="1"/>
    <col min="10002" max="10002" width="0.33203125" style="127" customWidth="1"/>
    <col min="10003" max="10003" width="12" style="127" bestFit="1" customWidth="1"/>
    <col min="10004" max="10004" width="2.33203125" style="127" customWidth="1"/>
    <col min="10005" max="10240" width="8.88671875" style="127"/>
    <col min="10241" max="10241" width="10.6640625" style="127" customWidth="1"/>
    <col min="10242" max="10242" width="5" style="127" bestFit="1" customWidth="1"/>
    <col min="10243" max="10243" width="0.33203125" style="127" customWidth="1"/>
    <col min="10244" max="10244" width="12.6640625" style="127" customWidth="1"/>
    <col min="10245" max="10245" width="0.33203125" style="127" customWidth="1"/>
    <col min="10246" max="10246" width="15.6640625" style="127" customWidth="1"/>
    <col min="10247" max="10247" width="0.33203125" style="127" customWidth="1"/>
    <col min="10248" max="10248" width="12.88671875" style="127" customWidth="1"/>
    <col min="10249" max="10249" width="0.33203125" style="127" customWidth="1"/>
    <col min="10250" max="10250" width="12.6640625" style="127" customWidth="1"/>
    <col min="10251" max="10251" width="3.6640625" style="127" customWidth="1"/>
    <col min="10252" max="10252" width="0.33203125" style="127" customWidth="1"/>
    <col min="10253" max="10253" width="12.6640625" style="127" customWidth="1"/>
    <col min="10254" max="10254" width="0.33203125" style="127" customWidth="1"/>
    <col min="10255" max="10255" width="9.6640625" style="127" customWidth="1"/>
    <col min="10256" max="10256" width="0.33203125" style="127" customWidth="1"/>
    <col min="10257" max="10257" width="3.6640625" style="127" customWidth="1"/>
    <col min="10258" max="10258" width="0.33203125" style="127" customWidth="1"/>
    <col min="10259" max="10259" width="12" style="127" bestFit="1" customWidth="1"/>
    <col min="10260" max="10260" width="2.33203125" style="127" customWidth="1"/>
    <col min="10261" max="10496" width="8.88671875" style="127"/>
    <col min="10497" max="10497" width="10.6640625" style="127" customWidth="1"/>
    <col min="10498" max="10498" width="5" style="127" bestFit="1" customWidth="1"/>
    <col min="10499" max="10499" width="0.33203125" style="127" customWidth="1"/>
    <col min="10500" max="10500" width="12.6640625" style="127" customWidth="1"/>
    <col min="10501" max="10501" width="0.33203125" style="127" customWidth="1"/>
    <col min="10502" max="10502" width="15.6640625" style="127" customWidth="1"/>
    <col min="10503" max="10503" width="0.33203125" style="127" customWidth="1"/>
    <col min="10504" max="10504" width="12.88671875" style="127" customWidth="1"/>
    <col min="10505" max="10505" width="0.33203125" style="127" customWidth="1"/>
    <col min="10506" max="10506" width="12.6640625" style="127" customWidth="1"/>
    <col min="10507" max="10507" width="3.6640625" style="127" customWidth="1"/>
    <col min="10508" max="10508" width="0.33203125" style="127" customWidth="1"/>
    <col min="10509" max="10509" width="12.6640625" style="127" customWidth="1"/>
    <col min="10510" max="10510" width="0.33203125" style="127" customWidth="1"/>
    <col min="10511" max="10511" width="9.6640625" style="127" customWidth="1"/>
    <col min="10512" max="10512" width="0.33203125" style="127" customWidth="1"/>
    <col min="10513" max="10513" width="3.6640625" style="127" customWidth="1"/>
    <col min="10514" max="10514" width="0.33203125" style="127" customWidth="1"/>
    <col min="10515" max="10515" width="12" style="127" bestFit="1" customWidth="1"/>
    <col min="10516" max="10516" width="2.33203125" style="127" customWidth="1"/>
    <col min="10517" max="10752" width="8.88671875" style="127"/>
    <col min="10753" max="10753" width="10.6640625" style="127" customWidth="1"/>
    <col min="10754" max="10754" width="5" style="127" bestFit="1" customWidth="1"/>
    <col min="10755" max="10755" width="0.33203125" style="127" customWidth="1"/>
    <col min="10756" max="10756" width="12.6640625" style="127" customWidth="1"/>
    <col min="10757" max="10757" width="0.33203125" style="127" customWidth="1"/>
    <col min="10758" max="10758" width="15.6640625" style="127" customWidth="1"/>
    <col min="10759" max="10759" width="0.33203125" style="127" customWidth="1"/>
    <col min="10760" max="10760" width="12.88671875" style="127" customWidth="1"/>
    <col min="10761" max="10761" width="0.33203125" style="127" customWidth="1"/>
    <col min="10762" max="10762" width="12.6640625" style="127" customWidth="1"/>
    <col min="10763" max="10763" width="3.6640625" style="127" customWidth="1"/>
    <col min="10764" max="10764" width="0.33203125" style="127" customWidth="1"/>
    <col min="10765" max="10765" width="12.6640625" style="127" customWidth="1"/>
    <col min="10766" max="10766" width="0.33203125" style="127" customWidth="1"/>
    <col min="10767" max="10767" width="9.6640625" style="127" customWidth="1"/>
    <col min="10768" max="10768" width="0.33203125" style="127" customWidth="1"/>
    <col min="10769" max="10769" width="3.6640625" style="127" customWidth="1"/>
    <col min="10770" max="10770" width="0.33203125" style="127" customWidth="1"/>
    <col min="10771" max="10771" width="12" style="127" bestFit="1" customWidth="1"/>
    <col min="10772" max="10772" width="2.33203125" style="127" customWidth="1"/>
    <col min="10773" max="11008" width="8.88671875" style="127"/>
    <col min="11009" max="11009" width="10.6640625" style="127" customWidth="1"/>
    <col min="11010" max="11010" width="5" style="127" bestFit="1" customWidth="1"/>
    <col min="11011" max="11011" width="0.33203125" style="127" customWidth="1"/>
    <col min="11012" max="11012" width="12.6640625" style="127" customWidth="1"/>
    <col min="11013" max="11013" width="0.33203125" style="127" customWidth="1"/>
    <col min="11014" max="11014" width="15.6640625" style="127" customWidth="1"/>
    <col min="11015" max="11015" width="0.33203125" style="127" customWidth="1"/>
    <col min="11016" max="11016" width="12.88671875" style="127" customWidth="1"/>
    <col min="11017" max="11017" width="0.33203125" style="127" customWidth="1"/>
    <col min="11018" max="11018" width="12.6640625" style="127" customWidth="1"/>
    <col min="11019" max="11019" width="3.6640625" style="127" customWidth="1"/>
    <col min="11020" max="11020" width="0.33203125" style="127" customWidth="1"/>
    <col min="11021" max="11021" width="12.6640625" style="127" customWidth="1"/>
    <col min="11022" max="11022" width="0.33203125" style="127" customWidth="1"/>
    <col min="11023" max="11023" width="9.6640625" style="127" customWidth="1"/>
    <col min="11024" max="11024" width="0.33203125" style="127" customWidth="1"/>
    <col min="11025" max="11025" width="3.6640625" style="127" customWidth="1"/>
    <col min="11026" max="11026" width="0.33203125" style="127" customWidth="1"/>
    <col min="11027" max="11027" width="12" style="127" bestFit="1" customWidth="1"/>
    <col min="11028" max="11028" width="2.33203125" style="127" customWidth="1"/>
    <col min="11029" max="11264" width="8.88671875" style="127"/>
    <col min="11265" max="11265" width="10.6640625" style="127" customWidth="1"/>
    <col min="11266" max="11266" width="5" style="127" bestFit="1" customWidth="1"/>
    <col min="11267" max="11267" width="0.33203125" style="127" customWidth="1"/>
    <col min="11268" max="11268" width="12.6640625" style="127" customWidth="1"/>
    <col min="11269" max="11269" width="0.33203125" style="127" customWidth="1"/>
    <col min="11270" max="11270" width="15.6640625" style="127" customWidth="1"/>
    <col min="11271" max="11271" width="0.33203125" style="127" customWidth="1"/>
    <col min="11272" max="11272" width="12.88671875" style="127" customWidth="1"/>
    <col min="11273" max="11273" width="0.33203125" style="127" customWidth="1"/>
    <col min="11274" max="11274" width="12.6640625" style="127" customWidth="1"/>
    <col min="11275" max="11275" width="3.6640625" style="127" customWidth="1"/>
    <col min="11276" max="11276" width="0.33203125" style="127" customWidth="1"/>
    <col min="11277" max="11277" width="12.6640625" style="127" customWidth="1"/>
    <col min="11278" max="11278" width="0.33203125" style="127" customWidth="1"/>
    <col min="11279" max="11279" width="9.6640625" style="127" customWidth="1"/>
    <col min="11280" max="11280" width="0.33203125" style="127" customWidth="1"/>
    <col min="11281" max="11281" width="3.6640625" style="127" customWidth="1"/>
    <col min="11282" max="11282" width="0.33203125" style="127" customWidth="1"/>
    <col min="11283" max="11283" width="12" style="127" bestFit="1" customWidth="1"/>
    <col min="11284" max="11284" width="2.33203125" style="127" customWidth="1"/>
    <col min="11285" max="11520" width="8.88671875" style="127"/>
    <col min="11521" max="11521" width="10.6640625" style="127" customWidth="1"/>
    <col min="11522" max="11522" width="5" style="127" bestFit="1" customWidth="1"/>
    <col min="11523" max="11523" width="0.33203125" style="127" customWidth="1"/>
    <col min="11524" max="11524" width="12.6640625" style="127" customWidth="1"/>
    <col min="11525" max="11525" width="0.33203125" style="127" customWidth="1"/>
    <col min="11526" max="11526" width="15.6640625" style="127" customWidth="1"/>
    <col min="11527" max="11527" width="0.33203125" style="127" customWidth="1"/>
    <col min="11528" max="11528" width="12.88671875" style="127" customWidth="1"/>
    <col min="11529" max="11529" width="0.33203125" style="127" customWidth="1"/>
    <col min="11530" max="11530" width="12.6640625" style="127" customWidth="1"/>
    <col min="11531" max="11531" width="3.6640625" style="127" customWidth="1"/>
    <col min="11532" max="11532" width="0.33203125" style="127" customWidth="1"/>
    <col min="11533" max="11533" width="12.6640625" style="127" customWidth="1"/>
    <col min="11534" max="11534" width="0.33203125" style="127" customWidth="1"/>
    <col min="11535" max="11535" width="9.6640625" style="127" customWidth="1"/>
    <col min="11536" max="11536" width="0.33203125" style="127" customWidth="1"/>
    <col min="11537" max="11537" width="3.6640625" style="127" customWidth="1"/>
    <col min="11538" max="11538" width="0.33203125" style="127" customWidth="1"/>
    <col min="11539" max="11539" width="12" style="127" bestFit="1" customWidth="1"/>
    <col min="11540" max="11540" width="2.33203125" style="127" customWidth="1"/>
    <col min="11541" max="11776" width="8.88671875" style="127"/>
    <col min="11777" max="11777" width="10.6640625" style="127" customWidth="1"/>
    <col min="11778" max="11778" width="5" style="127" bestFit="1" customWidth="1"/>
    <col min="11779" max="11779" width="0.33203125" style="127" customWidth="1"/>
    <col min="11780" max="11780" width="12.6640625" style="127" customWidth="1"/>
    <col min="11781" max="11781" width="0.33203125" style="127" customWidth="1"/>
    <col min="11782" max="11782" width="15.6640625" style="127" customWidth="1"/>
    <col min="11783" max="11783" width="0.33203125" style="127" customWidth="1"/>
    <col min="11784" max="11784" width="12.88671875" style="127" customWidth="1"/>
    <col min="11785" max="11785" width="0.33203125" style="127" customWidth="1"/>
    <col min="11786" max="11786" width="12.6640625" style="127" customWidth="1"/>
    <col min="11787" max="11787" width="3.6640625" style="127" customWidth="1"/>
    <col min="11788" max="11788" width="0.33203125" style="127" customWidth="1"/>
    <col min="11789" max="11789" width="12.6640625" style="127" customWidth="1"/>
    <col min="11790" max="11790" width="0.33203125" style="127" customWidth="1"/>
    <col min="11791" max="11791" width="9.6640625" style="127" customWidth="1"/>
    <col min="11792" max="11792" width="0.33203125" style="127" customWidth="1"/>
    <col min="11793" max="11793" width="3.6640625" style="127" customWidth="1"/>
    <col min="11794" max="11794" width="0.33203125" style="127" customWidth="1"/>
    <col min="11795" max="11795" width="12" style="127" bestFit="1" customWidth="1"/>
    <col min="11796" max="11796" width="2.33203125" style="127" customWidth="1"/>
    <col min="11797" max="12032" width="8.88671875" style="127"/>
    <col min="12033" max="12033" width="10.6640625" style="127" customWidth="1"/>
    <col min="12034" max="12034" width="5" style="127" bestFit="1" customWidth="1"/>
    <col min="12035" max="12035" width="0.33203125" style="127" customWidth="1"/>
    <col min="12036" max="12036" width="12.6640625" style="127" customWidth="1"/>
    <col min="12037" max="12037" width="0.33203125" style="127" customWidth="1"/>
    <col min="12038" max="12038" width="15.6640625" style="127" customWidth="1"/>
    <col min="12039" max="12039" width="0.33203125" style="127" customWidth="1"/>
    <col min="12040" max="12040" width="12.88671875" style="127" customWidth="1"/>
    <col min="12041" max="12041" width="0.33203125" style="127" customWidth="1"/>
    <col min="12042" max="12042" width="12.6640625" style="127" customWidth="1"/>
    <col min="12043" max="12043" width="3.6640625" style="127" customWidth="1"/>
    <col min="12044" max="12044" width="0.33203125" style="127" customWidth="1"/>
    <col min="12045" max="12045" width="12.6640625" style="127" customWidth="1"/>
    <col min="12046" max="12046" width="0.33203125" style="127" customWidth="1"/>
    <col min="12047" max="12047" width="9.6640625" style="127" customWidth="1"/>
    <col min="12048" max="12048" width="0.33203125" style="127" customWidth="1"/>
    <col min="12049" max="12049" width="3.6640625" style="127" customWidth="1"/>
    <col min="12050" max="12050" width="0.33203125" style="127" customWidth="1"/>
    <col min="12051" max="12051" width="12" style="127" bestFit="1" customWidth="1"/>
    <col min="12052" max="12052" width="2.33203125" style="127" customWidth="1"/>
    <col min="12053" max="12288" width="8.88671875" style="127"/>
    <col min="12289" max="12289" width="10.6640625" style="127" customWidth="1"/>
    <col min="12290" max="12290" width="5" style="127" bestFit="1" customWidth="1"/>
    <col min="12291" max="12291" width="0.33203125" style="127" customWidth="1"/>
    <col min="12292" max="12292" width="12.6640625" style="127" customWidth="1"/>
    <col min="12293" max="12293" width="0.33203125" style="127" customWidth="1"/>
    <col min="12294" max="12294" width="15.6640625" style="127" customWidth="1"/>
    <col min="12295" max="12295" width="0.33203125" style="127" customWidth="1"/>
    <col min="12296" max="12296" width="12.88671875" style="127" customWidth="1"/>
    <col min="12297" max="12297" width="0.33203125" style="127" customWidth="1"/>
    <col min="12298" max="12298" width="12.6640625" style="127" customWidth="1"/>
    <col min="12299" max="12299" width="3.6640625" style="127" customWidth="1"/>
    <col min="12300" max="12300" width="0.33203125" style="127" customWidth="1"/>
    <col min="12301" max="12301" width="12.6640625" style="127" customWidth="1"/>
    <col min="12302" max="12302" width="0.33203125" style="127" customWidth="1"/>
    <col min="12303" max="12303" width="9.6640625" style="127" customWidth="1"/>
    <col min="12304" max="12304" width="0.33203125" style="127" customWidth="1"/>
    <col min="12305" max="12305" width="3.6640625" style="127" customWidth="1"/>
    <col min="12306" max="12306" width="0.33203125" style="127" customWidth="1"/>
    <col min="12307" max="12307" width="12" style="127" bestFit="1" customWidth="1"/>
    <col min="12308" max="12308" width="2.33203125" style="127" customWidth="1"/>
    <col min="12309" max="12544" width="8.88671875" style="127"/>
    <col min="12545" max="12545" width="10.6640625" style="127" customWidth="1"/>
    <col min="12546" max="12546" width="5" style="127" bestFit="1" customWidth="1"/>
    <col min="12547" max="12547" width="0.33203125" style="127" customWidth="1"/>
    <col min="12548" max="12548" width="12.6640625" style="127" customWidth="1"/>
    <col min="12549" max="12549" width="0.33203125" style="127" customWidth="1"/>
    <col min="12550" max="12550" width="15.6640625" style="127" customWidth="1"/>
    <col min="12551" max="12551" width="0.33203125" style="127" customWidth="1"/>
    <col min="12552" max="12552" width="12.88671875" style="127" customWidth="1"/>
    <col min="12553" max="12553" width="0.33203125" style="127" customWidth="1"/>
    <col min="12554" max="12554" width="12.6640625" style="127" customWidth="1"/>
    <col min="12555" max="12555" width="3.6640625" style="127" customWidth="1"/>
    <col min="12556" max="12556" width="0.33203125" style="127" customWidth="1"/>
    <col min="12557" max="12557" width="12.6640625" style="127" customWidth="1"/>
    <col min="12558" max="12558" width="0.33203125" style="127" customWidth="1"/>
    <col min="12559" max="12559" width="9.6640625" style="127" customWidth="1"/>
    <col min="12560" max="12560" width="0.33203125" style="127" customWidth="1"/>
    <col min="12561" max="12561" width="3.6640625" style="127" customWidth="1"/>
    <col min="12562" max="12562" width="0.33203125" style="127" customWidth="1"/>
    <col min="12563" max="12563" width="12" style="127" bestFit="1" customWidth="1"/>
    <col min="12564" max="12564" width="2.33203125" style="127" customWidth="1"/>
    <col min="12565" max="12800" width="8.88671875" style="127"/>
    <col min="12801" max="12801" width="10.6640625" style="127" customWidth="1"/>
    <col min="12802" max="12802" width="5" style="127" bestFit="1" customWidth="1"/>
    <col min="12803" max="12803" width="0.33203125" style="127" customWidth="1"/>
    <col min="12804" max="12804" width="12.6640625" style="127" customWidth="1"/>
    <col min="12805" max="12805" width="0.33203125" style="127" customWidth="1"/>
    <col min="12806" max="12806" width="15.6640625" style="127" customWidth="1"/>
    <col min="12807" max="12807" width="0.33203125" style="127" customWidth="1"/>
    <col min="12808" max="12808" width="12.88671875" style="127" customWidth="1"/>
    <col min="12809" max="12809" width="0.33203125" style="127" customWidth="1"/>
    <col min="12810" max="12810" width="12.6640625" style="127" customWidth="1"/>
    <col min="12811" max="12811" width="3.6640625" style="127" customWidth="1"/>
    <col min="12812" max="12812" width="0.33203125" style="127" customWidth="1"/>
    <col min="12813" max="12813" width="12.6640625" style="127" customWidth="1"/>
    <col min="12814" max="12814" width="0.33203125" style="127" customWidth="1"/>
    <col min="12815" max="12815" width="9.6640625" style="127" customWidth="1"/>
    <col min="12816" max="12816" width="0.33203125" style="127" customWidth="1"/>
    <col min="12817" max="12817" width="3.6640625" style="127" customWidth="1"/>
    <col min="12818" max="12818" width="0.33203125" style="127" customWidth="1"/>
    <col min="12819" max="12819" width="12" style="127" bestFit="1" customWidth="1"/>
    <col min="12820" max="12820" width="2.33203125" style="127" customWidth="1"/>
    <col min="12821" max="13056" width="8.88671875" style="127"/>
    <col min="13057" max="13057" width="10.6640625" style="127" customWidth="1"/>
    <col min="13058" max="13058" width="5" style="127" bestFit="1" customWidth="1"/>
    <col min="13059" max="13059" width="0.33203125" style="127" customWidth="1"/>
    <col min="13060" max="13060" width="12.6640625" style="127" customWidth="1"/>
    <col min="13061" max="13061" width="0.33203125" style="127" customWidth="1"/>
    <col min="13062" max="13062" width="15.6640625" style="127" customWidth="1"/>
    <col min="13063" max="13063" width="0.33203125" style="127" customWidth="1"/>
    <col min="13064" max="13064" width="12.88671875" style="127" customWidth="1"/>
    <col min="13065" max="13065" width="0.33203125" style="127" customWidth="1"/>
    <col min="13066" max="13066" width="12.6640625" style="127" customWidth="1"/>
    <col min="13067" max="13067" width="3.6640625" style="127" customWidth="1"/>
    <col min="13068" max="13068" width="0.33203125" style="127" customWidth="1"/>
    <col min="13069" max="13069" width="12.6640625" style="127" customWidth="1"/>
    <col min="13070" max="13070" width="0.33203125" style="127" customWidth="1"/>
    <col min="13071" max="13071" width="9.6640625" style="127" customWidth="1"/>
    <col min="13072" max="13072" width="0.33203125" style="127" customWidth="1"/>
    <col min="13073" max="13073" width="3.6640625" style="127" customWidth="1"/>
    <col min="13074" max="13074" width="0.33203125" style="127" customWidth="1"/>
    <col min="13075" max="13075" width="12" style="127" bestFit="1" customWidth="1"/>
    <col min="13076" max="13076" width="2.33203125" style="127" customWidth="1"/>
    <col min="13077" max="13312" width="8.88671875" style="127"/>
    <col min="13313" max="13313" width="10.6640625" style="127" customWidth="1"/>
    <col min="13314" max="13314" width="5" style="127" bestFit="1" customWidth="1"/>
    <col min="13315" max="13315" width="0.33203125" style="127" customWidth="1"/>
    <col min="13316" max="13316" width="12.6640625" style="127" customWidth="1"/>
    <col min="13317" max="13317" width="0.33203125" style="127" customWidth="1"/>
    <col min="13318" max="13318" width="15.6640625" style="127" customWidth="1"/>
    <col min="13319" max="13319" width="0.33203125" style="127" customWidth="1"/>
    <col min="13320" max="13320" width="12.88671875" style="127" customWidth="1"/>
    <col min="13321" max="13321" width="0.33203125" style="127" customWidth="1"/>
    <col min="13322" max="13322" width="12.6640625" style="127" customWidth="1"/>
    <col min="13323" max="13323" width="3.6640625" style="127" customWidth="1"/>
    <col min="13324" max="13324" width="0.33203125" style="127" customWidth="1"/>
    <col min="13325" max="13325" width="12.6640625" style="127" customWidth="1"/>
    <col min="13326" max="13326" width="0.33203125" style="127" customWidth="1"/>
    <col min="13327" max="13327" width="9.6640625" style="127" customWidth="1"/>
    <col min="13328" max="13328" width="0.33203125" style="127" customWidth="1"/>
    <col min="13329" max="13329" width="3.6640625" style="127" customWidth="1"/>
    <col min="13330" max="13330" width="0.33203125" style="127" customWidth="1"/>
    <col min="13331" max="13331" width="12" style="127" bestFit="1" customWidth="1"/>
    <col min="13332" max="13332" width="2.33203125" style="127" customWidth="1"/>
    <col min="13333" max="13568" width="8.88671875" style="127"/>
    <col min="13569" max="13569" width="10.6640625" style="127" customWidth="1"/>
    <col min="13570" max="13570" width="5" style="127" bestFit="1" customWidth="1"/>
    <col min="13571" max="13571" width="0.33203125" style="127" customWidth="1"/>
    <col min="13572" max="13572" width="12.6640625" style="127" customWidth="1"/>
    <col min="13573" max="13573" width="0.33203125" style="127" customWidth="1"/>
    <col min="13574" max="13574" width="15.6640625" style="127" customWidth="1"/>
    <col min="13575" max="13575" width="0.33203125" style="127" customWidth="1"/>
    <col min="13576" max="13576" width="12.88671875" style="127" customWidth="1"/>
    <col min="13577" max="13577" width="0.33203125" style="127" customWidth="1"/>
    <col min="13578" max="13578" width="12.6640625" style="127" customWidth="1"/>
    <col min="13579" max="13579" width="3.6640625" style="127" customWidth="1"/>
    <col min="13580" max="13580" width="0.33203125" style="127" customWidth="1"/>
    <col min="13581" max="13581" width="12.6640625" style="127" customWidth="1"/>
    <col min="13582" max="13582" width="0.33203125" style="127" customWidth="1"/>
    <col min="13583" max="13583" width="9.6640625" style="127" customWidth="1"/>
    <col min="13584" max="13584" width="0.33203125" style="127" customWidth="1"/>
    <col min="13585" max="13585" width="3.6640625" style="127" customWidth="1"/>
    <col min="13586" max="13586" width="0.33203125" style="127" customWidth="1"/>
    <col min="13587" max="13587" width="12" style="127" bestFit="1" customWidth="1"/>
    <col min="13588" max="13588" width="2.33203125" style="127" customWidth="1"/>
    <col min="13589" max="13824" width="8.88671875" style="127"/>
    <col min="13825" max="13825" width="10.6640625" style="127" customWidth="1"/>
    <col min="13826" max="13826" width="5" style="127" bestFit="1" customWidth="1"/>
    <col min="13827" max="13827" width="0.33203125" style="127" customWidth="1"/>
    <col min="13828" max="13828" width="12.6640625" style="127" customWidth="1"/>
    <col min="13829" max="13829" width="0.33203125" style="127" customWidth="1"/>
    <col min="13830" max="13830" width="15.6640625" style="127" customWidth="1"/>
    <col min="13831" max="13831" width="0.33203125" style="127" customWidth="1"/>
    <col min="13832" max="13832" width="12.88671875" style="127" customWidth="1"/>
    <col min="13833" max="13833" width="0.33203125" style="127" customWidth="1"/>
    <col min="13834" max="13834" width="12.6640625" style="127" customWidth="1"/>
    <col min="13835" max="13835" width="3.6640625" style="127" customWidth="1"/>
    <col min="13836" max="13836" width="0.33203125" style="127" customWidth="1"/>
    <col min="13837" max="13837" width="12.6640625" style="127" customWidth="1"/>
    <col min="13838" max="13838" width="0.33203125" style="127" customWidth="1"/>
    <col min="13839" max="13839" width="9.6640625" style="127" customWidth="1"/>
    <col min="13840" max="13840" width="0.33203125" style="127" customWidth="1"/>
    <col min="13841" max="13841" width="3.6640625" style="127" customWidth="1"/>
    <col min="13842" max="13842" width="0.33203125" style="127" customWidth="1"/>
    <col min="13843" max="13843" width="12" style="127" bestFit="1" customWidth="1"/>
    <col min="13844" max="13844" width="2.33203125" style="127" customWidth="1"/>
    <col min="13845" max="14080" width="8.88671875" style="127"/>
    <col min="14081" max="14081" width="10.6640625" style="127" customWidth="1"/>
    <col min="14082" max="14082" width="5" style="127" bestFit="1" customWidth="1"/>
    <col min="14083" max="14083" width="0.33203125" style="127" customWidth="1"/>
    <col min="14084" max="14084" width="12.6640625" style="127" customWidth="1"/>
    <col min="14085" max="14085" width="0.33203125" style="127" customWidth="1"/>
    <col min="14086" max="14086" width="15.6640625" style="127" customWidth="1"/>
    <col min="14087" max="14087" width="0.33203125" style="127" customWidth="1"/>
    <col min="14088" max="14088" width="12.88671875" style="127" customWidth="1"/>
    <col min="14089" max="14089" width="0.33203125" style="127" customWidth="1"/>
    <col min="14090" max="14090" width="12.6640625" style="127" customWidth="1"/>
    <col min="14091" max="14091" width="3.6640625" style="127" customWidth="1"/>
    <col min="14092" max="14092" width="0.33203125" style="127" customWidth="1"/>
    <col min="14093" max="14093" width="12.6640625" style="127" customWidth="1"/>
    <col min="14094" max="14094" width="0.33203125" style="127" customWidth="1"/>
    <col min="14095" max="14095" width="9.6640625" style="127" customWidth="1"/>
    <col min="14096" max="14096" width="0.33203125" style="127" customWidth="1"/>
    <col min="14097" max="14097" width="3.6640625" style="127" customWidth="1"/>
    <col min="14098" max="14098" width="0.33203125" style="127" customWidth="1"/>
    <col min="14099" max="14099" width="12" style="127" bestFit="1" customWidth="1"/>
    <col min="14100" max="14100" width="2.33203125" style="127" customWidth="1"/>
    <col min="14101" max="14336" width="8.88671875" style="127"/>
    <col min="14337" max="14337" width="10.6640625" style="127" customWidth="1"/>
    <col min="14338" max="14338" width="5" style="127" bestFit="1" customWidth="1"/>
    <col min="14339" max="14339" width="0.33203125" style="127" customWidth="1"/>
    <col min="14340" max="14340" width="12.6640625" style="127" customWidth="1"/>
    <col min="14341" max="14341" width="0.33203125" style="127" customWidth="1"/>
    <col min="14342" max="14342" width="15.6640625" style="127" customWidth="1"/>
    <col min="14343" max="14343" width="0.33203125" style="127" customWidth="1"/>
    <col min="14344" max="14344" width="12.88671875" style="127" customWidth="1"/>
    <col min="14345" max="14345" width="0.33203125" style="127" customWidth="1"/>
    <col min="14346" max="14346" width="12.6640625" style="127" customWidth="1"/>
    <col min="14347" max="14347" width="3.6640625" style="127" customWidth="1"/>
    <col min="14348" max="14348" width="0.33203125" style="127" customWidth="1"/>
    <col min="14349" max="14349" width="12.6640625" style="127" customWidth="1"/>
    <col min="14350" max="14350" width="0.33203125" style="127" customWidth="1"/>
    <col min="14351" max="14351" width="9.6640625" style="127" customWidth="1"/>
    <col min="14352" max="14352" width="0.33203125" style="127" customWidth="1"/>
    <col min="14353" max="14353" width="3.6640625" style="127" customWidth="1"/>
    <col min="14354" max="14354" width="0.33203125" style="127" customWidth="1"/>
    <col min="14355" max="14355" width="12" style="127" bestFit="1" customWidth="1"/>
    <col min="14356" max="14356" width="2.33203125" style="127" customWidth="1"/>
    <col min="14357" max="14592" width="8.88671875" style="127"/>
    <col min="14593" max="14593" width="10.6640625" style="127" customWidth="1"/>
    <col min="14594" max="14594" width="5" style="127" bestFit="1" customWidth="1"/>
    <col min="14595" max="14595" width="0.33203125" style="127" customWidth="1"/>
    <col min="14596" max="14596" width="12.6640625" style="127" customWidth="1"/>
    <col min="14597" max="14597" width="0.33203125" style="127" customWidth="1"/>
    <col min="14598" max="14598" width="15.6640625" style="127" customWidth="1"/>
    <col min="14599" max="14599" width="0.33203125" style="127" customWidth="1"/>
    <col min="14600" max="14600" width="12.88671875" style="127" customWidth="1"/>
    <col min="14601" max="14601" width="0.33203125" style="127" customWidth="1"/>
    <col min="14602" max="14602" width="12.6640625" style="127" customWidth="1"/>
    <col min="14603" max="14603" width="3.6640625" style="127" customWidth="1"/>
    <col min="14604" max="14604" width="0.33203125" style="127" customWidth="1"/>
    <col min="14605" max="14605" width="12.6640625" style="127" customWidth="1"/>
    <col min="14606" max="14606" width="0.33203125" style="127" customWidth="1"/>
    <col min="14607" max="14607" width="9.6640625" style="127" customWidth="1"/>
    <col min="14608" max="14608" width="0.33203125" style="127" customWidth="1"/>
    <col min="14609" max="14609" width="3.6640625" style="127" customWidth="1"/>
    <col min="14610" max="14610" width="0.33203125" style="127" customWidth="1"/>
    <col min="14611" max="14611" width="12" style="127" bestFit="1" customWidth="1"/>
    <col min="14612" max="14612" width="2.33203125" style="127" customWidth="1"/>
    <col min="14613" max="14848" width="8.88671875" style="127"/>
    <col min="14849" max="14849" width="10.6640625" style="127" customWidth="1"/>
    <col min="14850" max="14850" width="5" style="127" bestFit="1" customWidth="1"/>
    <col min="14851" max="14851" width="0.33203125" style="127" customWidth="1"/>
    <col min="14852" max="14852" width="12.6640625" style="127" customWidth="1"/>
    <col min="14853" max="14853" width="0.33203125" style="127" customWidth="1"/>
    <col min="14854" max="14854" width="15.6640625" style="127" customWidth="1"/>
    <col min="14855" max="14855" width="0.33203125" style="127" customWidth="1"/>
    <col min="14856" max="14856" width="12.88671875" style="127" customWidth="1"/>
    <col min="14857" max="14857" width="0.33203125" style="127" customWidth="1"/>
    <col min="14858" max="14858" width="12.6640625" style="127" customWidth="1"/>
    <col min="14859" max="14859" width="3.6640625" style="127" customWidth="1"/>
    <col min="14860" max="14860" width="0.33203125" style="127" customWidth="1"/>
    <col min="14861" max="14861" width="12.6640625" style="127" customWidth="1"/>
    <col min="14862" max="14862" width="0.33203125" style="127" customWidth="1"/>
    <col min="14863" max="14863" width="9.6640625" style="127" customWidth="1"/>
    <col min="14864" max="14864" width="0.33203125" style="127" customWidth="1"/>
    <col min="14865" max="14865" width="3.6640625" style="127" customWidth="1"/>
    <col min="14866" max="14866" width="0.33203125" style="127" customWidth="1"/>
    <col min="14867" max="14867" width="12" style="127" bestFit="1" customWidth="1"/>
    <col min="14868" max="14868" width="2.33203125" style="127" customWidth="1"/>
    <col min="14869" max="15104" width="8.88671875" style="127"/>
    <col min="15105" max="15105" width="10.6640625" style="127" customWidth="1"/>
    <col min="15106" max="15106" width="5" style="127" bestFit="1" customWidth="1"/>
    <col min="15107" max="15107" width="0.33203125" style="127" customWidth="1"/>
    <col min="15108" max="15108" width="12.6640625" style="127" customWidth="1"/>
    <col min="15109" max="15109" width="0.33203125" style="127" customWidth="1"/>
    <col min="15110" max="15110" width="15.6640625" style="127" customWidth="1"/>
    <col min="15111" max="15111" width="0.33203125" style="127" customWidth="1"/>
    <col min="15112" max="15112" width="12.88671875" style="127" customWidth="1"/>
    <col min="15113" max="15113" width="0.33203125" style="127" customWidth="1"/>
    <col min="15114" max="15114" width="12.6640625" style="127" customWidth="1"/>
    <col min="15115" max="15115" width="3.6640625" style="127" customWidth="1"/>
    <col min="15116" max="15116" width="0.33203125" style="127" customWidth="1"/>
    <col min="15117" max="15117" width="12.6640625" style="127" customWidth="1"/>
    <col min="15118" max="15118" width="0.33203125" style="127" customWidth="1"/>
    <col min="15119" max="15119" width="9.6640625" style="127" customWidth="1"/>
    <col min="15120" max="15120" width="0.33203125" style="127" customWidth="1"/>
    <col min="15121" max="15121" width="3.6640625" style="127" customWidth="1"/>
    <col min="15122" max="15122" width="0.33203125" style="127" customWidth="1"/>
    <col min="15123" max="15123" width="12" style="127" bestFit="1" customWidth="1"/>
    <col min="15124" max="15124" width="2.33203125" style="127" customWidth="1"/>
    <col min="15125" max="15360" width="8.88671875" style="127"/>
    <col min="15361" max="15361" width="10.6640625" style="127" customWidth="1"/>
    <col min="15362" max="15362" width="5" style="127" bestFit="1" customWidth="1"/>
    <col min="15363" max="15363" width="0.33203125" style="127" customWidth="1"/>
    <col min="15364" max="15364" width="12.6640625" style="127" customWidth="1"/>
    <col min="15365" max="15365" width="0.33203125" style="127" customWidth="1"/>
    <col min="15366" max="15366" width="15.6640625" style="127" customWidth="1"/>
    <col min="15367" max="15367" width="0.33203125" style="127" customWidth="1"/>
    <col min="15368" max="15368" width="12.88671875" style="127" customWidth="1"/>
    <col min="15369" max="15369" width="0.33203125" style="127" customWidth="1"/>
    <col min="15370" max="15370" width="12.6640625" style="127" customWidth="1"/>
    <col min="15371" max="15371" width="3.6640625" style="127" customWidth="1"/>
    <col min="15372" max="15372" width="0.33203125" style="127" customWidth="1"/>
    <col min="15373" max="15373" width="12.6640625" style="127" customWidth="1"/>
    <col min="15374" max="15374" width="0.33203125" style="127" customWidth="1"/>
    <col min="15375" max="15375" width="9.6640625" style="127" customWidth="1"/>
    <col min="15376" max="15376" width="0.33203125" style="127" customWidth="1"/>
    <col min="15377" max="15377" width="3.6640625" style="127" customWidth="1"/>
    <col min="15378" max="15378" width="0.33203125" style="127" customWidth="1"/>
    <col min="15379" max="15379" width="12" style="127" bestFit="1" customWidth="1"/>
    <col min="15380" max="15380" width="2.33203125" style="127" customWidth="1"/>
    <col min="15381" max="15616" width="8.88671875" style="127"/>
    <col min="15617" max="15617" width="10.6640625" style="127" customWidth="1"/>
    <col min="15618" max="15618" width="5" style="127" bestFit="1" customWidth="1"/>
    <col min="15619" max="15619" width="0.33203125" style="127" customWidth="1"/>
    <col min="15620" max="15620" width="12.6640625" style="127" customWidth="1"/>
    <col min="15621" max="15621" width="0.33203125" style="127" customWidth="1"/>
    <col min="15622" max="15622" width="15.6640625" style="127" customWidth="1"/>
    <col min="15623" max="15623" width="0.33203125" style="127" customWidth="1"/>
    <col min="15624" max="15624" width="12.88671875" style="127" customWidth="1"/>
    <col min="15625" max="15625" width="0.33203125" style="127" customWidth="1"/>
    <col min="15626" max="15626" width="12.6640625" style="127" customWidth="1"/>
    <col min="15627" max="15627" width="3.6640625" style="127" customWidth="1"/>
    <col min="15628" max="15628" width="0.33203125" style="127" customWidth="1"/>
    <col min="15629" max="15629" width="12.6640625" style="127" customWidth="1"/>
    <col min="15630" max="15630" width="0.33203125" style="127" customWidth="1"/>
    <col min="15631" max="15631" width="9.6640625" style="127" customWidth="1"/>
    <col min="15632" max="15632" width="0.33203125" style="127" customWidth="1"/>
    <col min="15633" max="15633" width="3.6640625" style="127" customWidth="1"/>
    <col min="15634" max="15634" width="0.33203125" style="127" customWidth="1"/>
    <col min="15635" max="15635" width="12" style="127" bestFit="1" customWidth="1"/>
    <col min="15636" max="15636" width="2.33203125" style="127" customWidth="1"/>
    <col min="15637" max="15872" width="8.88671875" style="127"/>
    <col min="15873" max="15873" width="10.6640625" style="127" customWidth="1"/>
    <col min="15874" max="15874" width="5" style="127" bestFit="1" customWidth="1"/>
    <col min="15875" max="15875" width="0.33203125" style="127" customWidth="1"/>
    <col min="15876" max="15876" width="12.6640625" style="127" customWidth="1"/>
    <col min="15877" max="15877" width="0.33203125" style="127" customWidth="1"/>
    <col min="15878" max="15878" width="15.6640625" style="127" customWidth="1"/>
    <col min="15879" max="15879" width="0.33203125" style="127" customWidth="1"/>
    <col min="15880" max="15880" width="12.88671875" style="127" customWidth="1"/>
    <col min="15881" max="15881" width="0.33203125" style="127" customWidth="1"/>
    <col min="15882" max="15882" width="12.6640625" style="127" customWidth="1"/>
    <col min="15883" max="15883" width="3.6640625" style="127" customWidth="1"/>
    <col min="15884" max="15884" width="0.33203125" style="127" customWidth="1"/>
    <col min="15885" max="15885" width="12.6640625" style="127" customWidth="1"/>
    <col min="15886" max="15886" width="0.33203125" style="127" customWidth="1"/>
    <col min="15887" max="15887" width="9.6640625" style="127" customWidth="1"/>
    <col min="15888" max="15888" width="0.33203125" style="127" customWidth="1"/>
    <col min="15889" max="15889" width="3.6640625" style="127" customWidth="1"/>
    <col min="15890" max="15890" width="0.33203125" style="127" customWidth="1"/>
    <col min="15891" max="15891" width="12" style="127" bestFit="1" customWidth="1"/>
    <col min="15892" max="15892" width="2.33203125" style="127" customWidth="1"/>
    <col min="15893" max="16128" width="8.88671875" style="127"/>
    <col min="16129" max="16129" width="10.6640625" style="127" customWidth="1"/>
    <col min="16130" max="16130" width="5" style="127" bestFit="1" customWidth="1"/>
    <col min="16131" max="16131" width="0.33203125" style="127" customWidth="1"/>
    <col min="16132" max="16132" width="12.6640625" style="127" customWidth="1"/>
    <col min="16133" max="16133" width="0.33203125" style="127" customWidth="1"/>
    <col min="16134" max="16134" width="15.6640625" style="127" customWidth="1"/>
    <col min="16135" max="16135" width="0.33203125" style="127" customWidth="1"/>
    <col min="16136" max="16136" width="12.88671875" style="127" customWidth="1"/>
    <col min="16137" max="16137" width="0.33203125" style="127" customWidth="1"/>
    <col min="16138" max="16138" width="12.6640625" style="127" customWidth="1"/>
    <col min="16139" max="16139" width="3.6640625" style="127" customWidth="1"/>
    <col min="16140" max="16140" width="0.33203125" style="127" customWidth="1"/>
    <col min="16141" max="16141" width="12.6640625" style="127" customWidth="1"/>
    <col min="16142" max="16142" width="0.33203125" style="127" customWidth="1"/>
    <col min="16143" max="16143" width="9.6640625" style="127" customWidth="1"/>
    <col min="16144" max="16144" width="0.33203125" style="127" customWidth="1"/>
    <col min="16145" max="16145" width="3.6640625" style="127" customWidth="1"/>
    <col min="16146" max="16146" width="0.33203125" style="127" customWidth="1"/>
    <col min="16147" max="16147" width="12" style="127" bestFit="1" customWidth="1"/>
    <col min="16148" max="16148" width="2.33203125" style="127" customWidth="1"/>
    <col min="16149" max="16384" width="8.88671875" style="127"/>
  </cols>
  <sheetData>
    <row r="1" spans="2:20" ht="15" customHeight="1" x14ac:dyDescent="0.25"/>
    <row r="4" spans="2:20" ht="14.4" customHeight="1" x14ac:dyDescent="0.25">
      <c r="B4" s="239" t="s">
        <v>187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</row>
    <row r="5" spans="2:20" ht="14.4" customHeight="1" x14ac:dyDescent="0.25">
      <c r="B5" s="240" t="s">
        <v>186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</row>
    <row r="6" spans="2:20" ht="14.4" customHeight="1" x14ac:dyDescent="0.25">
      <c r="B6" s="241" t="s">
        <v>195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</row>
    <row r="8" spans="2:20" x14ac:dyDescent="0.25">
      <c r="J8" s="126"/>
    </row>
    <row r="9" spans="2:20" ht="13.95" thickBot="1" x14ac:dyDescent="0.3">
      <c r="B9" s="12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</row>
    <row r="10" spans="2:20" ht="30" customHeight="1" thickBot="1" x14ac:dyDescent="0.3">
      <c r="B10" s="131" t="s">
        <v>154</v>
      </c>
      <c r="C10" s="132"/>
      <c r="D10" s="133" t="s">
        <v>155</v>
      </c>
      <c r="E10" s="134"/>
      <c r="F10" s="135" t="s">
        <v>156</v>
      </c>
      <c r="G10" s="134"/>
      <c r="H10" s="135" t="s">
        <v>157</v>
      </c>
      <c r="I10" s="134"/>
      <c r="J10" s="135" t="s">
        <v>158</v>
      </c>
      <c r="K10" s="136"/>
      <c r="L10" s="134"/>
      <c r="M10" s="135" t="s">
        <v>159</v>
      </c>
      <c r="N10" s="137"/>
      <c r="O10" s="138" t="s">
        <v>160</v>
      </c>
      <c r="P10" s="139"/>
      <c r="Q10" s="140"/>
      <c r="R10" s="137"/>
      <c r="S10" s="141" t="s">
        <v>161</v>
      </c>
      <c r="T10" s="142"/>
    </row>
    <row r="11" spans="2:20" ht="30" customHeight="1" thickBot="1" x14ac:dyDescent="0.3">
      <c r="B11" s="143"/>
      <c r="C11" s="144"/>
      <c r="D11" s="145"/>
      <c r="E11" s="144"/>
      <c r="F11" s="146" t="s">
        <v>162</v>
      </c>
      <c r="G11" s="144"/>
      <c r="H11" s="145"/>
      <c r="I11" s="144"/>
      <c r="J11" s="145"/>
      <c r="K11" s="147"/>
      <c r="L11" s="144"/>
      <c r="M11" s="145"/>
      <c r="N11" s="148"/>
      <c r="O11" s="149"/>
      <c r="P11" s="150"/>
      <c r="Q11" s="151"/>
      <c r="R11" s="148"/>
      <c r="S11" s="152"/>
      <c r="T11" s="142"/>
    </row>
    <row r="12" spans="2:20" ht="12.75" customHeight="1" x14ac:dyDescent="0.25">
      <c r="B12" s="153"/>
      <c r="C12" s="154"/>
      <c r="D12" s="155"/>
      <c r="E12" s="154"/>
      <c r="F12" s="155"/>
      <c r="G12" s="154"/>
      <c r="H12" s="155"/>
      <c r="I12" s="154"/>
      <c r="J12" s="155"/>
      <c r="K12" s="156"/>
      <c r="L12" s="154"/>
      <c r="M12" s="155"/>
      <c r="N12" s="154"/>
      <c r="O12" s="155"/>
      <c r="P12" s="154"/>
      <c r="Q12" s="155"/>
      <c r="R12" s="154"/>
      <c r="S12" s="157"/>
      <c r="T12" s="130"/>
    </row>
    <row r="13" spans="2:20" ht="15" customHeight="1" x14ac:dyDescent="0.3">
      <c r="B13" s="158">
        <v>1</v>
      </c>
      <c r="C13" s="148"/>
      <c r="D13" s="151" t="s">
        <v>163</v>
      </c>
      <c r="E13" s="148"/>
      <c r="F13" s="159">
        <v>585086099</v>
      </c>
      <c r="G13" s="148"/>
      <c r="H13" s="160">
        <f>ROUND(F13/$F$18,4)</f>
        <v>0.5151</v>
      </c>
      <c r="I13" s="148"/>
      <c r="J13" s="161">
        <v>5.4100000000000002E-2</v>
      </c>
      <c r="K13" s="162"/>
      <c r="L13" s="148"/>
      <c r="M13" s="160">
        <f>ROUND(H13*J13,4)</f>
        <v>2.7900000000000001E-2</v>
      </c>
      <c r="N13" s="148"/>
      <c r="O13" s="163">
        <v>1</v>
      </c>
      <c r="P13" s="148"/>
      <c r="Q13" s="164"/>
      <c r="R13" s="148"/>
      <c r="S13" s="165">
        <f>ROUND(M13*O13,6)</f>
        <v>2.7900000000000001E-2</v>
      </c>
      <c r="T13" s="166"/>
    </row>
    <row r="14" spans="2:20" ht="14.4" x14ac:dyDescent="0.3">
      <c r="B14" s="158">
        <f>+B13+1</f>
        <v>2</v>
      </c>
      <c r="C14" s="148"/>
      <c r="D14" s="151" t="s">
        <v>164</v>
      </c>
      <c r="E14" s="148"/>
      <c r="F14" s="159">
        <v>0</v>
      </c>
      <c r="G14" s="148"/>
      <c r="H14" s="160">
        <f>ROUND(F14/$F$18,4)</f>
        <v>0</v>
      </c>
      <c r="I14" s="148"/>
      <c r="J14" s="161">
        <v>3.8E-3</v>
      </c>
      <c r="K14" s="162"/>
      <c r="L14" s="148"/>
      <c r="M14" s="160">
        <f>ROUND(H14*J14,4)</f>
        <v>0</v>
      </c>
      <c r="N14" s="148"/>
      <c r="O14" s="163">
        <v>1</v>
      </c>
      <c r="P14" s="148"/>
      <c r="Q14" s="151"/>
      <c r="R14" s="148"/>
      <c r="S14" s="165">
        <f>ROUND(M14*O14,6)</f>
        <v>0</v>
      </c>
      <c r="T14" s="166"/>
    </row>
    <row r="15" spans="2:20" ht="25.95" x14ac:dyDescent="0.3">
      <c r="B15" s="158">
        <f>+B14+1</f>
        <v>3</v>
      </c>
      <c r="C15" s="148"/>
      <c r="D15" s="167" t="s">
        <v>165</v>
      </c>
      <c r="E15" s="148"/>
      <c r="F15" s="159">
        <v>51835808</v>
      </c>
      <c r="G15" s="148"/>
      <c r="H15" s="160">
        <f>ROUND(F15/$F$18,4)</f>
        <v>4.5600000000000002E-2</v>
      </c>
      <c r="I15" s="148"/>
      <c r="J15" s="161">
        <v>1.0699999999999999E-2</v>
      </c>
      <c r="K15" s="162"/>
      <c r="L15" s="148"/>
      <c r="M15" s="160">
        <f>ROUND(H15*J15,4)</f>
        <v>5.0000000000000001E-4</v>
      </c>
      <c r="N15" s="148"/>
      <c r="O15" s="163">
        <v>1</v>
      </c>
      <c r="P15" s="148"/>
      <c r="Q15" s="151"/>
      <c r="R15" s="148"/>
      <c r="S15" s="165">
        <f>ROUND(M15*O15,6)</f>
        <v>5.0000000000000001E-4</v>
      </c>
      <c r="T15" s="166"/>
    </row>
    <row r="16" spans="2:20" ht="14.4" x14ac:dyDescent="0.3">
      <c r="B16" s="158">
        <f>+B15+1</f>
        <v>4</v>
      </c>
      <c r="C16" s="148"/>
      <c r="D16" s="151" t="s">
        <v>166</v>
      </c>
      <c r="E16" s="148"/>
      <c r="F16" s="159">
        <v>498888221</v>
      </c>
      <c r="G16" s="148"/>
      <c r="H16" s="160">
        <f>ROUND(F16/$F$18,4)+0.0001</f>
        <v>0.43929999999999997</v>
      </c>
      <c r="I16" s="148"/>
      <c r="J16" s="168">
        <v>0.10249999999999999</v>
      </c>
      <c r="K16" s="169" t="s">
        <v>167</v>
      </c>
      <c r="L16" s="148"/>
      <c r="M16" s="160">
        <f>ROUND(H16*J16,4)</f>
        <v>4.4999999999999998E-2</v>
      </c>
      <c r="N16" s="148"/>
      <c r="O16" s="170">
        <f>S46</f>
        <v>1.608535</v>
      </c>
      <c r="P16" s="148"/>
      <c r="Q16" s="171"/>
      <c r="R16" s="148"/>
      <c r="S16" s="165">
        <f>ROUND(M16*O16,6)</f>
        <v>7.2384000000000004E-2</v>
      </c>
      <c r="T16" s="166"/>
    </row>
    <row r="17" spans="2:20" ht="14.4" x14ac:dyDescent="0.3">
      <c r="B17" s="158"/>
      <c r="C17" s="148"/>
      <c r="D17" s="151"/>
      <c r="E17" s="148"/>
      <c r="F17" s="159"/>
      <c r="G17" s="148"/>
      <c r="H17" s="172"/>
      <c r="I17" s="148"/>
      <c r="J17" s="173"/>
      <c r="K17" s="162"/>
      <c r="L17" s="148"/>
      <c r="M17" s="172"/>
      <c r="N17" s="148"/>
      <c r="O17" s="149"/>
      <c r="P17" s="148"/>
      <c r="Q17" s="151"/>
      <c r="R17" s="148"/>
      <c r="S17" s="174"/>
      <c r="T17" s="175"/>
    </row>
    <row r="18" spans="2:20" ht="40.200000000000003" x14ac:dyDescent="0.3">
      <c r="B18" s="158">
        <f>+B16+1</f>
        <v>5</v>
      </c>
      <c r="C18" s="148"/>
      <c r="D18" s="151" t="s">
        <v>168</v>
      </c>
      <c r="E18" s="148"/>
      <c r="F18" s="176">
        <f>SUM(F13:F16)</f>
        <v>1135810128</v>
      </c>
      <c r="G18" s="148"/>
      <c r="H18" s="177">
        <f>SUM(H13:H16)</f>
        <v>1</v>
      </c>
      <c r="I18" s="148"/>
      <c r="J18" s="173"/>
      <c r="K18" s="162"/>
      <c r="L18" s="148"/>
      <c r="M18" s="177" t="s">
        <v>149</v>
      </c>
      <c r="N18" s="148"/>
      <c r="O18" s="151"/>
      <c r="P18" s="148"/>
      <c r="Q18" s="151"/>
      <c r="R18" s="148"/>
      <c r="S18" s="178">
        <f>SUM(S13:S17)</f>
        <v>0.10078400000000001</v>
      </c>
      <c r="T18" s="179" t="s">
        <v>193</v>
      </c>
    </row>
    <row r="19" spans="2:20" ht="14.4" x14ac:dyDescent="0.3">
      <c r="B19" s="158"/>
      <c r="C19" s="148"/>
      <c r="D19" s="151"/>
      <c r="E19" s="148"/>
      <c r="F19" s="151"/>
      <c r="G19" s="148"/>
      <c r="H19" s="151"/>
      <c r="I19" s="148"/>
      <c r="J19" s="151"/>
      <c r="K19" s="162"/>
      <c r="L19" s="148"/>
      <c r="M19" s="151"/>
      <c r="N19" s="148"/>
      <c r="O19" s="151"/>
      <c r="P19" s="148"/>
      <c r="Q19" s="151"/>
      <c r="R19" s="148"/>
      <c r="S19" s="180"/>
      <c r="T19" s="130"/>
    </row>
    <row r="20" spans="2:20" ht="15" thickBot="1" x14ac:dyDescent="0.35">
      <c r="B20" s="181"/>
      <c r="C20" s="182"/>
      <c r="D20" s="183"/>
      <c r="E20" s="182"/>
      <c r="F20" s="183"/>
      <c r="G20" s="182"/>
      <c r="H20" s="183"/>
      <c r="I20" s="182"/>
      <c r="J20" s="183"/>
      <c r="K20" s="184"/>
      <c r="L20" s="182"/>
      <c r="M20" s="183"/>
      <c r="N20" s="182"/>
      <c r="O20" s="183"/>
      <c r="P20" s="182"/>
      <c r="Q20" s="183"/>
      <c r="R20" s="182"/>
      <c r="S20" s="185"/>
      <c r="T20" s="130"/>
    </row>
    <row r="21" spans="2:20" hidden="1" x14ac:dyDescent="0.25">
      <c r="B21" s="186"/>
      <c r="C21" s="187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87"/>
      <c r="O21" s="130"/>
      <c r="P21" s="188"/>
      <c r="Q21" s="130"/>
      <c r="R21" s="130"/>
      <c r="S21" s="189"/>
      <c r="T21" s="130"/>
    </row>
    <row r="22" spans="2:20" ht="12" hidden="1" customHeight="1" x14ac:dyDescent="0.25">
      <c r="B22" s="186"/>
      <c r="C22" s="187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87"/>
      <c r="O22" s="130"/>
      <c r="P22" s="188"/>
      <c r="Q22" s="130"/>
      <c r="R22" s="130"/>
      <c r="S22" s="189"/>
      <c r="T22" s="130"/>
    </row>
    <row r="23" spans="2:20" s="192" customFormat="1" ht="12" customHeight="1" x14ac:dyDescent="0.25">
      <c r="B23" s="190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0"/>
      <c r="Q23" s="191"/>
      <c r="R23" s="191"/>
      <c r="S23" s="191"/>
      <c r="T23" s="191"/>
    </row>
    <row r="24" spans="2:20" s="192" customFormat="1" ht="12" customHeight="1" x14ac:dyDescent="0.25">
      <c r="B24" s="190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0"/>
      <c r="Q24" s="191"/>
      <c r="R24" s="191"/>
      <c r="S24" s="191"/>
      <c r="T24" s="191"/>
    </row>
    <row r="25" spans="2:20" s="192" customFormat="1" ht="12" customHeight="1" x14ac:dyDescent="0.25">
      <c r="B25" s="190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3" t="s">
        <v>169</v>
      </c>
      <c r="N25" s="193"/>
      <c r="O25" s="193" t="s">
        <v>170</v>
      </c>
      <c r="R25" s="191"/>
      <c r="S25" s="193" t="s">
        <v>44</v>
      </c>
    </row>
    <row r="26" spans="2:20" ht="14.4" x14ac:dyDescent="0.3">
      <c r="B26" s="171">
        <v>6</v>
      </c>
      <c r="C26" s="151"/>
      <c r="D26" s="164" t="s">
        <v>171</v>
      </c>
      <c r="E26" s="151"/>
      <c r="F26" s="151"/>
      <c r="G26" s="151"/>
      <c r="H26" s="151"/>
      <c r="I26" s="151"/>
      <c r="J26" s="151"/>
      <c r="K26" s="151"/>
      <c r="L26" s="151"/>
      <c r="M26" s="194">
        <v>100</v>
      </c>
      <c r="N26" s="151"/>
      <c r="O26" s="194">
        <f>M26</f>
        <v>100</v>
      </c>
      <c r="P26" s="151"/>
      <c r="R26" s="151"/>
      <c r="S26" s="194">
        <f>M26</f>
        <v>100</v>
      </c>
    </row>
    <row r="27" spans="2:20" ht="14.4" x14ac:dyDescent="0.3">
      <c r="B27" s="171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6"/>
      <c r="P27" s="195"/>
      <c r="R27" s="195"/>
      <c r="S27" s="196"/>
    </row>
    <row r="28" spans="2:20" ht="14.4" x14ac:dyDescent="0.3">
      <c r="B28" s="171">
        <v>7</v>
      </c>
      <c r="C28" s="195"/>
      <c r="D28" s="197" t="s">
        <v>172</v>
      </c>
      <c r="E28" s="195"/>
      <c r="F28" s="195"/>
      <c r="G28" s="195"/>
      <c r="H28" s="195"/>
      <c r="I28" s="195"/>
      <c r="J28" s="195"/>
      <c r="K28" s="195"/>
      <c r="L28" s="195"/>
      <c r="M28" s="198">
        <v>0.3</v>
      </c>
      <c r="N28" s="195"/>
      <c r="O28" s="196">
        <v>0.3</v>
      </c>
      <c r="P28" s="195"/>
      <c r="R28" s="195"/>
      <c r="S28" s="196">
        <v>0</v>
      </c>
    </row>
    <row r="29" spans="2:20" ht="14.4" x14ac:dyDescent="0.3">
      <c r="B29" s="171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6">
        <v>0</v>
      </c>
      <c r="P29" s="195"/>
      <c r="R29" s="195"/>
      <c r="S29" s="196"/>
    </row>
    <row r="30" spans="2:20" ht="14.4" x14ac:dyDescent="0.3">
      <c r="B30" s="171">
        <v>8</v>
      </c>
      <c r="C30" s="195"/>
      <c r="D30" s="197" t="s">
        <v>173</v>
      </c>
      <c r="E30" s="195"/>
      <c r="F30" s="195"/>
      <c r="G30" s="195"/>
      <c r="H30" s="195"/>
      <c r="I30" s="195"/>
      <c r="J30" s="195"/>
      <c r="K30" s="195"/>
      <c r="L30" s="195"/>
      <c r="M30" s="195">
        <v>0.19520000000000001</v>
      </c>
      <c r="N30" s="195"/>
      <c r="O30" s="196">
        <v>0.19520000000000001</v>
      </c>
      <c r="P30" s="195"/>
      <c r="R30" s="195"/>
      <c r="S30" s="196">
        <v>0</v>
      </c>
    </row>
    <row r="31" spans="2:20" ht="14.4" x14ac:dyDescent="0.3">
      <c r="B31" s="171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7" t="s">
        <v>149</v>
      </c>
      <c r="N31" s="195"/>
      <c r="O31" s="196"/>
      <c r="P31" s="195"/>
      <c r="R31" s="195"/>
      <c r="S31" s="196"/>
    </row>
    <row r="32" spans="2:20" ht="14.4" x14ac:dyDescent="0.3">
      <c r="B32" s="171">
        <v>9</v>
      </c>
      <c r="C32" s="195"/>
      <c r="D32" s="197" t="s">
        <v>174</v>
      </c>
      <c r="E32" s="195"/>
      <c r="F32" s="195"/>
      <c r="G32" s="195"/>
      <c r="H32" s="195"/>
      <c r="I32" s="195"/>
      <c r="J32" s="195"/>
      <c r="K32" s="195"/>
      <c r="L32" s="195"/>
      <c r="M32" s="198">
        <f>M26-M28-M30</f>
        <v>99.504800000000003</v>
      </c>
      <c r="N32" s="195"/>
      <c r="O32" s="196">
        <f>O26-O28-O30</f>
        <v>99.504800000000003</v>
      </c>
      <c r="P32" s="195"/>
      <c r="R32" s="195"/>
      <c r="S32" s="196">
        <f>S26-S28-S30</f>
        <v>100</v>
      </c>
    </row>
    <row r="33" spans="1:23" ht="14.4" x14ac:dyDescent="0.3">
      <c r="B33" s="171"/>
      <c r="C33" s="195"/>
      <c r="D33" s="197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6"/>
      <c r="P33" s="195"/>
      <c r="R33" s="195"/>
      <c r="S33" s="196"/>
    </row>
    <row r="34" spans="1:23" ht="14.4" x14ac:dyDescent="0.3">
      <c r="B34" s="171">
        <v>10</v>
      </c>
      <c r="C34" s="195"/>
      <c r="D34" s="199" t="s">
        <v>175</v>
      </c>
      <c r="E34" s="195"/>
      <c r="F34" s="195"/>
      <c r="G34" s="195"/>
      <c r="H34" s="195"/>
      <c r="I34" s="195"/>
      <c r="J34" s="195"/>
      <c r="K34" s="195"/>
      <c r="L34" s="195"/>
      <c r="M34" s="200"/>
      <c r="N34" s="195"/>
      <c r="O34" s="196">
        <f>O32*0.057348</f>
        <v>5.7064012704000007</v>
      </c>
      <c r="P34" s="195"/>
      <c r="R34" s="195"/>
      <c r="S34" s="196">
        <f>S32*0.057348</f>
        <v>5.7347999999999999</v>
      </c>
    </row>
    <row r="35" spans="1:23" ht="14.4" x14ac:dyDescent="0.3">
      <c r="B35" s="171"/>
      <c r="C35" s="195"/>
      <c r="D35" s="197"/>
      <c r="E35" s="195"/>
      <c r="F35" s="195"/>
      <c r="G35" s="195"/>
      <c r="H35" s="195"/>
      <c r="I35" s="195"/>
      <c r="J35" s="195"/>
      <c r="K35" s="195"/>
      <c r="L35" s="195"/>
      <c r="M35" s="201"/>
      <c r="N35" s="195"/>
      <c r="O35" s="196"/>
      <c r="P35" s="195"/>
      <c r="R35" s="195"/>
      <c r="S35" s="196"/>
    </row>
    <row r="36" spans="1:23" ht="14.4" x14ac:dyDescent="0.3">
      <c r="B36" s="171">
        <v>11</v>
      </c>
      <c r="C36" s="195"/>
      <c r="D36" s="199" t="s">
        <v>176</v>
      </c>
      <c r="E36" s="195"/>
      <c r="F36" s="195"/>
      <c r="G36" s="195"/>
      <c r="H36" s="195"/>
      <c r="I36" s="195"/>
      <c r="J36" s="195"/>
      <c r="K36" s="195"/>
      <c r="L36" s="195"/>
      <c r="M36" s="201"/>
      <c r="N36" s="195"/>
      <c r="O36" s="196">
        <f>O32-O34</f>
        <v>93.798398729599995</v>
      </c>
      <c r="P36" s="195"/>
      <c r="R36" s="195"/>
      <c r="S36" s="196">
        <f>S32-S34</f>
        <v>94.265199999999993</v>
      </c>
    </row>
    <row r="37" spans="1:23" ht="14.4" x14ac:dyDescent="0.3">
      <c r="B37" s="171"/>
      <c r="C37" s="195"/>
      <c r="D37" s="197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6"/>
      <c r="P37" s="195"/>
      <c r="R37" s="195"/>
      <c r="S37" s="196"/>
    </row>
    <row r="38" spans="1:23" ht="14.4" x14ac:dyDescent="0.3">
      <c r="B38" s="171">
        <f>B36+1</f>
        <v>12</v>
      </c>
      <c r="C38" s="195"/>
      <c r="D38" s="199" t="s">
        <v>177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>
        <v>2.56</v>
      </c>
      <c r="P38" s="195"/>
      <c r="R38" s="195"/>
      <c r="S38" s="196">
        <v>2.56</v>
      </c>
    </row>
    <row r="39" spans="1:23" ht="14.4" x14ac:dyDescent="0.3">
      <c r="B39" s="171"/>
      <c r="C39" s="195"/>
      <c r="D39" s="199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  <c r="P39" s="195"/>
      <c r="R39" s="195"/>
      <c r="S39" s="196"/>
    </row>
    <row r="40" spans="1:23" ht="14.4" x14ac:dyDescent="0.3">
      <c r="B40" s="171">
        <v>13</v>
      </c>
      <c r="C40" s="195"/>
      <c r="D40" s="199" t="s">
        <v>178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6">
        <f>O36-O38</f>
        <v>91.238398729599993</v>
      </c>
      <c r="P40" s="195"/>
      <c r="R40" s="195"/>
      <c r="S40" s="196">
        <f>S36-S38</f>
        <v>91.705199999999991</v>
      </c>
    </row>
    <row r="41" spans="1:23" ht="14.4" x14ac:dyDescent="0.3">
      <c r="B41" s="171"/>
      <c r="C41" s="195"/>
      <c r="D41" s="199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202"/>
      <c r="P41" s="195"/>
      <c r="R41" s="195"/>
      <c r="S41" s="202"/>
    </row>
    <row r="42" spans="1:23" ht="14.4" x14ac:dyDescent="0.3">
      <c r="B42" s="171">
        <v>14</v>
      </c>
      <c r="C42" s="195"/>
      <c r="D42" s="199" t="s">
        <v>179</v>
      </c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202">
        <f>O40*0.35</f>
        <v>31.933439555359996</v>
      </c>
      <c r="P42" s="195"/>
      <c r="R42" s="195"/>
      <c r="S42" s="202">
        <f>S40*0.35</f>
        <v>32.096819999999994</v>
      </c>
    </row>
    <row r="43" spans="1:23" ht="14.4" x14ac:dyDescent="0.3">
      <c r="B43" s="171"/>
      <c r="C43" s="195"/>
      <c r="D43" s="199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6"/>
      <c r="P43" s="195"/>
      <c r="R43" s="195"/>
      <c r="S43" s="196"/>
    </row>
    <row r="44" spans="1:23" ht="14.4" x14ac:dyDescent="0.3">
      <c r="B44" s="171">
        <v>15</v>
      </c>
      <c r="C44" s="195"/>
      <c r="D44" s="199" t="s">
        <v>180</v>
      </c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>
        <f>O36-O42</f>
        <v>61.864959174239999</v>
      </c>
      <c r="P44" s="195"/>
      <c r="R44" s="195"/>
      <c r="S44" s="196">
        <f>S36-S42</f>
        <v>62.168379999999999</v>
      </c>
    </row>
    <row r="45" spans="1:23" ht="14.4" x14ac:dyDescent="0.3">
      <c r="B45" s="171"/>
      <c r="C45" s="195"/>
      <c r="D45" s="199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R45" s="195"/>
      <c r="S45" s="195"/>
    </row>
    <row r="46" spans="1:23" ht="14.4" x14ac:dyDescent="0.3">
      <c r="B46" s="171">
        <v>16</v>
      </c>
      <c r="C46" s="195"/>
      <c r="D46" s="199" t="s">
        <v>181</v>
      </c>
      <c r="E46" s="195"/>
      <c r="F46" s="195"/>
      <c r="G46" s="195"/>
      <c r="H46" s="195"/>
      <c r="I46" s="195"/>
      <c r="J46" s="195"/>
      <c r="K46" s="195"/>
      <c r="L46" s="195"/>
      <c r="M46" s="203">
        <f>ROUND(100/M32,6)</f>
        <v>1.004977</v>
      </c>
      <c r="N46" s="195"/>
      <c r="O46" s="195">
        <f>ROUND(100/O44,6)</f>
        <v>1.6164240000000001</v>
      </c>
      <c r="P46" s="195"/>
      <c r="R46" s="195"/>
      <c r="S46" s="195">
        <f>ROUND(100/S44,6)</f>
        <v>1.608535</v>
      </c>
    </row>
    <row r="47" spans="1:23" ht="14.4" x14ac:dyDescent="0.3">
      <c r="B47" s="171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</row>
    <row r="48" spans="1:23" x14ac:dyDescent="0.25">
      <c r="A48" s="128"/>
      <c r="B48" s="204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28"/>
      <c r="W48" s="128"/>
    </row>
    <row r="49" spans="1:23" x14ac:dyDescent="0.25">
      <c r="A49" s="200" t="s">
        <v>182</v>
      </c>
      <c r="B49" s="204"/>
      <c r="C49" s="199"/>
      <c r="D49" s="128" t="s">
        <v>183</v>
      </c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28"/>
      <c r="W49" s="128"/>
    </row>
    <row r="50" spans="1:23" x14ac:dyDescent="0.25">
      <c r="A50" s="205" t="s">
        <v>167</v>
      </c>
      <c r="B50" s="206"/>
      <c r="C50" s="207" t="s">
        <v>184</v>
      </c>
      <c r="D50" s="207"/>
      <c r="E50" s="207"/>
      <c r="F50" s="207"/>
      <c r="G50" s="207"/>
      <c r="H50" s="128"/>
      <c r="I50" s="128"/>
      <c r="J50" s="128"/>
      <c r="K50" s="128"/>
      <c r="L50" s="128"/>
      <c r="M50" s="128"/>
      <c r="N50" s="128"/>
      <c r="O50" s="199"/>
      <c r="P50" s="199"/>
      <c r="Q50" s="199"/>
      <c r="R50" s="199"/>
      <c r="S50" s="199"/>
      <c r="T50" s="199"/>
      <c r="U50" s="199"/>
      <c r="V50" s="128"/>
      <c r="W50" s="128"/>
    </row>
    <row r="51" spans="1:23" x14ac:dyDescent="0.25">
      <c r="A51" s="126" t="s">
        <v>193</v>
      </c>
      <c r="B51" s="201"/>
      <c r="C51" s="195"/>
      <c r="D51" s="207" t="s">
        <v>194</v>
      </c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</row>
    <row r="52" spans="1:23" x14ac:dyDescent="0.25">
      <c r="B52" s="201"/>
      <c r="C52" s="195"/>
      <c r="D52" s="195"/>
      <c r="E52" s="195"/>
      <c r="F52" s="195"/>
      <c r="G52" s="195"/>
      <c r="H52" s="195"/>
      <c r="I52" s="208"/>
      <c r="J52" s="208" t="s">
        <v>185</v>
      </c>
      <c r="K52" s="208"/>
      <c r="L52" s="208"/>
      <c r="M52" s="208"/>
      <c r="N52" s="208"/>
      <c r="O52" s="209"/>
      <c r="P52" s="210"/>
      <c r="Q52" s="208"/>
      <c r="R52" s="208"/>
      <c r="S52" s="208"/>
      <c r="T52" s="208"/>
      <c r="U52" s="211"/>
    </row>
    <row r="53" spans="1:23" x14ac:dyDescent="0.25">
      <c r="B53" s="201"/>
      <c r="C53" s="195"/>
      <c r="D53" s="195"/>
      <c r="E53" s="195"/>
      <c r="F53" s="195"/>
      <c r="G53" s="195"/>
      <c r="H53" s="195"/>
      <c r="I53" s="208"/>
      <c r="J53" s="208"/>
      <c r="K53" s="208"/>
      <c r="L53" s="208"/>
      <c r="M53" s="208"/>
      <c r="N53" s="208"/>
      <c r="O53" s="208"/>
      <c r="P53" s="210"/>
      <c r="Q53" s="208"/>
      <c r="R53" s="208"/>
      <c r="S53" s="208"/>
      <c r="T53" s="208"/>
      <c r="U53" s="211"/>
    </row>
    <row r="54" spans="1:23" x14ac:dyDescent="0.25">
      <c r="B54" s="201"/>
      <c r="C54" s="195"/>
      <c r="D54" s="195"/>
      <c r="E54" s="195"/>
      <c r="F54" s="195"/>
      <c r="G54" s="195"/>
      <c r="H54" s="195"/>
      <c r="I54" s="208"/>
      <c r="J54" s="208"/>
      <c r="K54" s="208"/>
      <c r="L54" s="208"/>
      <c r="M54" s="208"/>
      <c r="N54" s="208"/>
      <c r="O54" s="208"/>
      <c r="P54" s="210"/>
      <c r="Q54" s="208"/>
      <c r="R54" s="208"/>
      <c r="S54" s="208"/>
      <c r="T54" s="208"/>
      <c r="U54" s="211"/>
    </row>
    <row r="55" spans="1:23" x14ac:dyDescent="0.25">
      <c r="B55" s="201"/>
      <c r="C55" s="195"/>
      <c r="D55" s="195"/>
      <c r="E55" s="195"/>
      <c r="F55" s="195"/>
      <c r="G55" s="195"/>
      <c r="H55" s="195"/>
      <c r="I55" s="208"/>
      <c r="J55" s="208"/>
      <c r="K55" s="208"/>
      <c r="L55" s="208"/>
      <c r="M55" s="208"/>
      <c r="N55" s="208"/>
      <c r="O55" s="208"/>
      <c r="P55" s="210"/>
      <c r="Q55" s="208"/>
      <c r="R55" s="208"/>
      <c r="S55" s="208"/>
      <c r="T55" s="208"/>
      <c r="U55" s="211"/>
    </row>
    <row r="56" spans="1:23" x14ac:dyDescent="0.25">
      <c r="B56" s="201"/>
      <c r="C56" s="195"/>
      <c r="D56" s="195"/>
      <c r="E56" s="195"/>
      <c r="F56" s="195"/>
      <c r="G56" s="195"/>
      <c r="H56" s="195"/>
      <c r="I56" s="208"/>
      <c r="J56" s="208"/>
      <c r="K56" s="208"/>
      <c r="L56" s="208"/>
      <c r="M56" s="208"/>
      <c r="N56" s="208"/>
      <c r="O56" s="208"/>
      <c r="P56" s="210"/>
      <c r="Q56" s="208"/>
      <c r="R56" s="208"/>
      <c r="S56" s="208"/>
      <c r="T56" s="208"/>
      <c r="U56" s="211"/>
    </row>
    <row r="57" spans="1:23" x14ac:dyDescent="0.25">
      <c r="B57" s="201"/>
      <c r="C57" s="195"/>
      <c r="D57" s="195"/>
      <c r="E57" s="195"/>
      <c r="F57" s="195"/>
      <c r="G57" s="195"/>
      <c r="H57" s="195"/>
      <c r="I57" s="208"/>
      <c r="J57" s="208"/>
      <c r="K57" s="208"/>
      <c r="L57" s="208"/>
      <c r="M57" s="208"/>
      <c r="N57" s="208"/>
      <c r="O57" s="208"/>
      <c r="P57" s="210"/>
      <c r="Q57" s="208"/>
      <c r="R57" s="208"/>
      <c r="S57" s="208"/>
      <c r="T57" s="208"/>
      <c r="U57" s="211"/>
    </row>
    <row r="58" spans="1:23" x14ac:dyDescent="0.25">
      <c r="B58" s="201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</row>
    <row r="59" spans="1:23" x14ac:dyDescent="0.25">
      <c r="B59" s="212" t="s">
        <v>149</v>
      </c>
      <c r="C59" s="213"/>
      <c r="D59" s="208"/>
      <c r="E59" s="208"/>
      <c r="F59" s="208"/>
      <c r="G59" s="208"/>
      <c r="H59" s="208"/>
    </row>
    <row r="61" spans="1:23" x14ac:dyDescent="0.25">
      <c r="B61" s="213"/>
      <c r="C61" s="213"/>
      <c r="D61" s="208"/>
      <c r="E61" s="208"/>
      <c r="F61" s="208"/>
      <c r="G61" s="208"/>
      <c r="H61" s="208"/>
    </row>
    <row r="62" spans="1:23" x14ac:dyDescent="0.25">
      <c r="B62" s="201"/>
      <c r="C62" s="195"/>
      <c r="D62" s="195"/>
      <c r="E62" s="195"/>
      <c r="F62" s="195"/>
      <c r="G62" s="195"/>
      <c r="H62" s="195"/>
    </row>
  </sheetData>
  <mergeCells count="3">
    <mergeCell ref="B4:S4"/>
    <mergeCell ref="B5:S5"/>
    <mergeCell ref="B6:S6"/>
  </mergeCells>
  <printOptions horizontalCentered="1" verticalCentered="1"/>
  <pageMargins left="0" right="0" top="0" bottom="0.2" header="0" footer="0"/>
  <pageSetup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BS1 Form 1.0</vt:lpstr>
      <vt:lpstr>BS1 Form 2.0</vt:lpstr>
      <vt:lpstr>BS1 Form 3.0</vt:lpstr>
      <vt:lpstr>BS1 Form 4.0</vt:lpstr>
      <vt:lpstr>BS1 Form 5.0</vt:lpstr>
      <vt:lpstr>Input Sheet</vt:lpstr>
      <vt:lpstr>Net Plant</vt:lpstr>
      <vt:lpstr>PJM Cost Estimate</vt:lpstr>
      <vt:lpstr>GRCF</vt:lpstr>
      <vt:lpstr>'BS1 Form 2.0'!Print_Area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2016-07-19T13:40:20Z</cp:lastPrinted>
  <dcterms:created xsi:type="dcterms:W3CDTF">2015-03-17T12:16:01Z</dcterms:created>
  <dcterms:modified xsi:type="dcterms:W3CDTF">2016-07-19T14:39:11Z</dcterms:modified>
</cp:coreProperties>
</file>