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55" activeTab="2"/>
  </bookViews>
  <sheets>
    <sheet name="AJE-1" sheetId="1" r:id="rId1"/>
    <sheet name="AJE-2" sheetId="2" r:id="rId2"/>
    <sheet name="AJE - 3" sheetId="3" r:id="rId3"/>
    <sheet name="AJE-4" sheetId="4" r:id="rId4"/>
    <sheet name="AJE-5" sheetId="5" r:id="rId5"/>
    <sheet name="ADFIT" sheetId="6" r:id="rId6"/>
  </sheets>
  <externalReferences>
    <externalReference r:id="rId9"/>
  </externalReferences>
  <definedNames>
    <definedName name="Marshall_Rate">'[1]Property Tax'!$B$2</definedName>
    <definedName name="PC_Percent">'[1]Property Tax'!$B$6</definedName>
    <definedName name="WV_List">'[1]Property Tax'!$B$4</definedName>
  </definedNames>
  <calcPr fullCalcOnLoad="1"/>
</workbook>
</file>

<file path=xl/sharedStrings.xml><?xml version="1.0" encoding="utf-8"?>
<sst xmlns="http://schemas.openxmlformats.org/spreadsheetml/2006/main" count="292" uniqueCount="153">
  <si>
    <t>Per Monthly ES Form 1.00, Line 1</t>
  </si>
  <si>
    <t>*</t>
  </si>
  <si>
    <t>Total</t>
  </si>
  <si>
    <t xml:space="preserve"> </t>
  </si>
  <si>
    <t>September 2014</t>
  </si>
  <si>
    <t>August 2014</t>
  </si>
  <si>
    <t>July 2014</t>
  </si>
  <si>
    <t>June 2014</t>
  </si>
  <si>
    <t>May 2014</t>
  </si>
  <si>
    <t>April 2014</t>
  </si>
  <si>
    <t>March 2014</t>
  </si>
  <si>
    <t>February 2014</t>
  </si>
  <si>
    <t>January 2014</t>
  </si>
  <si>
    <t>December 2013</t>
  </si>
  <si>
    <t>November 2013</t>
  </si>
  <si>
    <t>October 2013</t>
  </si>
  <si>
    <t>(3) + (4) + (5)</t>
  </si>
  <si>
    <t>Month / Year</t>
  </si>
  <si>
    <t>No</t>
  </si>
  <si>
    <t>Ln</t>
  </si>
  <si>
    <r>
      <t>Include Mitchell Non-</t>
    </r>
    <r>
      <rPr>
        <u val="single"/>
        <sz val="10"/>
        <rFont val="Arial"/>
        <family val="2"/>
      </rPr>
      <t>FGD</t>
    </r>
  </si>
  <si>
    <r>
      <t>Leaves only Test Year Rockport Expenses and Gains on</t>
    </r>
    <r>
      <rPr>
        <u val="single"/>
        <sz val="10"/>
        <rFont val="Arial"/>
        <family val="2"/>
      </rPr>
      <t xml:space="preserve"> Allowances</t>
    </r>
  </si>
  <si>
    <r>
      <t xml:space="preserve">Adjustment to Remove Big </t>
    </r>
    <r>
      <rPr>
        <u val="single"/>
        <sz val="10"/>
        <rFont val="Arial"/>
        <family val="2"/>
      </rPr>
      <t>Sandy</t>
    </r>
  </si>
  <si>
    <r>
      <t xml:space="preserve">Adjustment for Pool </t>
    </r>
    <r>
      <rPr>
        <u val="single"/>
        <sz val="10"/>
        <rFont val="Arial"/>
        <family val="2"/>
      </rPr>
      <t>Termination</t>
    </r>
  </si>
  <si>
    <r>
      <t xml:space="preserve">Monthly Environmental </t>
    </r>
    <r>
      <rPr>
        <u val="single"/>
        <sz val="10"/>
        <rFont val="Arial"/>
        <family val="2"/>
      </rPr>
      <t>Costs</t>
    </r>
  </si>
  <si>
    <t>October 1, 2013 to September 30, 2014</t>
  </si>
  <si>
    <t>Calculation of Monthly Base Amount of Environmental Costs</t>
  </si>
  <si>
    <t>Kentucky Power Company</t>
  </si>
  <si>
    <r>
      <rPr>
        <sz val="10"/>
        <rFont val="Arial"/>
        <family val="2"/>
      </rPr>
      <t xml:space="preserve">Adjusted Environmental </t>
    </r>
    <r>
      <rPr>
        <u val="single"/>
        <sz val="10"/>
        <rFont val="Arial"/>
        <family val="2"/>
      </rPr>
      <t>Base</t>
    </r>
  </si>
  <si>
    <r>
      <t>Rockport Additional Test Year Expenses for O &amp; M, Depreciation,</t>
    </r>
    <r>
      <rPr>
        <u val="single"/>
        <sz val="10"/>
        <rFont val="Arial"/>
        <family val="2"/>
      </rPr>
      <t xml:space="preserve"> and Return  </t>
    </r>
  </si>
  <si>
    <t>Kentucky Power Company's Previously Approved Environmental Compliance Projects</t>
  </si>
  <si>
    <t xml:space="preserve">Project </t>
  </si>
  <si>
    <t>Plant</t>
  </si>
  <si>
    <t>Pollutant</t>
  </si>
  <si>
    <t>Description</t>
  </si>
  <si>
    <t>In-Service Year</t>
  </si>
  <si>
    <t>Mitchell</t>
  </si>
  <si>
    <r>
      <t>NO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, SO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and SO</t>
    </r>
    <r>
      <rPr>
        <vertAlign val="subscript"/>
        <sz val="12"/>
        <rFont val="Times New Roman"/>
        <family val="1"/>
      </rPr>
      <t>3</t>
    </r>
  </si>
  <si>
    <r>
      <t>Mitchell Units 1 and 2 Water Injection, Low NO</t>
    </r>
    <r>
      <rPr>
        <vertAlign val="subscript"/>
        <sz val="12"/>
        <rFont val="Times New Roman"/>
        <family val="1"/>
      </rPr>
      <t xml:space="preserve">X </t>
    </r>
    <r>
      <rPr>
        <sz val="12"/>
        <rFont val="Times New Roman"/>
        <family val="1"/>
      </rPr>
      <t>Burners, Low NO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Burner Modification, SCR, FGD, Landfill, Coal Blending Facilities and SO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Mitigation</t>
    </r>
  </si>
  <si>
    <t>1993-1994-2002-2007</t>
  </si>
  <si>
    <r>
      <t>SO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, NO</t>
    </r>
    <r>
      <rPr>
        <vertAlign val="subscript"/>
        <sz val="12"/>
        <rFont val="Times New Roman"/>
        <family val="1"/>
      </rPr>
      <t xml:space="preserve">X, </t>
    </r>
    <r>
      <rPr>
        <sz val="12"/>
        <rFont val="Times New Roman"/>
        <family val="1"/>
      </rPr>
      <t>and Gypsum</t>
    </r>
  </si>
  <si>
    <t>Mitchell Plant Common CEMS, Replace Burner Barrier Valves and Gypsum Material Handling Facilities</t>
  </si>
  <si>
    <t>1993-2004-2007</t>
  </si>
  <si>
    <t>Rockport</t>
  </si>
  <si>
    <r>
      <t>SO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/ NO</t>
    </r>
    <r>
      <rPr>
        <vertAlign val="subscript"/>
        <sz val="12"/>
        <rFont val="Times New Roman"/>
        <family val="1"/>
      </rPr>
      <t>X</t>
    </r>
  </si>
  <si>
    <t>Continuous Emission Monitors (CEMS) - Rockport Plant</t>
  </si>
  <si>
    <r>
      <t>NO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, Fly Ash, and Bottom Ash</t>
    </r>
  </si>
  <si>
    <t xml:space="preserve">Rockport Units 1 and 2 Low NOX Burners, Over Fire Air, and Landfill </t>
  </si>
  <si>
    <t>2003-2008</t>
  </si>
  <si>
    <t>Mitchell and Rockport</t>
  </si>
  <si>
    <r>
      <t>SO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/NO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/Particulates/VOC and etc.</t>
    </r>
  </si>
  <si>
    <t>Annual</t>
  </si>
  <si>
    <t>Big Sandy, Mitchell, and Rockport</t>
  </si>
  <si>
    <r>
      <t>NO</t>
    </r>
    <r>
      <rPr>
        <vertAlign val="subscript"/>
        <sz val="12"/>
        <rFont val="Times New Roman"/>
        <family val="1"/>
      </rPr>
      <t>X</t>
    </r>
  </si>
  <si>
    <t>As-Needed</t>
  </si>
  <si>
    <r>
      <t>SO</t>
    </r>
    <r>
      <rPr>
        <vertAlign val="subscript"/>
        <sz val="12"/>
        <rFont val="Times New Roman"/>
        <family val="1"/>
      </rPr>
      <t>2</t>
    </r>
  </si>
  <si>
    <t>Kentucky Power Company's Proposed Environmental Compliance Projects</t>
  </si>
  <si>
    <r>
      <t>SO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/ NO</t>
    </r>
    <r>
      <rPr>
        <vertAlign val="subscript"/>
        <sz val="12"/>
        <rFont val="Times New Roman"/>
        <family val="1"/>
      </rPr>
      <t>X</t>
    </r>
  </si>
  <si>
    <t xml:space="preserve">Costs associated with the CSAPR Allowances </t>
  </si>
  <si>
    <t>Particulates</t>
  </si>
  <si>
    <t xml:space="preserve">Precipitator Modifications - Mitchell Plant Units 1 and 2 </t>
  </si>
  <si>
    <t>Bottom Ash and Fly Ash Handling - Mitchell Plant Units 1 and 2</t>
  </si>
  <si>
    <t>Mercury</t>
  </si>
  <si>
    <t>Mercury Monitoring (MATS) - Mitchell Plant Units 1 and 2</t>
  </si>
  <si>
    <t>Selenium</t>
  </si>
  <si>
    <t>Dry Fly Ash Handling Conversion - Mitchell Plant Units 1 and 2</t>
  </si>
  <si>
    <t>Fly Ash, Bottom Ash, Gypsum, and WWTP Solids</t>
  </si>
  <si>
    <t>Coal Combustion Waste Landfill - Mitchell Plant Units 1 and 2</t>
  </si>
  <si>
    <t>2014 &amp; 2015</t>
  </si>
  <si>
    <t>Electrostatic Precipitator Upgrade - Mitchell Plant Unit 2</t>
  </si>
  <si>
    <t>Precipitator Modifications -  Rockport Plant Units 1 &amp; 2</t>
  </si>
  <si>
    <t>2004-2009</t>
  </si>
  <si>
    <t xml:space="preserve">Mercury </t>
  </si>
  <si>
    <t>Activated Carbon Injection (ACI)  and Mercury Monitoring - Rockport Plant Units 1 &amp; 2</t>
  </si>
  <si>
    <t>2009-2010</t>
  </si>
  <si>
    <t>HAPS</t>
  </si>
  <si>
    <t>Dry Sorbent Injection - Rockport Plant Units 1 and 2</t>
  </si>
  <si>
    <t>Fly Ash and Bottom Ash</t>
  </si>
  <si>
    <t>Monthly Return on Rate Base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</si>
  <si>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</si>
  <si>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</si>
  <si>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</si>
  <si>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</si>
  <si>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</si>
  <si>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</si>
  <si>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</si>
  <si>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</si>
  <si>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</si>
  <si>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 Revenue Requirement for July 2015 through June 2016</t>
  </si>
  <si>
    <t>December</t>
  </si>
  <si>
    <t>November</t>
  </si>
  <si>
    <t>October</t>
  </si>
  <si>
    <t>Balance as of September 30, 2014</t>
  </si>
  <si>
    <t>Year</t>
  </si>
  <si>
    <t>Month</t>
  </si>
  <si>
    <t>Retail Allocation</t>
  </si>
  <si>
    <t>Monthly O &amp; M</t>
  </si>
  <si>
    <t>WACC</t>
  </si>
  <si>
    <t>Rate Base</t>
  </si>
  <si>
    <t xml:space="preserve">Monthly ADFIT </t>
  </si>
  <si>
    <t xml:space="preserve">ADFIT </t>
  </si>
  <si>
    <t>Monthly Depreciation</t>
  </si>
  <si>
    <t>Accumulated Depreciation</t>
  </si>
  <si>
    <t>Environmental Utility Plant at Original Cost</t>
  </si>
  <si>
    <t>Proposed Revenue Increase</t>
  </si>
  <si>
    <t>Total FGD Monthly Environmental Revenue Requirement</t>
  </si>
  <si>
    <t>Reserve for ES Tariff</t>
  </si>
  <si>
    <t>ES FORM 3.15</t>
  </si>
  <si>
    <t>KENTUCKY POWER COMPANY - ENVIRONMENTAL SURCHARGE REPORT</t>
  </si>
  <si>
    <t>CURRENT PERIOD REVENUE REQUIREMENT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</si>
  <si>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</si>
  <si>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</si>
  <si>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</si>
  <si>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</si>
  <si>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</si>
  <si>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</si>
  <si>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</si>
  <si>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</si>
  <si>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As of                                           9/30/2014</t>
  </si>
  <si>
    <t>L/T DEBT</t>
  </si>
  <si>
    <t>S/T DEBT</t>
  </si>
  <si>
    <t>ACCTS REC FINANCING</t>
  </si>
  <si>
    <t>C EQUITY</t>
  </si>
  <si>
    <t>TOTAL</t>
  </si>
  <si>
    <t>WACC = Weighted Average Cost of Capital</t>
  </si>
  <si>
    <t>Rate of Return on Common Equity proposed in Case No. 2014-00396</t>
  </si>
  <si>
    <t xml:space="preserve">      MITCHELL PLANT COST OF CAPITAL</t>
  </si>
  <si>
    <t>Title V Air Emission Fees at Mitchell and Rockport Plants</t>
  </si>
  <si>
    <t>Costs Associated with Nox Allowances</t>
  </si>
  <si>
    <r>
      <t>Costs Associated with SO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Allowances</t>
    </r>
  </si>
  <si>
    <t>2007-2013</t>
  </si>
  <si>
    <t>2008 &amp; 2010</t>
  </si>
  <si>
    <t>Coal Combustion Waste Landfill Upgrade To Accept Type 1 Ash -- Rockport Plant</t>
  </si>
  <si>
    <t>Gross Revenue Conversion Factor (GRCF) Calculation as reflected in Section V, Schedule 2, Workpaper S-2, Page 2 of 3.</t>
  </si>
  <si>
    <t>**</t>
  </si>
  <si>
    <t>***</t>
  </si>
  <si>
    <t>Operating Revenues</t>
  </si>
  <si>
    <t>Less Uncollectible Accounts Expense</t>
  </si>
  <si>
    <t>KPSC Maintenance Assessment Fee</t>
  </si>
  <si>
    <t>Income Before Income Taxes</t>
  </si>
  <si>
    <t>Gross Up for PSC Maintenance Assessment Fee &amp; Uncollectible Expense</t>
  </si>
  <si>
    <t>Mitchell FGD Revenue Requirement</t>
  </si>
  <si>
    <t>2013 &amp; 2015</t>
  </si>
  <si>
    <t>Gross Up Factor (100.00/Ln 9)</t>
  </si>
  <si>
    <t>Change to 3.05% - LK-16</t>
  </si>
  <si>
    <t>MONTHLY AMOUNTS</t>
  </si>
  <si>
    <t>Tax Depr</t>
  </si>
  <si>
    <t>Book Depr</t>
  </si>
  <si>
    <t>Difference</t>
  </si>
  <si>
    <t>ADFIT</t>
  </si>
  <si>
    <t>As Filed</t>
  </si>
  <si>
    <t>Adjustment to KIUC 3.05% Depreciation Rate</t>
  </si>
  <si>
    <t>Updated to reflect revision in KPSC 3-50 - Settlement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</si>
</sst>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\(0\)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h:mm:ss\ AM/PM"/>
    <numFmt numFmtId="170" formatCode="&quot;$&quot;#,##0.00"/>
    <numFmt numFmtId="171" formatCode="&quot;$&quot;#,##0.0"/>
    <numFmt numFmtId="172" formatCode="0.000%"/>
    <numFmt numFmtId="173" formatCode="0.0000"/>
    <numFmt numFmtId="174" formatCode="#,##0.0000_);\(#,##0.0000\)"/>
    <numFmt numFmtId="175" formatCode="0.0"/>
    <numFmt numFmtId="176" formatCode="0.0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00_);[Red]\(&quot;$&quot;#,##0.0000\)"/>
    <numFmt numFmtId="183" formatCode="&quot;$&quot;#,##0.000000_);[Red]\(&quot;$&quot;#,##0.000000\)"/>
    <numFmt numFmtId="184" formatCode="&quot;$&quot;#,##0.0_);[Red]\(&quot;$&quot;#,##0.0\)"/>
  </numFmts>
  <fonts count="56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vertAlign val="subscript"/>
      <sz val="12"/>
      <name val="Times New Roman"/>
      <family val="1"/>
    </font>
    <font>
      <sz val="8"/>
      <name val="Times New Roman"/>
      <family val="1"/>
    </font>
    <font>
      <b/>
      <sz val="10"/>
      <name val="MS Sans Serif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Helv"/>
      <family val="0"/>
    </font>
    <font>
      <b/>
      <sz val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12" fillId="0" borderId="9">
      <alignment horizontal="center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/>
    </xf>
    <xf numFmtId="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5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3" borderId="12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164" fontId="0" fillId="0" borderId="0" xfId="45" applyNumberFormat="1" applyFont="1" applyAlignment="1">
      <alignment/>
    </xf>
    <xf numFmtId="164" fontId="0" fillId="3" borderId="0" xfId="0" applyNumberFormat="1" applyFont="1" applyFill="1" applyAlignment="1">
      <alignment/>
    </xf>
    <xf numFmtId="5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164" fontId="55" fillId="3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10" fontId="36" fillId="0" borderId="0" xfId="64" applyNumberFormat="1" applyFont="1" applyAlignment="1">
      <alignment/>
    </xf>
    <xf numFmtId="0" fontId="36" fillId="0" borderId="0" xfId="59">
      <alignment/>
      <protection/>
    </xf>
    <xf numFmtId="164" fontId="36" fillId="0" borderId="0" xfId="47" applyNumberFormat="1" applyFont="1" applyAlignment="1">
      <alignment/>
    </xf>
    <xf numFmtId="0" fontId="53" fillId="0" borderId="0" xfId="59" applyFont="1">
      <alignment/>
      <protection/>
    </xf>
    <xf numFmtId="170" fontId="36" fillId="0" borderId="0" xfId="59" applyNumberFormat="1">
      <alignment/>
      <protection/>
    </xf>
    <xf numFmtId="164" fontId="36" fillId="0" borderId="0" xfId="59" applyNumberFormat="1">
      <alignment/>
      <protection/>
    </xf>
    <xf numFmtId="8" fontId="36" fillId="0" borderId="0" xfId="59" applyNumberFormat="1">
      <alignment/>
      <protection/>
    </xf>
    <xf numFmtId="8" fontId="53" fillId="0" borderId="0" xfId="59" applyNumberFormat="1" applyFont="1" applyAlignment="1">
      <alignment horizontal="center" vertical="center" wrapText="1"/>
      <protection/>
    </xf>
    <xf numFmtId="6" fontId="36" fillId="0" borderId="0" xfId="59" applyNumberFormat="1">
      <alignment/>
      <protection/>
    </xf>
    <xf numFmtId="0" fontId="36" fillId="0" borderId="0" xfId="59" applyFont="1">
      <alignment/>
      <protection/>
    </xf>
    <xf numFmtId="164" fontId="36" fillId="3" borderId="0" xfId="59" applyNumberFormat="1" applyFill="1">
      <alignment/>
      <protection/>
    </xf>
    <xf numFmtId="164" fontId="36" fillId="3" borderId="0" xfId="47" applyNumberFormat="1" applyFont="1" applyFill="1" applyAlignment="1">
      <alignment/>
    </xf>
    <xf numFmtId="5" fontId="36" fillId="0" borderId="0" xfId="59" applyNumberFormat="1">
      <alignment/>
      <protection/>
    </xf>
    <xf numFmtId="0" fontId="53" fillId="0" borderId="0" xfId="59" applyFont="1" quotePrefix="1">
      <alignment/>
      <protection/>
    </xf>
    <xf numFmtId="6" fontId="53" fillId="0" borderId="0" xfId="59" applyNumberFormat="1" applyFont="1">
      <alignment/>
      <protection/>
    </xf>
    <xf numFmtId="17" fontId="53" fillId="0" borderId="0" xfId="59" applyNumberFormat="1" applyFont="1" quotePrefix="1">
      <alignment/>
      <protection/>
    </xf>
    <xf numFmtId="0" fontId="53" fillId="0" borderId="0" xfId="59" applyFont="1" applyAlignment="1">
      <alignment horizontal="center" vertical="center" wrapText="1"/>
      <protection/>
    </xf>
    <xf numFmtId="165" fontId="36" fillId="0" borderId="0" xfId="59" applyNumberFormat="1" applyAlignment="1">
      <alignment horizontal="center"/>
      <protection/>
    </xf>
    <xf numFmtId="0" fontId="36" fillId="0" borderId="0" xfId="59" applyAlignment="1">
      <alignment horizontal="center"/>
      <protection/>
    </xf>
    <xf numFmtId="0" fontId="53" fillId="0" borderId="0" xfId="59" applyFont="1" applyAlignment="1">
      <alignment horizontal="center" wrapText="1"/>
      <protection/>
    </xf>
    <xf numFmtId="0" fontId="53" fillId="0" borderId="0" xfId="59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>
      <alignment/>
      <protection/>
    </xf>
    <xf numFmtId="49" fontId="0" fillId="0" borderId="0" xfId="60" applyNumberFormat="1" applyAlignment="1">
      <alignment horizontal="left"/>
      <protection/>
    </xf>
    <xf numFmtId="0" fontId="0" fillId="0" borderId="0" xfId="60" applyBorder="1" applyAlignment="1">
      <alignment horizontal="center"/>
      <protection/>
    </xf>
    <xf numFmtId="0" fontId="0" fillId="0" borderId="0" xfId="60" applyBorder="1">
      <alignment/>
      <protection/>
    </xf>
    <xf numFmtId="49" fontId="0" fillId="0" borderId="17" xfId="60" applyNumberFormat="1" applyBorder="1" applyAlignment="1">
      <alignment horizontal="center" wrapText="1"/>
      <protection/>
    </xf>
    <xf numFmtId="49" fontId="0" fillId="33" borderId="18" xfId="60" applyNumberFormat="1" applyFill="1" applyBorder="1" applyAlignment="1">
      <alignment wrapText="1"/>
      <protection/>
    </xf>
    <xf numFmtId="49" fontId="0" fillId="0" borderId="19" xfId="60" applyNumberFormat="1" applyBorder="1" applyAlignment="1">
      <alignment horizontal="center" wrapText="1"/>
      <protection/>
    </xf>
    <xf numFmtId="49" fontId="0" fillId="33" borderId="20" xfId="60" applyNumberFormat="1" applyFill="1" applyBorder="1" applyAlignment="1">
      <alignment wrapText="1"/>
      <protection/>
    </xf>
    <xf numFmtId="49" fontId="0" fillId="0" borderId="20" xfId="60" applyNumberFormat="1" applyBorder="1" applyAlignment="1">
      <alignment horizontal="center" wrapText="1"/>
      <protection/>
    </xf>
    <xf numFmtId="49" fontId="0" fillId="0" borderId="17" xfId="60" applyNumberFormat="1" applyFill="1" applyBorder="1" applyAlignment="1">
      <alignment wrapText="1"/>
      <protection/>
    </xf>
    <xf numFmtId="0" fontId="0" fillId="33" borderId="20" xfId="60" applyFill="1" applyBorder="1">
      <alignment/>
      <protection/>
    </xf>
    <xf numFmtId="0" fontId="0" fillId="0" borderId="20" xfId="60" applyBorder="1" applyAlignment="1">
      <alignment horizontal="center"/>
      <protection/>
    </xf>
    <xf numFmtId="0" fontId="0" fillId="33" borderId="20" xfId="60" applyFill="1" applyBorder="1" applyAlignment="1">
      <alignment horizontal="center"/>
      <protection/>
    </xf>
    <xf numFmtId="0" fontId="0" fillId="0" borderId="20" xfId="60" applyBorder="1">
      <alignment/>
      <protection/>
    </xf>
    <xf numFmtId="49" fontId="0" fillId="0" borderId="21" xfId="60" applyNumberFormat="1" applyBorder="1" applyAlignment="1">
      <alignment horizontal="center" wrapText="1"/>
      <protection/>
    </xf>
    <xf numFmtId="49" fontId="0" fillId="0" borderId="0" xfId="60" applyNumberFormat="1" applyBorder="1" applyAlignment="1">
      <alignment horizontal="center" wrapText="1"/>
      <protection/>
    </xf>
    <xf numFmtId="49" fontId="0" fillId="0" borderId="22" xfId="60" applyNumberFormat="1" applyBorder="1" applyAlignment="1">
      <alignment horizontal="center" wrapText="1"/>
      <protection/>
    </xf>
    <xf numFmtId="49" fontId="0" fillId="33" borderId="0" xfId="60" applyNumberFormat="1" applyFill="1" applyBorder="1" applyAlignment="1">
      <alignment wrapText="1"/>
      <protection/>
    </xf>
    <xf numFmtId="49" fontId="13" fillId="0" borderId="0" xfId="60" applyNumberFormat="1" applyFont="1" applyBorder="1" applyAlignment="1">
      <alignment horizontal="center" wrapText="1"/>
      <protection/>
    </xf>
    <xf numFmtId="49" fontId="0" fillId="0" borderId="23" xfId="60" applyNumberFormat="1" applyFill="1" applyBorder="1" applyAlignment="1">
      <alignment wrapText="1"/>
      <protection/>
    </xf>
    <xf numFmtId="0" fontId="0" fillId="33" borderId="0" xfId="60" applyFill="1" applyBorder="1">
      <alignment/>
      <protection/>
    </xf>
    <xf numFmtId="0" fontId="0" fillId="33" borderId="0" xfId="60" applyFill="1" applyBorder="1" applyAlignment="1">
      <alignment horizontal="center"/>
      <protection/>
    </xf>
    <xf numFmtId="49" fontId="0" fillId="0" borderId="24" xfId="60" applyNumberFormat="1" applyBorder="1" applyAlignment="1">
      <alignment horizontal="center" wrapText="1"/>
      <protection/>
    </xf>
    <xf numFmtId="0" fontId="0" fillId="0" borderId="25" xfId="60" applyBorder="1" applyAlignment="1">
      <alignment horizontal="center"/>
      <protection/>
    </xf>
    <xf numFmtId="0" fontId="0" fillId="33" borderId="18" xfId="60" applyFill="1" applyBorder="1">
      <alignment/>
      <protection/>
    </xf>
    <xf numFmtId="0" fontId="0" fillId="0" borderId="18" xfId="60" applyBorder="1">
      <alignment/>
      <protection/>
    </xf>
    <xf numFmtId="0" fontId="0" fillId="0" borderId="26" xfId="60" applyFill="1" applyBorder="1">
      <alignment/>
      <protection/>
    </xf>
    <xf numFmtId="0" fontId="0" fillId="0" borderId="27" xfId="60" applyBorder="1">
      <alignment/>
      <protection/>
    </xf>
    <xf numFmtId="0" fontId="0" fillId="0" borderId="22" xfId="60" applyBorder="1" applyAlignment="1">
      <alignment horizontal="center"/>
      <protection/>
    </xf>
    <xf numFmtId="5" fontId="14" fillId="0" borderId="0" xfId="60" applyNumberFormat="1" applyFont="1" applyBorder="1">
      <alignment/>
      <protection/>
    </xf>
    <xf numFmtId="172" fontId="0" fillId="0" borderId="0" xfId="60" applyNumberFormat="1" applyBorder="1">
      <alignment/>
      <protection/>
    </xf>
    <xf numFmtId="10" fontId="14" fillId="0" borderId="0" xfId="60" applyNumberFormat="1" applyFont="1" applyBorder="1">
      <alignment/>
      <protection/>
    </xf>
    <xf numFmtId="0" fontId="0" fillId="0" borderId="23" xfId="60" applyFill="1" applyBorder="1">
      <alignment/>
      <protection/>
    </xf>
    <xf numFmtId="10" fontId="0" fillId="0" borderId="0" xfId="60" applyNumberFormat="1" applyBorder="1">
      <alignment/>
      <protection/>
    </xf>
    <xf numFmtId="173" fontId="0" fillId="0" borderId="0" xfId="60" applyNumberFormat="1" applyBorder="1" applyAlignment="1">
      <alignment horizontal="center"/>
      <protection/>
    </xf>
    <xf numFmtId="10" fontId="0" fillId="0" borderId="24" xfId="60" applyNumberFormat="1" applyBorder="1">
      <alignment/>
      <protection/>
    </xf>
    <xf numFmtId="49" fontId="0" fillId="0" borderId="0" xfId="60" applyNumberFormat="1" applyFill="1" applyBorder="1" applyAlignment="1">
      <alignment wrapText="1"/>
      <protection/>
    </xf>
    <xf numFmtId="10" fontId="13" fillId="0" borderId="0" xfId="60" applyNumberFormat="1" applyFont="1" applyBorder="1">
      <alignment/>
      <protection/>
    </xf>
    <xf numFmtId="174" fontId="13" fillId="0" borderId="0" xfId="60" applyNumberFormat="1" applyFont="1" applyBorder="1" applyAlignment="1">
      <alignment horizontal="center"/>
      <protection/>
    </xf>
    <xf numFmtId="172" fontId="5" fillId="0" borderId="0" xfId="60" applyNumberFormat="1" applyFont="1" applyBorder="1">
      <alignment/>
      <protection/>
    </xf>
    <xf numFmtId="174" fontId="0" fillId="0" borderId="24" xfId="60" applyNumberFormat="1" applyBorder="1">
      <alignment/>
      <protection/>
    </xf>
    <xf numFmtId="174" fontId="0" fillId="0" borderId="0" xfId="60" applyNumberFormat="1" applyBorder="1">
      <alignment/>
      <protection/>
    </xf>
    <xf numFmtId="5" fontId="15" fillId="0" borderId="0" xfId="60" applyNumberFormat="1" applyFont="1" applyBorder="1">
      <alignment/>
      <protection/>
    </xf>
    <xf numFmtId="172" fontId="3" fillId="0" borderId="0" xfId="60" applyNumberFormat="1" applyFont="1" applyBorder="1">
      <alignment/>
      <protection/>
    </xf>
    <xf numFmtId="10" fontId="3" fillId="0" borderId="0" xfId="60" applyNumberFormat="1" applyFont="1" applyBorder="1">
      <alignment/>
      <protection/>
    </xf>
    <xf numFmtId="10" fontId="3" fillId="0" borderId="24" xfId="60" applyNumberFormat="1" applyFont="1" applyBorder="1" applyAlignment="1">
      <alignment horizontal="right" wrapText="1"/>
      <protection/>
    </xf>
    <xf numFmtId="10" fontId="3" fillId="0" borderId="0" xfId="60" applyNumberFormat="1" applyFont="1" applyBorder="1" applyAlignment="1">
      <alignment horizontal="center" wrapText="1"/>
      <protection/>
    </xf>
    <xf numFmtId="0" fontId="0" fillId="0" borderId="24" xfId="60" applyBorder="1">
      <alignment/>
      <protection/>
    </xf>
    <xf numFmtId="0" fontId="0" fillId="0" borderId="28" xfId="60" applyBorder="1" applyAlignment="1">
      <alignment horizontal="center"/>
      <protection/>
    </xf>
    <xf numFmtId="0" fontId="0" fillId="33" borderId="9" xfId="60" applyFill="1" applyBorder="1">
      <alignment/>
      <protection/>
    </xf>
    <xf numFmtId="0" fontId="0" fillId="0" borderId="9" xfId="60" applyBorder="1">
      <alignment/>
      <protection/>
    </xf>
    <xf numFmtId="0" fontId="0" fillId="0" borderId="29" xfId="60" applyFill="1" applyBorder="1">
      <alignment/>
      <protection/>
    </xf>
    <xf numFmtId="0" fontId="0" fillId="0" borderId="30" xfId="60" applyBorder="1">
      <alignment/>
      <protection/>
    </xf>
    <xf numFmtId="0" fontId="0" fillId="0" borderId="0" xfId="60" applyFill="1" applyBorder="1" applyAlignment="1">
      <alignment horizontal="center"/>
      <protection/>
    </xf>
    <xf numFmtId="0" fontId="0" fillId="0" borderId="0" xfId="60" applyFill="1" applyBorder="1">
      <alignment/>
      <protection/>
    </xf>
    <xf numFmtId="0" fontId="0" fillId="0" borderId="0" xfId="60" applyFill="1">
      <alignment/>
      <protection/>
    </xf>
    <xf numFmtId="49" fontId="0" fillId="0" borderId="0" xfId="60" applyNumberFormat="1" applyFill="1" applyBorder="1" applyAlignment="1">
      <alignment horizontal="center" wrapText="1"/>
      <protection/>
    </xf>
    <xf numFmtId="37" fontId="0" fillId="0" borderId="0" xfId="60" applyNumberFormat="1" applyFill="1" applyBorder="1" applyAlignment="1">
      <alignment horizontal="center"/>
      <protection/>
    </xf>
    <xf numFmtId="10" fontId="0" fillId="0" borderId="0" xfId="60" applyNumberFormat="1" applyFill="1" applyBorder="1">
      <alignment/>
      <protection/>
    </xf>
    <xf numFmtId="0" fontId="0" fillId="0" borderId="0" xfId="60" applyFont="1" applyFill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Fill="1" applyBorder="1">
      <alignment/>
      <protection/>
    </xf>
    <xf numFmtId="0" fontId="0" fillId="0" borderId="0" xfId="60" applyFont="1" applyBorder="1">
      <alignment/>
      <protection/>
    </xf>
    <xf numFmtId="37" fontId="0" fillId="0" borderId="0" xfId="60" applyNumberFormat="1" applyFont="1" applyFill="1" applyBorder="1" applyAlignment="1">
      <alignment horizontal="center"/>
      <protection/>
    </xf>
    <xf numFmtId="0" fontId="0" fillId="0" borderId="23" xfId="60" applyFont="1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49" fontId="0" fillId="0" borderId="0" xfId="60" applyNumberFormat="1" applyFont="1" applyFill="1" applyBorder="1" applyAlignment="1">
      <alignment horizontal="center" wrapText="1"/>
      <protection/>
    </xf>
    <xf numFmtId="2" fontId="0" fillId="0" borderId="0" xfId="60" applyNumberFormat="1" applyBorder="1">
      <alignment/>
      <protection/>
    </xf>
    <xf numFmtId="173" fontId="0" fillId="0" borderId="0" xfId="60" applyNumberFormat="1">
      <alignment/>
      <protection/>
    </xf>
    <xf numFmtId="164" fontId="36" fillId="3" borderId="12" xfId="47" applyNumberFormat="1" applyFont="1" applyFill="1" applyBorder="1" applyAlignment="1">
      <alignment/>
    </xf>
    <xf numFmtId="0" fontId="36" fillId="9" borderId="0" xfId="59" applyFill="1">
      <alignment/>
      <protection/>
    </xf>
    <xf numFmtId="3" fontId="16" fillId="0" borderId="0" xfId="0" applyNumberFormat="1" applyFont="1" applyAlignment="1" applyProtection="1">
      <alignment/>
      <protection locked="0"/>
    </xf>
    <xf numFmtId="0" fontId="53" fillId="0" borderId="0" xfId="0" applyFont="1" applyAlignment="1">
      <alignment/>
    </xf>
    <xf numFmtId="3" fontId="17" fillId="0" borderId="31" xfId="0" applyNumberFormat="1" applyFont="1" applyBorder="1" applyAlignment="1" applyProtection="1">
      <alignment horizontal="right"/>
      <protection locked="0"/>
    </xf>
    <xf numFmtId="3" fontId="17" fillId="0" borderId="0" xfId="0" applyNumberFormat="1" applyFont="1" applyAlignment="1" applyProtection="1">
      <alignment/>
      <protection locked="0"/>
    </xf>
    <xf numFmtId="17" fontId="53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53" fillId="32" borderId="0" xfId="0" applyFont="1" applyFill="1" applyAlignment="1" quotePrefix="1">
      <alignment/>
    </xf>
    <xf numFmtId="1" fontId="0" fillId="32" borderId="0" xfId="42" applyNumberFormat="1" applyFont="1" applyFill="1" applyAlignment="1">
      <alignment/>
    </xf>
    <xf numFmtId="3" fontId="16" fillId="32" borderId="0" xfId="0" applyNumberFormat="1" applyFont="1" applyFill="1" applyAlignment="1" applyProtection="1">
      <alignment/>
      <protection locked="0"/>
    </xf>
    <xf numFmtId="37" fontId="16" fillId="32" borderId="0" xfId="0" applyNumberFormat="1" applyFont="1" applyFill="1" applyAlignment="1" applyProtection="1">
      <alignment/>
      <protection locked="0"/>
    </xf>
    <xf numFmtId="0" fontId="53" fillId="32" borderId="12" xfId="0" applyFont="1" applyFill="1" applyBorder="1" applyAlignment="1" quotePrefix="1">
      <alignment/>
    </xf>
    <xf numFmtId="1" fontId="0" fillId="32" borderId="12" xfId="42" applyNumberFormat="1" applyFont="1" applyFill="1" applyBorder="1" applyAlignment="1">
      <alignment/>
    </xf>
    <xf numFmtId="3" fontId="16" fillId="32" borderId="12" xfId="0" applyNumberFormat="1" applyFont="1" applyFill="1" applyBorder="1" applyAlignment="1" applyProtection="1">
      <alignment/>
      <protection locked="0"/>
    </xf>
    <xf numFmtId="37" fontId="16" fillId="32" borderId="12" xfId="0" applyNumberFormat="1" applyFont="1" applyFill="1" applyBorder="1" applyAlignment="1" applyProtection="1">
      <alignment/>
      <protection locked="0"/>
    </xf>
    <xf numFmtId="0" fontId="53" fillId="0" borderId="0" xfId="0" applyFont="1" applyAlignment="1" quotePrefix="1">
      <alignment/>
    </xf>
    <xf numFmtId="1" fontId="0" fillId="0" borderId="0" xfId="42" applyNumberFormat="1" applyFont="1" applyAlignment="1">
      <alignment/>
    </xf>
    <xf numFmtId="37" fontId="16" fillId="0" borderId="0" xfId="0" applyNumberFormat="1" applyFont="1" applyFill="1" applyAlignment="1" applyProtection="1">
      <alignment/>
      <protection locked="0"/>
    </xf>
    <xf numFmtId="37" fontId="16" fillId="0" borderId="0" xfId="0" applyNumberFormat="1" applyFont="1" applyAlignment="1" applyProtection="1">
      <alignment/>
      <protection locked="0"/>
    </xf>
    <xf numFmtId="0" fontId="53" fillId="0" borderId="12" xfId="0" applyFont="1" applyBorder="1" applyAlignment="1">
      <alignment/>
    </xf>
    <xf numFmtId="1" fontId="0" fillId="0" borderId="12" xfId="42" applyNumberFormat="1" applyFont="1" applyBorder="1" applyAlignment="1">
      <alignment/>
    </xf>
    <xf numFmtId="3" fontId="16" fillId="0" borderId="12" xfId="0" applyNumberFormat="1" applyFont="1" applyBorder="1" applyAlignment="1" applyProtection="1">
      <alignment/>
      <protection locked="0"/>
    </xf>
    <xf numFmtId="37" fontId="16" fillId="0" borderId="12" xfId="0" applyNumberFormat="1" applyFont="1" applyFill="1" applyBorder="1" applyAlignment="1" applyProtection="1">
      <alignment/>
      <protection locked="0"/>
    </xf>
    <xf numFmtId="37" fontId="16" fillId="0" borderId="12" xfId="0" applyNumberFormat="1" applyFont="1" applyBorder="1" applyAlignment="1" applyProtection="1">
      <alignment/>
      <protection locked="0"/>
    </xf>
    <xf numFmtId="0" fontId="53" fillId="32" borderId="0" xfId="0" applyFont="1" applyFill="1" applyAlignment="1">
      <alignment/>
    </xf>
    <xf numFmtId="5" fontId="36" fillId="9" borderId="0" xfId="59" applyNumberFormat="1" applyFill="1">
      <alignment/>
      <protection/>
    </xf>
    <xf numFmtId="6" fontId="36" fillId="0" borderId="0" xfId="59" applyNumberFormat="1" applyFont="1" applyFill="1" applyAlignment="1">
      <alignment horizontal="center" vertical="center" wrapText="1"/>
      <protection/>
    </xf>
    <xf numFmtId="6" fontId="36" fillId="9" borderId="0" xfId="59" applyNumberFormat="1" applyFont="1" applyFill="1" applyAlignment="1">
      <alignment horizontal="center" vertical="center" wrapText="1"/>
      <protection/>
    </xf>
    <xf numFmtId="164" fontId="0" fillId="34" borderId="0" xfId="45" applyNumberFormat="1" applyFont="1" applyFill="1" applyAlignment="1">
      <alignment/>
    </xf>
    <xf numFmtId="164" fontId="0" fillId="34" borderId="12" xfId="45" applyNumberFormat="1" applyFont="1" applyFill="1" applyBorder="1" applyAlignment="1">
      <alignment/>
    </xf>
    <xf numFmtId="0" fontId="0" fillId="34" borderId="0" xfId="0" applyFill="1" applyAlignment="1">
      <alignment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0" fontId="0" fillId="35" borderId="14" xfId="0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53" fillId="0" borderId="0" xfId="47" applyNumberFormat="1" applyFont="1" applyAlignment="1">
      <alignment horizontal="left" wrapText="1"/>
    </xf>
    <xf numFmtId="164" fontId="53" fillId="36" borderId="0" xfId="59" applyNumberFormat="1" applyFont="1" applyFill="1" applyAlignment="1">
      <alignment horizontal="center" wrapText="1"/>
      <protection/>
    </xf>
    <xf numFmtId="0" fontId="53" fillId="0" borderId="0" xfId="59" applyFont="1" applyAlignment="1">
      <alignment horizontal="center" wrapText="1"/>
      <protection/>
    </xf>
    <xf numFmtId="0" fontId="36" fillId="0" borderId="0" xfId="59" applyAlignment="1">
      <alignment horizontal="center"/>
      <protection/>
    </xf>
    <xf numFmtId="0" fontId="53" fillId="0" borderId="0" xfId="59" applyFont="1" applyAlignment="1">
      <alignment horizontal="center" vertical="center" wrapText="1"/>
      <protection/>
    </xf>
    <xf numFmtId="3" fontId="17" fillId="0" borderId="12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2014%20Compliance%20Plan\Mitchell%20Plant%20Environmental%20at%20201312,%20used%20for%20BRR--Updated%20with%202014%20projec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9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PageLayoutView="0" workbookViewId="0" topLeftCell="A1">
      <selection activeCell="A1" sqref="A1:E1"/>
    </sheetView>
  </sheetViews>
  <sheetFormatPr defaultColWidth="9.140625" defaultRowHeight="12.75"/>
  <cols>
    <col min="1" max="1" width="8.421875" style="0" bestFit="1" customWidth="1"/>
    <col min="2" max="2" width="12.7109375" style="0" customWidth="1"/>
    <col min="3" max="3" width="34.57421875" style="0" customWidth="1"/>
    <col min="4" max="4" width="68.421875" style="0" customWidth="1"/>
    <col min="5" max="5" width="23.140625" style="0" customWidth="1"/>
  </cols>
  <sheetData>
    <row r="1" spans="1:5" s="37" customFormat="1" ht="15" customHeight="1">
      <c r="A1" s="175" t="s">
        <v>30</v>
      </c>
      <c r="B1" s="176"/>
      <c r="C1" s="176"/>
      <c r="D1" s="176"/>
      <c r="E1" s="176"/>
    </row>
    <row r="2" spans="1:5" s="37" customFormat="1" ht="30" customHeight="1">
      <c r="A2" s="38" t="s">
        <v>31</v>
      </c>
      <c r="B2" s="39" t="s">
        <v>32</v>
      </c>
      <c r="C2" s="39" t="s">
        <v>33</v>
      </c>
      <c r="D2" s="39" t="s">
        <v>34</v>
      </c>
      <c r="E2" s="39" t="s">
        <v>35</v>
      </c>
    </row>
    <row r="3" spans="1:5" s="37" customFormat="1" ht="15.75">
      <c r="A3" s="177"/>
      <c r="B3" s="174"/>
      <c r="C3" s="174"/>
      <c r="D3" s="174"/>
      <c r="E3" s="174"/>
    </row>
    <row r="4" spans="1:5" s="37" customFormat="1" ht="53.25">
      <c r="A4" s="40">
        <v>1</v>
      </c>
      <c r="B4" s="41" t="s">
        <v>36</v>
      </c>
      <c r="C4" s="42" t="s">
        <v>37</v>
      </c>
      <c r="D4" s="42" t="s">
        <v>38</v>
      </c>
      <c r="E4" s="42" t="s">
        <v>39</v>
      </c>
    </row>
    <row r="5" spans="1:5" s="37" customFormat="1" ht="31.5">
      <c r="A5" s="40">
        <v>2</v>
      </c>
      <c r="B5" s="41" t="s">
        <v>36</v>
      </c>
      <c r="C5" s="42" t="s">
        <v>40</v>
      </c>
      <c r="D5" s="42" t="s">
        <v>41</v>
      </c>
      <c r="E5" s="42" t="s">
        <v>42</v>
      </c>
    </row>
    <row r="6" spans="1:5" s="37" customFormat="1" ht="15.75">
      <c r="A6" s="177"/>
      <c r="B6" s="174"/>
      <c r="C6" s="174"/>
      <c r="D6" s="174"/>
      <c r="E6" s="174"/>
    </row>
    <row r="7" spans="1:5" s="37" customFormat="1" ht="18.75">
      <c r="A7" s="40">
        <v>3</v>
      </c>
      <c r="B7" s="41" t="s">
        <v>43</v>
      </c>
      <c r="C7" s="42" t="s">
        <v>44</v>
      </c>
      <c r="D7" s="42" t="s">
        <v>45</v>
      </c>
      <c r="E7" s="42">
        <v>1994</v>
      </c>
    </row>
    <row r="8" spans="1:5" s="37" customFormat="1" ht="18.75">
      <c r="A8" s="40">
        <v>4</v>
      </c>
      <c r="B8" s="41" t="s">
        <v>43</v>
      </c>
      <c r="C8" s="42" t="s">
        <v>46</v>
      </c>
      <c r="D8" s="42" t="s">
        <v>47</v>
      </c>
      <c r="E8" s="41" t="s">
        <v>48</v>
      </c>
    </row>
    <row r="9" spans="1:5" s="37" customFormat="1" ht="15.75">
      <c r="A9" s="178"/>
      <c r="B9" s="179"/>
      <c r="C9" s="179"/>
      <c r="D9" s="179"/>
      <c r="E9" s="179"/>
    </row>
    <row r="10" spans="1:5" s="37" customFormat="1" ht="64.5" customHeight="1">
      <c r="A10" s="44">
        <v>5</v>
      </c>
      <c r="B10" s="43" t="s">
        <v>49</v>
      </c>
      <c r="C10" s="42" t="s">
        <v>50</v>
      </c>
      <c r="D10" s="43" t="s">
        <v>127</v>
      </c>
      <c r="E10" s="43" t="s">
        <v>51</v>
      </c>
    </row>
    <row r="11" spans="1:5" s="37" customFormat="1" ht="62.25" customHeight="1">
      <c r="A11" s="44">
        <v>6</v>
      </c>
      <c r="B11" s="43" t="s">
        <v>52</v>
      </c>
      <c r="C11" s="42" t="s">
        <v>53</v>
      </c>
      <c r="D11" s="43" t="s">
        <v>128</v>
      </c>
      <c r="E11" s="43" t="s">
        <v>54</v>
      </c>
    </row>
    <row r="12" spans="1:5" s="37" customFormat="1" ht="66" customHeight="1" thickBot="1">
      <c r="A12" s="45">
        <v>7</v>
      </c>
      <c r="B12" s="46" t="s">
        <v>52</v>
      </c>
      <c r="C12" s="46" t="s">
        <v>55</v>
      </c>
      <c r="D12" s="46" t="s">
        <v>129</v>
      </c>
      <c r="E12" s="46" t="s">
        <v>54</v>
      </c>
    </row>
    <row r="13" s="37" customFormat="1" ht="15.75"/>
    <row r="14" s="37" customFormat="1" ht="16.5" thickBot="1"/>
    <row r="15" spans="1:5" s="37" customFormat="1" ht="15" customHeight="1">
      <c r="A15" s="175" t="s">
        <v>56</v>
      </c>
      <c r="B15" s="176"/>
      <c r="C15" s="176"/>
      <c r="D15" s="176"/>
      <c r="E15" s="176"/>
    </row>
    <row r="16" spans="1:5" s="37" customFormat="1" ht="15.75">
      <c r="A16" s="38" t="s">
        <v>31</v>
      </c>
      <c r="B16" s="39" t="s">
        <v>32</v>
      </c>
      <c r="C16" s="39" t="s">
        <v>33</v>
      </c>
      <c r="D16" s="39" t="s">
        <v>34</v>
      </c>
      <c r="E16" s="39" t="s">
        <v>35</v>
      </c>
    </row>
    <row r="17" spans="1:5" s="37" customFormat="1" ht="64.5" customHeight="1">
      <c r="A17" s="44">
        <v>8</v>
      </c>
      <c r="B17" s="43" t="s">
        <v>52</v>
      </c>
      <c r="C17" s="42" t="s">
        <v>57</v>
      </c>
      <c r="D17" s="42" t="s">
        <v>58</v>
      </c>
      <c r="E17" s="43" t="s">
        <v>54</v>
      </c>
    </row>
    <row r="18" spans="1:5" s="37" customFormat="1" ht="15.75">
      <c r="A18" s="173"/>
      <c r="B18" s="174"/>
      <c r="C18" s="174"/>
      <c r="D18" s="174"/>
      <c r="E18" s="174"/>
    </row>
    <row r="19" spans="1:5" s="37" customFormat="1" ht="15.75">
      <c r="A19" s="40">
        <v>9</v>
      </c>
      <c r="B19" s="41" t="s">
        <v>36</v>
      </c>
      <c r="C19" s="42" t="s">
        <v>59</v>
      </c>
      <c r="D19" s="42" t="s">
        <v>60</v>
      </c>
      <c r="E19" s="42" t="s">
        <v>130</v>
      </c>
    </row>
    <row r="20" spans="1:5" s="37" customFormat="1" ht="15.75">
      <c r="A20" s="40">
        <v>10</v>
      </c>
      <c r="B20" s="41" t="s">
        <v>36</v>
      </c>
      <c r="C20" s="42" t="s">
        <v>59</v>
      </c>
      <c r="D20" s="42" t="s">
        <v>61</v>
      </c>
      <c r="E20" s="43" t="s">
        <v>131</v>
      </c>
    </row>
    <row r="21" spans="1:5" s="37" customFormat="1" ht="15.75">
      <c r="A21" s="40">
        <v>11</v>
      </c>
      <c r="B21" s="41" t="s">
        <v>36</v>
      </c>
      <c r="C21" s="42" t="s">
        <v>62</v>
      </c>
      <c r="D21" s="42" t="s">
        <v>63</v>
      </c>
      <c r="E21" s="42">
        <v>2014</v>
      </c>
    </row>
    <row r="22" spans="1:5" s="37" customFormat="1" ht="15.75">
      <c r="A22" s="40">
        <v>12</v>
      </c>
      <c r="B22" s="41" t="s">
        <v>36</v>
      </c>
      <c r="C22" s="42" t="s">
        <v>64</v>
      </c>
      <c r="D22" s="42" t="s">
        <v>65</v>
      </c>
      <c r="E22" s="42">
        <v>2014</v>
      </c>
    </row>
    <row r="23" spans="1:5" s="37" customFormat="1" ht="31.5">
      <c r="A23" s="40">
        <v>13</v>
      </c>
      <c r="B23" s="41" t="s">
        <v>36</v>
      </c>
      <c r="C23" s="42" t="s">
        <v>66</v>
      </c>
      <c r="D23" s="42" t="s">
        <v>67</v>
      </c>
      <c r="E23" s="42" t="s">
        <v>68</v>
      </c>
    </row>
    <row r="24" spans="1:5" s="37" customFormat="1" ht="15.75">
      <c r="A24" s="40">
        <v>14</v>
      </c>
      <c r="B24" s="41" t="s">
        <v>36</v>
      </c>
      <c r="C24" s="42" t="s">
        <v>59</v>
      </c>
      <c r="D24" s="42" t="s">
        <v>69</v>
      </c>
      <c r="E24" s="42">
        <v>2015</v>
      </c>
    </row>
    <row r="25" spans="1:5" s="37" customFormat="1" ht="15.75">
      <c r="A25" s="173"/>
      <c r="B25" s="174"/>
      <c r="C25" s="174"/>
      <c r="D25" s="174"/>
      <c r="E25" s="174"/>
    </row>
    <row r="26" spans="1:5" s="37" customFormat="1" ht="15.75">
      <c r="A26" s="40">
        <v>15</v>
      </c>
      <c r="B26" s="41" t="s">
        <v>43</v>
      </c>
      <c r="C26" s="42" t="s">
        <v>59</v>
      </c>
      <c r="D26" s="42" t="s">
        <v>70</v>
      </c>
      <c r="E26" s="42" t="s">
        <v>71</v>
      </c>
    </row>
    <row r="27" spans="1:5" s="37" customFormat="1" ht="31.5">
      <c r="A27" s="40">
        <v>16</v>
      </c>
      <c r="B27" s="41" t="s">
        <v>43</v>
      </c>
      <c r="C27" s="41" t="s">
        <v>72</v>
      </c>
      <c r="D27" s="41" t="s">
        <v>73</v>
      </c>
      <c r="E27" s="41" t="s">
        <v>74</v>
      </c>
    </row>
    <row r="28" spans="1:5" s="37" customFormat="1" ht="15.75">
      <c r="A28" s="40">
        <v>17</v>
      </c>
      <c r="B28" s="41" t="s">
        <v>43</v>
      </c>
      <c r="C28" s="42" t="s">
        <v>75</v>
      </c>
      <c r="D28" s="42" t="s">
        <v>76</v>
      </c>
      <c r="E28" s="42">
        <v>2015</v>
      </c>
    </row>
    <row r="29" spans="1:5" s="37" customFormat="1" ht="32.25" thickBot="1">
      <c r="A29" s="47">
        <v>18</v>
      </c>
      <c r="B29" s="48" t="s">
        <v>43</v>
      </c>
      <c r="C29" s="49" t="s">
        <v>77</v>
      </c>
      <c r="D29" s="49" t="s">
        <v>132</v>
      </c>
      <c r="E29" s="49" t="s">
        <v>142</v>
      </c>
    </row>
  </sheetData>
  <sheetProtection/>
  <mergeCells count="7">
    <mergeCell ref="A25:E25"/>
    <mergeCell ref="A1:E1"/>
    <mergeCell ref="A3:E3"/>
    <mergeCell ref="A6:E6"/>
    <mergeCell ref="A9:E9"/>
    <mergeCell ref="A15:E15"/>
    <mergeCell ref="A18:E18"/>
  </mergeCells>
  <printOptions/>
  <pageMargins left="0.7" right="0.7" top="0.75" bottom="0.75" header="0.3" footer="0.3"/>
  <pageSetup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A1" sqref="A1"/>
    </sheetView>
  </sheetViews>
  <sheetFormatPr defaultColWidth="9.140625" defaultRowHeight="12.75"/>
  <sheetData>
    <row r="4" ht="12.7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W42"/>
  <sheetViews>
    <sheetView tabSelected="1" zoomScalePageLayoutView="0" workbookViewId="0" topLeftCell="A7">
      <selection activeCell="R26" sqref="R26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16.57421875" style="0" customWidth="1"/>
    <col min="4" max="4" width="1.7109375" style="0" customWidth="1"/>
    <col min="5" max="5" width="12.7109375" style="0" customWidth="1"/>
    <col min="6" max="6" width="1.7109375" style="0" customWidth="1"/>
    <col min="7" max="7" width="13.00390625" style="0" customWidth="1"/>
    <col min="8" max="8" width="1.7109375" style="0" customWidth="1"/>
    <col min="9" max="9" width="13.57421875" style="0" customWidth="1"/>
    <col min="10" max="10" width="1.7109375" style="0" customWidth="1"/>
    <col min="11" max="11" width="15.28125" style="0" customWidth="1"/>
    <col min="12" max="12" width="1.7109375" style="0" customWidth="1"/>
    <col min="13" max="13" width="12.28125" style="0" customWidth="1"/>
    <col min="14" max="14" width="1.7109375" style="0" customWidth="1"/>
    <col min="15" max="15" width="14.421875" style="0" customWidth="1"/>
    <col min="16" max="16" width="1.7109375" style="0" customWidth="1"/>
    <col min="17" max="17" width="13.8515625" style="0" customWidth="1"/>
    <col min="18" max="18" width="13.421875" style="0" bestFit="1" customWidth="1"/>
    <col min="19" max="19" width="1.421875" style="0" customWidth="1"/>
    <col min="20" max="20" width="13.421875" style="0" bestFit="1" customWidth="1"/>
  </cols>
  <sheetData>
    <row r="1" spans="7:17" ht="12.75">
      <c r="G1" s="35" t="s">
        <v>27</v>
      </c>
      <c r="H1" s="36"/>
      <c r="I1" s="36"/>
      <c r="J1" s="36"/>
      <c r="K1" s="36"/>
      <c r="L1" s="36"/>
      <c r="M1" s="36"/>
      <c r="N1" s="36"/>
      <c r="O1" s="36"/>
      <c r="P1" s="36"/>
      <c r="Q1" s="36" t="s">
        <v>3</v>
      </c>
    </row>
    <row r="2" ht="12.75">
      <c r="G2" s="35" t="s">
        <v>26</v>
      </c>
    </row>
    <row r="3" spans="5:23" ht="12.75" customHeight="1">
      <c r="E3" s="180" t="s">
        <v>25</v>
      </c>
      <c r="F3" s="180"/>
      <c r="G3" s="180"/>
      <c r="H3" s="180"/>
      <c r="I3" s="180"/>
      <c r="J3" s="35"/>
      <c r="K3" s="35"/>
      <c r="L3" s="35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12.75">
      <c r="E4" s="35"/>
    </row>
    <row r="5" spans="5:7" ht="12.75" customHeight="1">
      <c r="E5" s="34"/>
      <c r="F5" s="3"/>
      <c r="G5" s="33"/>
    </row>
    <row r="6" spans="5:18" ht="12.75">
      <c r="E6" s="3"/>
      <c r="F6" s="3"/>
      <c r="G6" s="33"/>
      <c r="Q6" s="23"/>
      <c r="R6" s="1"/>
    </row>
    <row r="7" spans="5:18" ht="1.5" customHeight="1">
      <c r="E7" s="3"/>
      <c r="F7" s="3"/>
      <c r="G7" s="33"/>
      <c r="R7" s="1"/>
    </row>
    <row r="8" spans="1:18" ht="26.25" customHeight="1">
      <c r="A8" s="31"/>
      <c r="B8" s="31"/>
      <c r="C8" s="31"/>
      <c r="D8" s="31"/>
      <c r="E8" s="181" t="s">
        <v>24</v>
      </c>
      <c r="F8" s="32"/>
      <c r="G8" s="184" t="s">
        <v>23</v>
      </c>
      <c r="H8" s="31"/>
      <c r="I8" s="184" t="s">
        <v>22</v>
      </c>
      <c r="J8" s="31"/>
      <c r="K8" s="181" t="s">
        <v>21</v>
      </c>
      <c r="L8" s="31"/>
      <c r="M8" s="184" t="s">
        <v>20</v>
      </c>
      <c r="N8" s="31"/>
      <c r="O8" s="183" t="s">
        <v>29</v>
      </c>
      <c r="P8" s="31"/>
      <c r="Q8" s="23" t="s">
        <v>3</v>
      </c>
      <c r="R8" s="1"/>
    </row>
    <row r="9" spans="1:18" ht="12.75">
      <c r="A9" s="31" t="s">
        <v>19</v>
      </c>
      <c r="B9" s="31"/>
      <c r="C9" s="31"/>
      <c r="D9" s="31"/>
      <c r="E9" s="181"/>
      <c r="F9" s="32"/>
      <c r="G9" s="185"/>
      <c r="H9" s="31"/>
      <c r="I9" s="184"/>
      <c r="J9" s="31"/>
      <c r="K9" s="182"/>
      <c r="L9" s="31"/>
      <c r="M9" s="185"/>
      <c r="N9" s="31"/>
      <c r="O9" s="182"/>
      <c r="P9" s="31"/>
      <c r="Q9" s="23" t="s">
        <v>3</v>
      </c>
      <c r="R9" s="1"/>
    </row>
    <row r="10" spans="1:18" ht="56.25" customHeight="1">
      <c r="A10" s="29" t="s">
        <v>18</v>
      </c>
      <c r="B10" s="29"/>
      <c r="C10" s="29" t="s">
        <v>17</v>
      </c>
      <c r="D10" s="29"/>
      <c r="E10" s="181"/>
      <c r="F10" s="30"/>
      <c r="G10" s="185"/>
      <c r="H10" s="29"/>
      <c r="I10" s="184"/>
      <c r="J10" s="29"/>
      <c r="K10" s="182"/>
      <c r="L10" s="29"/>
      <c r="M10" s="185"/>
      <c r="N10" s="29"/>
      <c r="O10" s="182"/>
      <c r="P10" s="29"/>
      <c r="Q10" s="28" t="s">
        <v>28</v>
      </c>
      <c r="R10" s="1"/>
    </row>
    <row r="11" spans="1:18" ht="12.75">
      <c r="A11" s="25">
        <v>-1</v>
      </c>
      <c r="B11" s="25"/>
      <c r="C11" s="25">
        <v>-2</v>
      </c>
      <c r="D11" s="25"/>
      <c r="E11" s="25">
        <v>-3</v>
      </c>
      <c r="F11" s="27"/>
      <c r="G11" s="27">
        <v>-4</v>
      </c>
      <c r="H11" s="25"/>
      <c r="I11" s="26">
        <f aca="true" t="shared" si="0" ref="I11:Q11">G11-1</f>
        <v>-5</v>
      </c>
      <c r="J11" s="25"/>
      <c r="K11" s="25">
        <f t="shared" si="0"/>
        <v>-6</v>
      </c>
      <c r="L11" s="25"/>
      <c r="M11" s="25">
        <f t="shared" si="0"/>
        <v>-7</v>
      </c>
      <c r="N11" s="25"/>
      <c r="O11" s="25">
        <f t="shared" si="0"/>
        <v>-8</v>
      </c>
      <c r="P11" s="25"/>
      <c r="Q11" s="25">
        <f t="shared" si="0"/>
        <v>-9</v>
      </c>
      <c r="R11" s="1"/>
    </row>
    <row r="12" spans="6:18" ht="12.75">
      <c r="F12" s="3"/>
      <c r="G12" s="3"/>
      <c r="I12" s="24"/>
      <c r="K12" s="23" t="s">
        <v>16</v>
      </c>
      <c r="M12" s="5"/>
      <c r="R12" s="1"/>
    </row>
    <row r="13" spans="6:18" ht="6.75" customHeight="1">
      <c r="F13" s="3"/>
      <c r="G13" s="3"/>
      <c r="I13" s="24"/>
      <c r="K13" s="23"/>
      <c r="M13" s="5"/>
      <c r="R13" s="1"/>
    </row>
    <row r="14" spans="1:18" ht="12.75">
      <c r="A14">
        <v>1</v>
      </c>
      <c r="C14" s="13" t="s">
        <v>15</v>
      </c>
      <c r="E14" s="18">
        <v>2588033.13</v>
      </c>
      <c r="F14" s="7"/>
      <c r="G14" s="22">
        <v>-884674</v>
      </c>
      <c r="H14" s="5"/>
      <c r="I14" s="19">
        <f>-2557605-G14</f>
        <v>-1672931</v>
      </c>
      <c r="J14" s="5"/>
      <c r="K14" s="5">
        <f>SUM(E14+G14+I14)</f>
        <v>30428.12999999989</v>
      </c>
      <c r="L14" s="5"/>
      <c r="M14" s="15">
        <f>AVERAGE(M20:M37)</f>
        <v>2814766.750664919</v>
      </c>
      <c r="N14" s="5"/>
      <c r="O14" s="5">
        <v>137763.42444155455</v>
      </c>
      <c r="P14" s="5"/>
      <c r="Q14" s="17">
        <f>SUM(K14:P14)</f>
        <v>2982958.3051064736</v>
      </c>
      <c r="R14" s="1"/>
    </row>
    <row r="15" spans="3:18" ht="12.75">
      <c r="C15" s="9"/>
      <c r="E15" s="18"/>
      <c r="F15" s="7"/>
      <c r="G15" s="22"/>
      <c r="H15" s="5"/>
      <c r="I15" s="19"/>
      <c r="J15" s="5"/>
      <c r="K15" s="8" t="s">
        <v>3</v>
      </c>
      <c r="L15" s="5"/>
      <c r="M15" s="15"/>
      <c r="N15" s="5"/>
      <c r="O15" s="8" t="s">
        <v>3</v>
      </c>
      <c r="P15" s="5"/>
      <c r="Q15" s="14" t="s">
        <v>3</v>
      </c>
      <c r="R15" s="1"/>
    </row>
    <row r="16" spans="1:18" ht="12.75">
      <c r="A16">
        <f>A14+1</f>
        <v>2</v>
      </c>
      <c r="C16" s="13" t="s">
        <v>14</v>
      </c>
      <c r="E16" s="18">
        <v>2574766.1799999997</v>
      </c>
      <c r="F16" s="7"/>
      <c r="G16" s="22">
        <v>-873779</v>
      </c>
      <c r="H16" s="5"/>
      <c r="I16" s="19">
        <f>-2560099-G16</f>
        <v>-1686320</v>
      </c>
      <c r="J16" s="5"/>
      <c r="K16" s="5">
        <f>SUM(E16+G16+I16)</f>
        <v>14667.179999999702</v>
      </c>
      <c r="L16" s="5"/>
      <c r="M16" s="15">
        <f>M14</f>
        <v>2814766.750664919</v>
      </c>
      <c r="N16" s="5"/>
      <c r="O16" s="5">
        <v>65934.76376384002</v>
      </c>
      <c r="P16" s="5"/>
      <c r="Q16" s="17">
        <f>SUM(K16:P16)</f>
        <v>2895368.6944287587</v>
      </c>
      <c r="R16" s="1"/>
    </row>
    <row r="17" spans="3:18" ht="12.75">
      <c r="C17" s="9"/>
      <c r="E17" s="18"/>
      <c r="F17" s="7"/>
      <c r="G17" s="22"/>
      <c r="H17" s="5"/>
      <c r="I17" s="19"/>
      <c r="J17" s="5"/>
      <c r="K17" s="8" t="s">
        <v>3</v>
      </c>
      <c r="L17" s="5"/>
      <c r="M17" s="15"/>
      <c r="N17" s="5"/>
      <c r="O17" s="8" t="s">
        <v>3</v>
      </c>
      <c r="P17" s="5"/>
      <c r="Q17" s="14" t="s">
        <v>3</v>
      </c>
      <c r="R17" s="1"/>
    </row>
    <row r="18" spans="1:18" ht="12.75">
      <c r="A18">
        <f>A16+1</f>
        <v>3</v>
      </c>
      <c r="C18" s="13" t="s">
        <v>13</v>
      </c>
      <c r="E18" s="18">
        <v>3956729.7800000003</v>
      </c>
      <c r="F18" s="7"/>
      <c r="G18" s="22">
        <v>-921717</v>
      </c>
      <c r="H18" s="5"/>
      <c r="I18" s="19">
        <v>-3000383</v>
      </c>
      <c r="J18" s="5"/>
      <c r="K18" s="5">
        <f>SUM(E18+G18+I18)</f>
        <v>34629.78000000026</v>
      </c>
      <c r="L18" s="5"/>
      <c r="M18" s="15">
        <f>M16</f>
        <v>2814766.750664919</v>
      </c>
      <c r="N18" s="5"/>
      <c r="O18" s="5">
        <v>27591.04553739201</v>
      </c>
      <c r="P18" s="5"/>
      <c r="Q18" s="17">
        <f>SUM(K18:P18)</f>
        <v>2876987.5762023116</v>
      </c>
      <c r="R18" s="1"/>
    </row>
    <row r="19" spans="3:18" ht="12.75">
      <c r="C19" s="9"/>
      <c r="E19" s="18"/>
      <c r="F19" s="7"/>
      <c r="G19" s="21"/>
      <c r="H19" s="5"/>
      <c r="I19" s="19"/>
      <c r="J19" s="5"/>
      <c r="K19" s="8" t="s">
        <v>3</v>
      </c>
      <c r="L19" s="5"/>
      <c r="M19" s="15"/>
      <c r="N19" s="5"/>
      <c r="O19" s="8" t="s">
        <v>3</v>
      </c>
      <c r="P19" s="5"/>
      <c r="Q19" s="14" t="s">
        <v>3</v>
      </c>
      <c r="R19" s="1"/>
    </row>
    <row r="20" spans="1:18" ht="12.75">
      <c r="A20">
        <f>A18+1</f>
        <v>4</v>
      </c>
      <c r="C20" s="13" t="s">
        <v>12</v>
      </c>
      <c r="E20" s="18">
        <v>2819234.0201650346</v>
      </c>
      <c r="F20" s="7"/>
      <c r="G20" s="7">
        <v>0</v>
      </c>
      <c r="H20" s="5"/>
      <c r="I20" s="19">
        <v>-2789805</v>
      </c>
      <c r="J20" s="5"/>
      <c r="K20" s="5">
        <f>SUM(E20+G20+I20)</f>
        <v>29429.02016503457</v>
      </c>
      <c r="L20" s="5"/>
      <c r="M20" s="170">
        <v>2586943.7752449163</v>
      </c>
      <c r="N20" s="5"/>
      <c r="O20" s="5">
        <v>29919.109104992032</v>
      </c>
      <c r="P20" s="5"/>
      <c r="Q20" s="17">
        <f>SUM(K20:P20)</f>
        <v>2646291.904514943</v>
      </c>
      <c r="R20" s="1"/>
    </row>
    <row r="21" spans="3:18" ht="12.75">
      <c r="C21" s="9"/>
      <c r="E21" s="18"/>
      <c r="F21" s="7"/>
      <c r="G21" s="7"/>
      <c r="H21" s="5"/>
      <c r="I21" s="19"/>
      <c r="J21" s="5"/>
      <c r="K21" s="8" t="s">
        <v>3</v>
      </c>
      <c r="L21" s="5"/>
      <c r="M21" s="170"/>
      <c r="N21" s="5"/>
      <c r="O21" s="8" t="s">
        <v>3</v>
      </c>
      <c r="P21" s="5"/>
      <c r="Q21" s="14" t="s">
        <v>3</v>
      </c>
      <c r="R21" s="1"/>
    </row>
    <row r="22" spans="1:18" ht="12.75">
      <c r="A22">
        <f>A20+1</f>
        <v>5</v>
      </c>
      <c r="C22" s="13" t="s">
        <v>11</v>
      </c>
      <c r="E22" s="18">
        <v>2727758</v>
      </c>
      <c r="F22" s="7"/>
      <c r="G22" s="7">
        <v>0</v>
      </c>
      <c r="H22" s="5"/>
      <c r="I22" s="19">
        <v>-2688504</v>
      </c>
      <c r="J22" s="5"/>
      <c r="K22" s="5">
        <f>SUM(E22+G22+I22)</f>
        <v>39254</v>
      </c>
      <c r="L22" s="5"/>
      <c r="M22" s="170">
        <v>2553628.4487485588</v>
      </c>
      <c r="N22" s="5"/>
      <c r="O22" s="5">
        <v>31777.27984131202</v>
      </c>
      <c r="P22" s="5"/>
      <c r="Q22" s="17">
        <f>SUM(K22:P22)</f>
        <v>2624659.728589871</v>
      </c>
      <c r="R22" s="1"/>
    </row>
    <row r="23" spans="3:18" ht="12.75">
      <c r="C23" s="9"/>
      <c r="E23" s="18"/>
      <c r="F23" s="7"/>
      <c r="G23" s="7"/>
      <c r="H23" s="5"/>
      <c r="I23" s="5"/>
      <c r="J23" s="5"/>
      <c r="K23" s="8" t="s">
        <v>3</v>
      </c>
      <c r="L23" s="5"/>
      <c r="M23" s="170"/>
      <c r="N23" s="5"/>
      <c r="O23" s="8" t="s">
        <v>3</v>
      </c>
      <c r="P23" s="5"/>
      <c r="Q23" s="14" t="s">
        <v>3</v>
      </c>
      <c r="R23" s="1"/>
    </row>
    <row r="24" spans="1:18" ht="12.75">
      <c r="A24">
        <f>A22+1</f>
        <v>6</v>
      </c>
      <c r="C24" s="13" t="s">
        <v>10</v>
      </c>
      <c r="E24" s="18">
        <v>2361529.358927304</v>
      </c>
      <c r="F24" s="7"/>
      <c r="G24" s="7">
        <v>0</v>
      </c>
      <c r="H24" s="5"/>
      <c r="I24" s="5">
        <v>-2321728</v>
      </c>
      <c r="J24" s="5"/>
      <c r="K24" s="5">
        <f>SUM(E24+G24+I24)</f>
        <v>39801.358927303925</v>
      </c>
      <c r="L24" s="5"/>
      <c r="M24" s="170">
        <v>2625235.313368284</v>
      </c>
      <c r="N24" s="5"/>
      <c r="O24" s="5">
        <v>71957.30054643197</v>
      </c>
      <c r="P24" s="5"/>
      <c r="Q24" s="17">
        <f>SUM(K24:P24)</f>
        <v>2736993.97284202</v>
      </c>
      <c r="R24" s="1"/>
    </row>
    <row r="25" spans="3:18" ht="12.75">
      <c r="C25" s="9"/>
      <c r="E25" s="18"/>
      <c r="F25" s="7"/>
      <c r="G25" s="7"/>
      <c r="H25" s="5"/>
      <c r="I25" s="5"/>
      <c r="J25" s="5"/>
      <c r="K25" s="8" t="s">
        <v>3</v>
      </c>
      <c r="L25" s="5"/>
      <c r="M25" s="170"/>
      <c r="N25" s="5"/>
      <c r="O25" s="8" t="s">
        <v>3</v>
      </c>
      <c r="P25" s="5"/>
      <c r="Q25" s="14" t="s">
        <v>3</v>
      </c>
      <c r="R25" s="1"/>
    </row>
    <row r="26" spans="1:18" ht="12.75">
      <c r="A26">
        <f>A24+1</f>
        <v>7</v>
      </c>
      <c r="C26" s="13" t="s">
        <v>9</v>
      </c>
      <c r="E26" s="18">
        <v>2844327.4093017518</v>
      </c>
      <c r="F26" s="7"/>
      <c r="G26" s="7">
        <v>0</v>
      </c>
      <c r="H26" s="5"/>
      <c r="I26" s="5">
        <v>-2804712</v>
      </c>
      <c r="J26" s="5"/>
      <c r="K26" s="5">
        <f>SUM(E26+G26+I26)</f>
        <v>39615.40930175176</v>
      </c>
      <c r="L26" s="5"/>
      <c r="M26" s="170">
        <v>2672378.4908070103</v>
      </c>
      <c r="N26" s="5"/>
      <c r="O26" s="5">
        <v>83859.608639936</v>
      </c>
      <c r="P26" s="5"/>
      <c r="Q26" s="17">
        <f>SUM(K26:P26)</f>
        <v>2795853.508748698</v>
      </c>
      <c r="R26" s="1"/>
    </row>
    <row r="27" spans="3:18" ht="12.75">
      <c r="C27" s="9"/>
      <c r="E27" s="18"/>
      <c r="F27" s="7"/>
      <c r="G27" s="7"/>
      <c r="H27" s="5"/>
      <c r="I27" s="5"/>
      <c r="J27" s="5"/>
      <c r="K27" s="8" t="s">
        <v>3</v>
      </c>
      <c r="L27" s="5"/>
      <c r="M27" s="170"/>
      <c r="N27" s="5"/>
      <c r="O27" s="8" t="s">
        <v>3</v>
      </c>
      <c r="P27" s="5"/>
      <c r="Q27" s="14" t="s">
        <v>3</v>
      </c>
      <c r="R27" s="1"/>
    </row>
    <row r="28" spans="1:18" ht="12.75">
      <c r="A28">
        <f>A26+1</f>
        <v>8</v>
      </c>
      <c r="C28" s="13" t="s">
        <v>8</v>
      </c>
      <c r="E28" s="18">
        <v>2450432.7842433983</v>
      </c>
      <c r="F28" s="7"/>
      <c r="G28" s="7">
        <v>0</v>
      </c>
      <c r="H28" s="5"/>
      <c r="I28" s="5">
        <v>-2409658</v>
      </c>
      <c r="J28" s="5"/>
      <c r="K28" s="5">
        <f>SUM(E28+G28+I28)</f>
        <v>40774.784243398346</v>
      </c>
      <c r="L28" s="5"/>
      <c r="M28" s="170">
        <v>2655200.409011236</v>
      </c>
      <c r="N28" s="5"/>
      <c r="O28" s="5">
        <v>86233.42841619204</v>
      </c>
      <c r="P28" s="5"/>
      <c r="Q28" s="17">
        <f>SUM(K28:P28)</f>
        <v>2782208.6216708263</v>
      </c>
      <c r="R28" s="1"/>
    </row>
    <row r="29" spans="3:18" ht="12.75">
      <c r="C29" s="9"/>
      <c r="E29" s="18"/>
      <c r="F29" s="7"/>
      <c r="G29" s="7"/>
      <c r="H29" s="5"/>
      <c r="I29" s="5"/>
      <c r="J29" s="5"/>
      <c r="K29" s="8" t="s">
        <v>3</v>
      </c>
      <c r="L29" s="5"/>
      <c r="M29" s="170"/>
      <c r="N29" s="5"/>
      <c r="O29" s="8" t="s">
        <v>3</v>
      </c>
      <c r="P29" s="5"/>
      <c r="Q29" s="14" t="s">
        <v>3</v>
      </c>
      <c r="R29" s="1"/>
    </row>
    <row r="30" spans="1:18" ht="12.75">
      <c r="A30">
        <f>A28+1</f>
        <v>9</v>
      </c>
      <c r="C30" s="13" t="s">
        <v>7</v>
      </c>
      <c r="E30" s="18">
        <v>2788300.85695832</v>
      </c>
      <c r="F30" s="7"/>
      <c r="G30" s="7">
        <v>0</v>
      </c>
      <c r="H30" s="5"/>
      <c r="I30" s="5">
        <v>-2749455</v>
      </c>
      <c r="J30" s="5"/>
      <c r="K30" s="5">
        <f>SUM(E30+G30+I30)</f>
        <v>38845.8569583199</v>
      </c>
      <c r="L30" s="5"/>
      <c r="M30" s="170">
        <v>2619495.895005295</v>
      </c>
      <c r="N30" s="5"/>
      <c r="O30" s="5">
        <v>64755.87399392002</v>
      </c>
      <c r="P30" s="5"/>
      <c r="Q30" s="17">
        <f>SUM(K30:P30)</f>
        <v>2723097.625957535</v>
      </c>
      <c r="R30" s="1"/>
    </row>
    <row r="31" spans="3:18" ht="12.75">
      <c r="C31" s="9"/>
      <c r="E31" s="18"/>
      <c r="F31" s="7"/>
      <c r="G31" s="7"/>
      <c r="H31" s="5"/>
      <c r="I31" s="5"/>
      <c r="J31" s="5"/>
      <c r="K31" s="8" t="s">
        <v>3</v>
      </c>
      <c r="L31" s="5"/>
      <c r="M31" s="170"/>
      <c r="N31" s="5"/>
      <c r="O31" s="8" t="s">
        <v>3</v>
      </c>
      <c r="P31" s="5"/>
      <c r="Q31" s="14" t="s">
        <v>3</v>
      </c>
      <c r="R31" s="1"/>
    </row>
    <row r="32" spans="1:18" ht="12.75">
      <c r="A32">
        <f>A30+1</f>
        <v>10</v>
      </c>
      <c r="C32" s="13" t="s">
        <v>6</v>
      </c>
      <c r="E32" s="18">
        <v>2675317.7252854644</v>
      </c>
      <c r="F32" s="20"/>
      <c r="G32" s="20">
        <v>0</v>
      </c>
      <c r="H32" s="19"/>
      <c r="I32" s="19">
        <v>-2638192</v>
      </c>
      <c r="J32" s="19"/>
      <c r="K32" s="5">
        <f>SUM(E32+G32+I32)</f>
        <v>37125.72528546443</v>
      </c>
      <c r="L32" s="19"/>
      <c r="M32" s="170">
        <v>3343224.2713714843</v>
      </c>
      <c r="N32" s="19"/>
      <c r="O32" s="5">
        <v>36490.380685552016</v>
      </c>
      <c r="P32" s="5"/>
      <c r="Q32" s="17">
        <f>SUM(K32:P32)</f>
        <v>3416840.3773425007</v>
      </c>
      <c r="R32" s="1"/>
    </row>
    <row r="33" spans="3:18" ht="12.75">
      <c r="C33" s="9"/>
      <c r="E33" s="18"/>
      <c r="F33" s="20"/>
      <c r="G33" s="20"/>
      <c r="H33" s="19"/>
      <c r="I33" s="19"/>
      <c r="J33" s="19"/>
      <c r="K33" s="8" t="s">
        <v>3</v>
      </c>
      <c r="L33" s="19"/>
      <c r="M33" s="170"/>
      <c r="N33" s="19"/>
      <c r="O33" s="8" t="s">
        <v>3</v>
      </c>
      <c r="P33" s="5"/>
      <c r="Q33" s="14" t="s">
        <v>3</v>
      </c>
      <c r="R33" s="1"/>
    </row>
    <row r="34" spans="1:18" ht="12.75">
      <c r="A34">
        <f>A32+1</f>
        <v>11</v>
      </c>
      <c r="C34" s="13" t="s">
        <v>5</v>
      </c>
      <c r="E34" s="18">
        <v>2796291.8311855006</v>
      </c>
      <c r="F34" s="7"/>
      <c r="G34" s="7">
        <v>0</v>
      </c>
      <c r="H34" s="5"/>
      <c r="I34" s="5">
        <v>-2758034</v>
      </c>
      <c r="J34" s="5"/>
      <c r="K34" s="5">
        <f>SUM(E34+G34+I34)</f>
        <v>38257.8311855006</v>
      </c>
      <c r="L34" s="5"/>
      <c r="M34" s="170">
        <v>3113126.3072994906</v>
      </c>
      <c r="N34" s="5"/>
      <c r="O34" s="5">
        <v>33058.490869839996</v>
      </c>
      <c r="P34" s="5"/>
      <c r="Q34" s="17">
        <f>SUM(K34:P34)</f>
        <v>3184442.6293548313</v>
      </c>
      <c r="R34" s="1"/>
    </row>
    <row r="35" spans="3:18" ht="12.75">
      <c r="C35" s="9"/>
      <c r="E35" s="16"/>
      <c r="F35" s="7"/>
      <c r="G35" s="7"/>
      <c r="H35" s="5"/>
      <c r="I35" s="5"/>
      <c r="J35" s="5"/>
      <c r="K35" s="8" t="s">
        <v>3</v>
      </c>
      <c r="L35" s="5"/>
      <c r="M35" s="170"/>
      <c r="N35" s="5"/>
      <c r="O35" s="8" t="s">
        <v>3</v>
      </c>
      <c r="P35" s="5"/>
      <c r="Q35" s="14" t="s">
        <v>3</v>
      </c>
      <c r="R35" s="1"/>
    </row>
    <row r="36" spans="1:18" ht="12.75">
      <c r="A36">
        <f>A34+1</f>
        <v>12</v>
      </c>
      <c r="C36" s="13" t="s">
        <v>4</v>
      </c>
      <c r="E36" s="12">
        <v>2146708.4829089246</v>
      </c>
      <c r="F36" s="7"/>
      <c r="G36" s="11">
        <v>0</v>
      </c>
      <c r="H36" s="5"/>
      <c r="I36" s="11">
        <v>-2108067</v>
      </c>
      <c r="J36" s="5"/>
      <c r="K36" s="11">
        <f>SUM(E36+G36+I36)</f>
        <v>38641.482908924576</v>
      </c>
      <c r="L36" s="5"/>
      <c r="M36" s="171">
        <v>3163667.8451279956</v>
      </c>
      <c r="N36" s="5"/>
      <c r="O36" s="11">
        <v>34664.70681433585</v>
      </c>
      <c r="P36" s="5"/>
      <c r="Q36" s="10">
        <f>SUM(K36:P36)</f>
        <v>3236974.034851256</v>
      </c>
      <c r="R36" s="1"/>
    </row>
    <row r="37" spans="3:18" ht="12.75">
      <c r="C37" s="9"/>
      <c r="E37" s="5"/>
      <c r="F37" s="7"/>
      <c r="G37" s="7"/>
      <c r="H37" s="5"/>
      <c r="I37" s="5"/>
      <c r="J37" s="5"/>
      <c r="K37" s="8" t="s">
        <v>3</v>
      </c>
      <c r="L37" s="5"/>
      <c r="M37" s="15"/>
      <c r="N37" s="5"/>
      <c r="O37" s="5"/>
      <c r="P37" s="5"/>
      <c r="R37" s="1"/>
    </row>
    <row r="38" spans="3:18" ht="13.5" thickBot="1">
      <c r="C38" t="s">
        <v>2</v>
      </c>
      <c r="E38" s="6">
        <f>SUM(E14:E36)</f>
        <v>32729429.558975693</v>
      </c>
      <c r="F38" s="7"/>
      <c r="G38" s="6">
        <f>SUM(G14:G36)</f>
        <v>-2680170</v>
      </c>
      <c r="H38" s="5"/>
      <c r="I38" s="6">
        <f>SUM(I14:I36)</f>
        <v>-29627789</v>
      </c>
      <c r="J38" s="5"/>
      <c r="K38" s="6">
        <f>SUM(K14:K36)</f>
        <v>421470.55897569796</v>
      </c>
      <c r="L38" s="5"/>
      <c r="M38" s="6">
        <f>SUM(M14:M37)</f>
        <v>33777201.00797903</v>
      </c>
      <c r="N38" s="5"/>
      <c r="O38" s="6">
        <f>SUM(O14:O36)</f>
        <v>704005.4126552986</v>
      </c>
      <c r="P38" s="5"/>
      <c r="Q38" s="4">
        <f>SUM(Q14:Q36)</f>
        <v>34902676.97961002</v>
      </c>
      <c r="R38" s="1"/>
    </row>
    <row r="39" spans="5:18" ht="13.5" thickTop="1">
      <c r="E39" s="2"/>
      <c r="F39" s="3"/>
      <c r="G39" s="2"/>
      <c r="Q39" s="2"/>
      <c r="R39" s="1"/>
    </row>
    <row r="40" spans="2:18" ht="12.75">
      <c r="B40" t="s">
        <v>1</v>
      </c>
      <c r="C40" t="s">
        <v>0</v>
      </c>
      <c r="R40" s="1"/>
    </row>
    <row r="41" ht="12.75">
      <c r="R41" s="1"/>
    </row>
    <row r="42" spans="3:9" ht="12.75">
      <c r="C42" s="172" t="s">
        <v>152</v>
      </c>
      <c r="D42" s="172"/>
      <c r="E42" s="172"/>
      <c r="F42" s="172"/>
      <c r="G42" s="172"/>
      <c r="H42" s="172"/>
      <c r="I42" s="24"/>
    </row>
  </sheetData>
  <sheetProtection/>
  <mergeCells count="7">
    <mergeCell ref="E3:I3"/>
    <mergeCell ref="K8:K10"/>
    <mergeCell ref="O8:O10"/>
    <mergeCell ref="G8:G10"/>
    <mergeCell ref="E8:E10"/>
    <mergeCell ref="M8:M10"/>
    <mergeCell ref="I8:I10"/>
  </mergeCells>
  <printOptions/>
  <pageMargins left="1.25" right="0.75" top="1" bottom="1" header="0.5" footer="0.5"/>
  <pageSetup fitToHeight="1" fitToWidth="1"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L4">
      <selection activeCell="AA22" sqref="AA22"/>
    </sheetView>
  </sheetViews>
  <sheetFormatPr defaultColWidth="8.8515625" defaultRowHeight="12.75"/>
  <cols>
    <col min="1" max="1" width="15.140625" style="51" customWidth="1"/>
    <col min="2" max="2" width="14.28125" style="51" customWidth="1"/>
    <col min="3" max="3" width="18.57421875" style="51" customWidth="1"/>
    <col min="4" max="4" width="3.28125" style="51" customWidth="1"/>
    <col min="5" max="5" width="16.421875" style="51" customWidth="1"/>
    <col min="6" max="6" width="3.28125" style="51" customWidth="1"/>
    <col min="7" max="7" width="11.57421875" style="51" customWidth="1"/>
    <col min="8" max="8" width="2.28125" style="51" customWidth="1"/>
    <col min="9" max="9" width="14.00390625" style="51" customWidth="1"/>
    <col min="10" max="10" width="3.140625" style="51" customWidth="1"/>
    <col min="11" max="11" width="14.28125" style="51" customWidth="1"/>
    <col min="12" max="12" width="2.57421875" style="51" customWidth="1"/>
    <col min="13" max="13" width="15.28125" style="51" customWidth="1"/>
    <col min="14" max="14" width="2.57421875" style="51" customWidth="1"/>
    <col min="15" max="15" width="11.7109375" style="51" customWidth="1"/>
    <col min="16" max="16" width="2.421875" style="51" customWidth="1"/>
    <col min="17" max="17" width="16.421875" style="51" customWidth="1"/>
    <col min="18" max="18" width="2.421875" style="51" customWidth="1"/>
    <col min="19" max="19" width="14.00390625" style="51" customWidth="1"/>
    <col min="20" max="20" width="2.28125" style="51" customWidth="1"/>
    <col min="21" max="21" width="20.00390625" style="51" customWidth="1"/>
    <col min="22" max="22" width="2.421875" style="51" customWidth="1"/>
    <col min="23" max="23" width="11.7109375" style="51" customWidth="1"/>
    <col min="24" max="24" width="2.28125" style="51" customWidth="1"/>
    <col min="25" max="25" width="13.421875" style="51" customWidth="1"/>
    <col min="26" max="16384" width="8.8515625" style="51" customWidth="1"/>
  </cols>
  <sheetData>
    <row r="1" spans="1:25" ht="15">
      <c r="A1" s="189" t="s">
        <v>27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</row>
    <row r="2" spans="1:25" ht="15">
      <c r="A2" s="189" t="s">
        <v>141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ht="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5" ht="15">
      <c r="A4" s="59" t="s">
        <v>3</v>
      </c>
      <c r="U4" s="188" t="s">
        <v>105</v>
      </c>
      <c r="Y4" s="188" t="s">
        <v>104</v>
      </c>
    </row>
    <row r="5" spans="3:25" ht="14.25" customHeight="1">
      <c r="C5" s="188" t="s">
        <v>103</v>
      </c>
      <c r="D5" s="53"/>
      <c r="E5" s="188" t="s">
        <v>102</v>
      </c>
      <c r="G5" s="190" t="s">
        <v>101</v>
      </c>
      <c r="I5" s="188" t="s">
        <v>100</v>
      </c>
      <c r="K5" s="188" t="s">
        <v>99</v>
      </c>
      <c r="M5" s="188" t="s">
        <v>98</v>
      </c>
      <c r="O5" s="188" t="s">
        <v>97</v>
      </c>
      <c r="Q5" s="188" t="s">
        <v>78</v>
      </c>
      <c r="S5" s="188" t="s">
        <v>96</v>
      </c>
      <c r="T5" s="69"/>
      <c r="U5" s="188"/>
      <c r="W5" s="188" t="s">
        <v>95</v>
      </c>
      <c r="Y5" s="188"/>
    </row>
    <row r="6" spans="1:25" s="68" customFormat="1" ht="14.25" customHeight="1">
      <c r="A6" s="70" t="s">
        <v>94</v>
      </c>
      <c r="B6" s="70" t="s">
        <v>93</v>
      </c>
      <c r="C6" s="188"/>
      <c r="D6" s="70"/>
      <c r="E6" s="188"/>
      <c r="G6" s="190"/>
      <c r="I6" s="188"/>
      <c r="K6" s="188"/>
      <c r="M6" s="188"/>
      <c r="O6" s="188"/>
      <c r="Q6" s="188"/>
      <c r="S6" s="188"/>
      <c r="T6" s="69"/>
      <c r="U6" s="188"/>
      <c r="W6" s="188"/>
      <c r="Y6" s="188"/>
    </row>
    <row r="7" spans="1:25" s="67" customFormat="1" ht="15">
      <c r="A7" s="67">
        <v>-1</v>
      </c>
      <c r="B7" s="67">
        <f>A7-1</f>
        <v>-2</v>
      </c>
      <c r="C7" s="67">
        <f>B7-1</f>
        <v>-3</v>
      </c>
      <c r="D7" s="67" t="s">
        <v>3</v>
      </c>
      <c r="E7" s="67">
        <f>C7-1</f>
        <v>-4</v>
      </c>
      <c r="F7" s="67" t="s">
        <v>3</v>
      </c>
      <c r="G7" s="67">
        <f>E7-1</f>
        <v>-5</v>
      </c>
      <c r="H7" s="67" t="s">
        <v>3</v>
      </c>
      <c r="I7" s="67">
        <f>G7-1</f>
        <v>-6</v>
      </c>
      <c r="J7" s="67" t="s">
        <v>3</v>
      </c>
      <c r="K7" s="67">
        <f>I7-1</f>
        <v>-7</v>
      </c>
      <c r="L7" s="67" t="s">
        <v>3</v>
      </c>
      <c r="M7" s="67">
        <f>K7-1</f>
        <v>-8</v>
      </c>
      <c r="N7" s="67" t="s">
        <v>3</v>
      </c>
      <c r="O7" s="67">
        <f>M7-1</f>
        <v>-9</v>
      </c>
      <c r="P7" s="67" t="s">
        <v>3</v>
      </c>
      <c r="Q7" s="67">
        <f>O7-1</f>
        <v>-10</v>
      </c>
      <c r="R7" s="67" t="s">
        <v>3</v>
      </c>
      <c r="S7" s="67">
        <f>Q7-1</f>
        <v>-11</v>
      </c>
      <c r="T7" s="67" t="s">
        <v>3</v>
      </c>
      <c r="U7" s="67">
        <f>S7-1</f>
        <v>-12</v>
      </c>
      <c r="V7" s="67" t="s">
        <v>3</v>
      </c>
      <c r="W7" s="67">
        <f>U7-1</f>
        <v>-13</v>
      </c>
      <c r="X7" s="67" t="s">
        <v>3</v>
      </c>
      <c r="Y7" s="67">
        <f>W7-1</f>
        <v>-14</v>
      </c>
    </row>
    <row r="8" spans="4:17" ht="9.75" customHeight="1">
      <c r="D8" s="53"/>
      <c r="G8" s="66"/>
      <c r="Q8" s="58"/>
    </row>
    <row r="9" spans="1:17" ht="18" customHeight="1">
      <c r="A9" s="53" t="s">
        <v>92</v>
      </c>
      <c r="B9" s="59"/>
      <c r="C9" s="58">
        <v>327193411.905</v>
      </c>
      <c r="D9" s="53"/>
      <c r="E9" s="62">
        <v>76112982</v>
      </c>
      <c r="G9" s="66"/>
      <c r="I9" s="55">
        <v>24747361</v>
      </c>
      <c r="K9" s="51" t="s">
        <v>3</v>
      </c>
      <c r="M9" s="58">
        <f aca="true" t="shared" si="0" ref="M9:M30">C9-E9-I9</f>
        <v>226333068.90499997</v>
      </c>
      <c r="Q9" s="58"/>
    </row>
    <row r="10" spans="1:25" ht="15">
      <c r="A10" s="63" t="s">
        <v>91</v>
      </c>
      <c r="B10" s="59">
        <v>2014</v>
      </c>
      <c r="C10" s="58">
        <v>327193411.905</v>
      </c>
      <c r="D10" s="53"/>
      <c r="E10" s="62">
        <f aca="true" t="shared" si="1" ref="E10:E30">G10+E9</f>
        <v>76966411.48271887</v>
      </c>
      <c r="G10" s="168">
        <f>C10*0.0313/12</f>
        <v>853429.482718875</v>
      </c>
      <c r="I10" s="55">
        <f aca="true" t="shared" si="2" ref="I10:I30">I9+K10</f>
        <v>24867276</v>
      </c>
      <c r="K10" s="62">
        <f>-ADFIT!J35</f>
        <v>119915</v>
      </c>
      <c r="M10" s="58">
        <f t="shared" si="0"/>
        <v>225359724.4222811</v>
      </c>
      <c r="O10" s="50">
        <f>'AJE-5'!$S$18</f>
        <v>0.1013</v>
      </c>
      <c r="Q10" s="58">
        <f>M10*O10/12</f>
        <v>1902411.6736647561</v>
      </c>
      <c r="S10" s="52">
        <v>1257551.5712016975</v>
      </c>
      <c r="T10" s="52"/>
      <c r="U10" s="52">
        <f>Q10+S10</f>
        <v>3159963.2448664536</v>
      </c>
      <c r="W10" s="51">
        <f aca="true" t="shared" si="3" ref="W10:W30">1-9.24%</f>
        <v>0.9076</v>
      </c>
      <c r="Y10" s="55">
        <f aca="true" t="shared" si="4" ref="Y10:Y30">U10*W10</f>
        <v>2867982.641040793</v>
      </c>
    </row>
    <row r="11" spans="1:25" ht="15">
      <c r="A11" s="63" t="s">
        <v>90</v>
      </c>
      <c r="B11" s="59">
        <v>2014</v>
      </c>
      <c r="C11" s="58">
        <v>327193411.905</v>
      </c>
      <c r="D11" s="53"/>
      <c r="E11" s="62">
        <f t="shared" si="1"/>
        <v>77819840.96543774</v>
      </c>
      <c r="G11" s="168">
        <f aca="true" t="shared" si="5" ref="G11:G18">C11*0.0313/12</f>
        <v>853429.482718875</v>
      </c>
      <c r="I11" s="55">
        <f t="shared" si="2"/>
        <v>24987191</v>
      </c>
      <c r="K11" s="62">
        <f>-ADFIT!J36</f>
        <v>119915</v>
      </c>
      <c r="M11" s="58">
        <f t="shared" si="0"/>
        <v>224386379.93956223</v>
      </c>
      <c r="O11" s="50">
        <f>'AJE-5'!$S$18</f>
        <v>0.1013</v>
      </c>
      <c r="Q11" s="58">
        <f aca="true" t="shared" si="6" ref="Q11:Q30">M11*O11/12</f>
        <v>1894195.0239898043</v>
      </c>
      <c r="S11" s="52">
        <v>1257551.5712016975</v>
      </c>
      <c r="T11" s="52"/>
      <c r="U11" s="52">
        <f aca="true" t="shared" si="7" ref="U11:U30">Q11+S11</f>
        <v>3151746.595191502</v>
      </c>
      <c r="W11" s="51">
        <f t="shared" si="3"/>
        <v>0.9076</v>
      </c>
      <c r="Y11" s="55">
        <f t="shared" si="4"/>
        <v>2860525.209795807</v>
      </c>
    </row>
    <row r="12" spans="1:25" ht="15">
      <c r="A12" s="63" t="s">
        <v>89</v>
      </c>
      <c r="B12" s="59">
        <v>2014</v>
      </c>
      <c r="C12" s="58">
        <v>327193411.905</v>
      </c>
      <c r="D12" s="53"/>
      <c r="E12" s="62">
        <f t="shared" si="1"/>
        <v>78673270.44815661</v>
      </c>
      <c r="G12" s="168">
        <f t="shared" si="5"/>
        <v>853429.482718875</v>
      </c>
      <c r="I12" s="55">
        <f t="shared" si="2"/>
        <v>25107106</v>
      </c>
      <c r="K12" s="62">
        <f>-ADFIT!J37</f>
        <v>119915</v>
      </c>
      <c r="M12" s="58">
        <f t="shared" si="0"/>
        <v>223413035.45684338</v>
      </c>
      <c r="O12" s="50">
        <f>'AJE-5'!$S$18</f>
        <v>0.1013</v>
      </c>
      <c r="Q12" s="58">
        <f t="shared" si="6"/>
        <v>1885978.374314853</v>
      </c>
      <c r="S12" s="52">
        <v>1257551.5712016975</v>
      </c>
      <c r="T12" s="52"/>
      <c r="U12" s="52">
        <f t="shared" si="7"/>
        <v>3143529.9455165504</v>
      </c>
      <c r="W12" s="51">
        <f t="shared" si="3"/>
        <v>0.9076</v>
      </c>
      <c r="Y12" s="55">
        <f t="shared" si="4"/>
        <v>2853067.778550821</v>
      </c>
    </row>
    <row r="13" spans="1:25" ht="15">
      <c r="A13" s="63" t="s">
        <v>79</v>
      </c>
      <c r="B13" s="59">
        <v>2015</v>
      </c>
      <c r="C13" s="58">
        <v>327193411.905</v>
      </c>
      <c r="D13" s="58"/>
      <c r="E13" s="62">
        <f t="shared" si="1"/>
        <v>79526699.93087548</v>
      </c>
      <c r="G13" s="168">
        <f t="shared" si="5"/>
        <v>853429.482718875</v>
      </c>
      <c r="I13" s="55">
        <f t="shared" si="2"/>
        <v>25220819</v>
      </c>
      <c r="K13" s="62">
        <f>-ADFIT!J38</f>
        <v>113713</v>
      </c>
      <c r="M13" s="58">
        <f t="shared" si="0"/>
        <v>222445892.9741245</v>
      </c>
      <c r="O13" s="50">
        <f>'AJE-5'!$S$18</f>
        <v>0.1013</v>
      </c>
      <c r="Q13" s="58">
        <f t="shared" si="6"/>
        <v>1877814.0798565678</v>
      </c>
      <c r="S13" s="52">
        <v>1278320.9012016973</v>
      </c>
      <c r="T13" s="52"/>
      <c r="U13" s="52">
        <f t="shared" si="7"/>
        <v>3156134.981058265</v>
      </c>
      <c r="W13" s="51">
        <f t="shared" si="3"/>
        <v>0.9076</v>
      </c>
      <c r="Y13" s="55">
        <f t="shared" si="4"/>
        <v>2864508.108808481</v>
      </c>
    </row>
    <row r="14" spans="1:25" ht="15">
      <c r="A14" s="65" t="s">
        <v>80</v>
      </c>
      <c r="B14" s="59">
        <v>2015</v>
      </c>
      <c r="C14" s="58">
        <v>327193411.905</v>
      </c>
      <c r="D14" s="58"/>
      <c r="E14" s="62">
        <f t="shared" si="1"/>
        <v>80380129.41359435</v>
      </c>
      <c r="G14" s="168">
        <f t="shared" si="5"/>
        <v>853429.482718875</v>
      </c>
      <c r="I14" s="55">
        <f t="shared" si="2"/>
        <v>25334532</v>
      </c>
      <c r="K14" s="62">
        <f>-ADFIT!J39</f>
        <v>113713</v>
      </c>
      <c r="M14" s="58">
        <f t="shared" si="0"/>
        <v>221478750.4914056</v>
      </c>
      <c r="O14" s="50">
        <f>'AJE-5'!$S$18</f>
        <v>0.1013</v>
      </c>
      <c r="Q14" s="58">
        <f t="shared" si="6"/>
        <v>1869649.7853982823</v>
      </c>
      <c r="S14" s="52">
        <v>1186492.9212016973</v>
      </c>
      <c r="T14" s="52"/>
      <c r="U14" s="52">
        <f t="shared" si="7"/>
        <v>3056142.7065999797</v>
      </c>
      <c r="W14" s="51">
        <f t="shared" si="3"/>
        <v>0.9076</v>
      </c>
      <c r="Y14" s="55">
        <f>U14*W14</f>
        <v>2773755.1205101414</v>
      </c>
    </row>
    <row r="15" spans="1:25" ht="15">
      <c r="A15" s="63" t="s">
        <v>81</v>
      </c>
      <c r="B15" s="59">
        <v>2015</v>
      </c>
      <c r="C15" s="58">
        <v>327193411.905</v>
      </c>
      <c r="D15" s="58"/>
      <c r="E15" s="62">
        <f t="shared" si="1"/>
        <v>81233558.89631322</v>
      </c>
      <c r="G15" s="168">
        <f t="shared" si="5"/>
        <v>853429.482718875</v>
      </c>
      <c r="I15" s="55">
        <f t="shared" si="2"/>
        <v>25448245</v>
      </c>
      <c r="K15" s="62">
        <f>-ADFIT!J40</f>
        <v>113713</v>
      </c>
      <c r="M15" s="58">
        <f t="shared" si="0"/>
        <v>220511608.00868675</v>
      </c>
      <c r="O15" s="50">
        <f>'AJE-5'!$S$18</f>
        <v>0.1013</v>
      </c>
      <c r="Q15" s="58">
        <f t="shared" si="6"/>
        <v>1861485.4909399974</v>
      </c>
      <c r="S15" s="52">
        <v>1310939.0512016974</v>
      </c>
      <c r="T15" s="52"/>
      <c r="U15" s="52">
        <f t="shared" si="7"/>
        <v>3172424.5421416946</v>
      </c>
      <c r="W15" s="51">
        <f t="shared" si="3"/>
        <v>0.9076</v>
      </c>
      <c r="Y15" s="55">
        <f t="shared" si="4"/>
        <v>2879292.5144478017</v>
      </c>
    </row>
    <row r="16" spans="1:25" ht="15">
      <c r="A16" s="63" t="s">
        <v>82</v>
      </c>
      <c r="B16" s="59">
        <v>2015</v>
      </c>
      <c r="C16" s="58">
        <v>327193411.905</v>
      </c>
      <c r="D16" s="64"/>
      <c r="E16" s="62">
        <f t="shared" si="1"/>
        <v>82086988.37903209</v>
      </c>
      <c r="G16" s="168">
        <f t="shared" si="5"/>
        <v>853429.482718875</v>
      </c>
      <c r="I16" s="55">
        <f t="shared" si="2"/>
        <v>25561958</v>
      </c>
      <c r="K16" s="62">
        <f>-ADFIT!J41</f>
        <v>113713</v>
      </c>
      <c r="M16" s="58">
        <f t="shared" si="0"/>
        <v>219544465.5259679</v>
      </c>
      <c r="O16" s="50">
        <f>'AJE-5'!$S$18</f>
        <v>0.1013</v>
      </c>
      <c r="Q16" s="58">
        <f t="shared" si="6"/>
        <v>1853321.1964817124</v>
      </c>
      <c r="S16" s="52">
        <v>1373763.8312016975</v>
      </c>
      <c r="T16" s="52"/>
      <c r="U16" s="52">
        <f t="shared" si="7"/>
        <v>3227085.02768341</v>
      </c>
      <c r="W16" s="51">
        <f t="shared" si="3"/>
        <v>0.9076</v>
      </c>
      <c r="Y16" s="55">
        <f t="shared" si="4"/>
        <v>2928902.3711254625</v>
      </c>
    </row>
    <row r="17" spans="1:25" ht="15">
      <c r="A17" s="63" t="s">
        <v>83</v>
      </c>
      <c r="B17" s="59">
        <v>2015</v>
      </c>
      <c r="C17" s="58">
        <v>327193411.905</v>
      </c>
      <c r="D17" s="58"/>
      <c r="E17" s="62">
        <f t="shared" si="1"/>
        <v>82940417.86175096</v>
      </c>
      <c r="G17" s="168">
        <f t="shared" si="5"/>
        <v>853429.482718875</v>
      </c>
      <c r="I17" s="55">
        <f t="shared" si="2"/>
        <v>25675671</v>
      </c>
      <c r="K17" s="62">
        <f>-ADFIT!J42</f>
        <v>113713</v>
      </c>
      <c r="M17" s="58">
        <f t="shared" si="0"/>
        <v>218577323.043249</v>
      </c>
      <c r="O17" s="50">
        <f>'AJE-5'!$S$18</f>
        <v>0.1013</v>
      </c>
      <c r="Q17" s="58">
        <f t="shared" si="6"/>
        <v>1845156.9020234272</v>
      </c>
      <c r="S17" s="52">
        <v>1307932.2512016974</v>
      </c>
      <c r="T17" s="52"/>
      <c r="U17" s="52">
        <f t="shared" si="7"/>
        <v>3153089.153225125</v>
      </c>
      <c r="W17" s="51">
        <f t="shared" si="3"/>
        <v>0.9076</v>
      </c>
      <c r="Y17" s="55">
        <f t="shared" si="4"/>
        <v>2861743.7154671233</v>
      </c>
    </row>
    <row r="18" spans="1:25" ht="15">
      <c r="A18" s="63" t="s">
        <v>84</v>
      </c>
      <c r="B18" s="59">
        <v>2015</v>
      </c>
      <c r="C18" s="58">
        <v>327193411.905</v>
      </c>
      <c r="D18" s="58"/>
      <c r="E18" s="62">
        <f t="shared" si="1"/>
        <v>83793847.34446983</v>
      </c>
      <c r="G18" s="168">
        <f t="shared" si="5"/>
        <v>853429.482718875</v>
      </c>
      <c r="I18" s="55">
        <f t="shared" si="2"/>
        <v>25789384</v>
      </c>
      <c r="K18" s="62">
        <f>-ADFIT!J43</f>
        <v>113713</v>
      </c>
      <c r="M18" s="58">
        <f t="shared" si="0"/>
        <v>217610180.56053013</v>
      </c>
      <c r="O18" s="50">
        <f>'AJE-5'!$S$18</f>
        <v>0.1013</v>
      </c>
      <c r="Q18" s="58">
        <f t="shared" si="6"/>
        <v>1836992.607565142</v>
      </c>
      <c r="S18" s="52">
        <v>1178849.9212016973</v>
      </c>
      <c r="T18" s="52"/>
      <c r="U18" s="52">
        <f t="shared" si="7"/>
        <v>3015842.5287668393</v>
      </c>
      <c r="W18" s="51">
        <f t="shared" si="3"/>
        <v>0.9076</v>
      </c>
      <c r="Y18" s="55">
        <f t="shared" si="4"/>
        <v>2737178.679108783</v>
      </c>
    </row>
    <row r="19" spans="1:25" ht="15">
      <c r="A19" s="53" t="s">
        <v>85</v>
      </c>
      <c r="B19" s="59">
        <v>2015</v>
      </c>
      <c r="C19" s="58">
        <v>327193411.905</v>
      </c>
      <c r="D19" s="58"/>
      <c r="E19" s="62">
        <f t="shared" si="1"/>
        <v>84625463.9330617</v>
      </c>
      <c r="G19" s="169">
        <f aca="true" t="shared" si="8" ref="G19:G30">C19*0.0305/12</f>
        <v>831616.5885918749</v>
      </c>
      <c r="I19" s="55">
        <f t="shared" si="2"/>
        <v>25910731</v>
      </c>
      <c r="K19" s="167">
        <f>-ADFIT!J44</f>
        <v>121347</v>
      </c>
      <c r="M19" s="58">
        <f t="shared" si="0"/>
        <v>216657216.97193825</v>
      </c>
      <c r="O19" s="50">
        <f>'AJE-5'!$S$18</f>
        <v>0.1013</v>
      </c>
      <c r="Q19" s="58">
        <f t="shared" si="6"/>
        <v>1828948.0066047788</v>
      </c>
      <c r="S19" s="52">
        <v>1367809.7112016974</v>
      </c>
      <c r="T19" s="52"/>
      <c r="U19" s="61">
        <f t="shared" si="7"/>
        <v>3196757.717806476</v>
      </c>
      <c r="W19" s="51">
        <f t="shared" si="3"/>
        <v>0.9076</v>
      </c>
      <c r="Y19" s="60">
        <f t="shared" si="4"/>
        <v>2901377.3046811577</v>
      </c>
    </row>
    <row r="20" spans="1:25" ht="15">
      <c r="A20" s="53" t="s">
        <v>86</v>
      </c>
      <c r="B20" s="59">
        <v>2015</v>
      </c>
      <c r="C20" s="58">
        <v>327193411.905</v>
      </c>
      <c r="D20" s="58"/>
      <c r="E20" s="62">
        <f t="shared" si="1"/>
        <v>85457080.52165358</v>
      </c>
      <c r="G20" s="169">
        <f t="shared" si="8"/>
        <v>831616.5885918749</v>
      </c>
      <c r="I20" s="55">
        <f t="shared" si="2"/>
        <v>26032078</v>
      </c>
      <c r="K20" s="167">
        <f>-ADFIT!J45</f>
        <v>121347</v>
      </c>
      <c r="M20" s="58">
        <f t="shared" si="0"/>
        <v>215704253.38334638</v>
      </c>
      <c r="O20" s="50">
        <f>'AJE-5'!$S$18</f>
        <v>0.1013</v>
      </c>
      <c r="Q20" s="58">
        <f t="shared" si="6"/>
        <v>1820903.4056444156</v>
      </c>
      <c r="S20" s="52">
        <v>1081501.8812016975</v>
      </c>
      <c r="T20" s="52"/>
      <c r="U20" s="61">
        <f t="shared" si="7"/>
        <v>2902405.2868461134</v>
      </c>
      <c r="W20" s="51">
        <f t="shared" si="3"/>
        <v>0.9076</v>
      </c>
      <c r="Y20" s="60">
        <f t="shared" si="4"/>
        <v>2634223.0383415325</v>
      </c>
    </row>
    <row r="21" spans="1:25" ht="15">
      <c r="A21" s="53" t="s">
        <v>87</v>
      </c>
      <c r="B21" s="59">
        <v>2015</v>
      </c>
      <c r="C21" s="58">
        <v>327193411.905</v>
      </c>
      <c r="D21" s="58"/>
      <c r="E21" s="62">
        <f t="shared" si="1"/>
        <v>86288697.11024545</v>
      </c>
      <c r="G21" s="169">
        <f t="shared" si="8"/>
        <v>831616.5885918749</v>
      </c>
      <c r="I21" s="55">
        <f t="shared" si="2"/>
        <v>26153425</v>
      </c>
      <c r="K21" s="167">
        <f>-ADFIT!J46</f>
        <v>121347</v>
      </c>
      <c r="M21" s="58">
        <f t="shared" si="0"/>
        <v>214751289.7947545</v>
      </c>
      <c r="O21" s="50">
        <f>'AJE-5'!$S$18</f>
        <v>0.1013</v>
      </c>
      <c r="Q21" s="58">
        <f t="shared" si="6"/>
        <v>1812858.8046840525</v>
      </c>
      <c r="S21" s="52">
        <v>1232353.6712016973</v>
      </c>
      <c r="T21" s="52"/>
      <c r="U21" s="61">
        <f t="shared" si="7"/>
        <v>3045212.47588575</v>
      </c>
      <c r="W21" s="51">
        <f t="shared" si="3"/>
        <v>0.9076</v>
      </c>
      <c r="Y21" s="60">
        <f t="shared" si="4"/>
        <v>2763834.843113906</v>
      </c>
    </row>
    <row r="22" spans="1:25" ht="15">
      <c r="A22" s="53" t="s">
        <v>91</v>
      </c>
      <c r="B22" s="59">
        <v>2015</v>
      </c>
      <c r="C22" s="58">
        <v>327193411.905</v>
      </c>
      <c r="E22" s="62">
        <f t="shared" si="1"/>
        <v>87120313.69883732</v>
      </c>
      <c r="G22" s="169">
        <f t="shared" si="8"/>
        <v>831616.5885918749</v>
      </c>
      <c r="I22" s="55">
        <f t="shared" si="2"/>
        <v>26274772</v>
      </c>
      <c r="K22" s="167">
        <f>-ADFIT!J47</f>
        <v>121347</v>
      </c>
      <c r="M22" s="58">
        <f t="shared" si="0"/>
        <v>213798326.20616263</v>
      </c>
      <c r="O22" s="50">
        <f>'AJE-5'!$S$18</f>
        <v>0.1013</v>
      </c>
      <c r="Q22" s="58">
        <f t="shared" si="6"/>
        <v>1804814.2037236895</v>
      </c>
      <c r="S22" s="52">
        <v>1257551.5712016975</v>
      </c>
      <c r="T22" s="52"/>
      <c r="U22" s="61">
        <f t="shared" si="7"/>
        <v>3062365.774925387</v>
      </c>
      <c r="W22" s="51">
        <f t="shared" si="3"/>
        <v>0.9076</v>
      </c>
      <c r="Y22" s="60">
        <f t="shared" si="4"/>
        <v>2779403.177322281</v>
      </c>
    </row>
    <row r="23" spans="1:25" ht="15">
      <c r="A23" s="53" t="s">
        <v>90</v>
      </c>
      <c r="B23" s="59">
        <v>2015</v>
      </c>
      <c r="C23" s="58">
        <v>327193411.905</v>
      </c>
      <c r="E23" s="62">
        <f t="shared" si="1"/>
        <v>87951930.2874292</v>
      </c>
      <c r="G23" s="169">
        <f t="shared" si="8"/>
        <v>831616.5885918749</v>
      </c>
      <c r="I23" s="55">
        <f t="shared" si="2"/>
        <v>26396119</v>
      </c>
      <c r="K23" s="167">
        <f>-ADFIT!J48</f>
        <v>121347</v>
      </c>
      <c r="M23" s="58">
        <f t="shared" si="0"/>
        <v>212845362.61757076</v>
      </c>
      <c r="O23" s="50">
        <f>'AJE-5'!$S$18</f>
        <v>0.1013</v>
      </c>
      <c r="Q23" s="58">
        <f t="shared" si="6"/>
        <v>1796769.6027633266</v>
      </c>
      <c r="S23" s="52">
        <v>1257551.5712016975</v>
      </c>
      <c r="T23" s="52"/>
      <c r="U23" s="61">
        <f t="shared" si="7"/>
        <v>3054321.173965024</v>
      </c>
      <c r="W23" s="51">
        <f t="shared" si="3"/>
        <v>0.9076</v>
      </c>
      <c r="Y23" s="60">
        <f t="shared" si="4"/>
        <v>2772101.8974906555</v>
      </c>
    </row>
    <row r="24" spans="1:25" ht="15">
      <c r="A24" s="53" t="s">
        <v>89</v>
      </c>
      <c r="B24" s="59">
        <v>2015</v>
      </c>
      <c r="C24" s="58">
        <v>327193411.905</v>
      </c>
      <c r="E24" s="62">
        <f t="shared" si="1"/>
        <v>88783546.87602107</v>
      </c>
      <c r="G24" s="169">
        <f t="shared" si="8"/>
        <v>831616.5885918749</v>
      </c>
      <c r="I24" s="55">
        <f t="shared" si="2"/>
        <v>26517466</v>
      </c>
      <c r="K24" s="167">
        <f>-ADFIT!J49</f>
        <v>121347</v>
      </c>
      <c r="M24" s="58">
        <f t="shared" si="0"/>
        <v>211892399.02897888</v>
      </c>
      <c r="O24" s="50">
        <f>'AJE-5'!$S$18</f>
        <v>0.1013</v>
      </c>
      <c r="Q24" s="58">
        <f t="shared" si="6"/>
        <v>1788725.0018029634</v>
      </c>
      <c r="S24" s="52">
        <v>1257551.5712016975</v>
      </c>
      <c r="T24" s="52"/>
      <c r="U24" s="61">
        <f t="shared" si="7"/>
        <v>3046276.573004661</v>
      </c>
      <c r="W24" s="51">
        <f t="shared" si="3"/>
        <v>0.9076</v>
      </c>
      <c r="Y24" s="60">
        <f t="shared" si="4"/>
        <v>2764800.6176590305</v>
      </c>
    </row>
    <row r="25" spans="1:25" ht="15">
      <c r="A25" s="53" t="s">
        <v>79</v>
      </c>
      <c r="B25" s="59">
        <v>2016</v>
      </c>
      <c r="C25" s="58">
        <v>327193411.905</v>
      </c>
      <c r="E25" s="62">
        <f t="shared" si="1"/>
        <v>89615163.46461295</v>
      </c>
      <c r="G25" s="169">
        <f t="shared" si="8"/>
        <v>831616.5885918749</v>
      </c>
      <c r="I25" s="55">
        <f t="shared" si="2"/>
        <v>26637942</v>
      </c>
      <c r="K25" s="167">
        <f>-ADFIT!J50</f>
        <v>120476</v>
      </c>
      <c r="M25" s="58">
        <f t="shared" si="0"/>
        <v>210940306.440387</v>
      </c>
      <c r="O25" s="50">
        <f>'AJE-5'!$S$18</f>
        <v>0.1013</v>
      </c>
      <c r="Q25" s="58">
        <f t="shared" si="6"/>
        <v>1780687.753534267</v>
      </c>
      <c r="S25" s="52">
        <v>1278320.9012016973</v>
      </c>
      <c r="T25" s="52"/>
      <c r="U25" s="61">
        <f t="shared" si="7"/>
        <v>3059008.6547359643</v>
      </c>
      <c r="W25" s="51">
        <f t="shared" si="3"/>
        <v>0.9076</v>
      </c>
      <c r="Y25" s="60">
        <f t="shared" si="4"/>
        <v>2776356.255038361</v>
      </c>
    </row>
    <row r="26" spans="1:25" ht="15">
      <c r="A26" s="53" t="s">
        <v>80</v>
      </c>
      <c r="B26" s="59">
        <v>2016</v>
      </c>
      <c r="C26" s="58">
        <v>327193411.905</v>
      </c>
      <c r="E26" s="62">
        <f t="shared" si="1"/>
        <v>90446780.05320482</v>
      </c>
      <c r="G26" s="169">
        <f t="shared" si="8"/>
        <v>831616.5885918749</v>
      </c>
      <c r="I26" s="55">
        <f t="shared" si="2"/>
        <v>26758418</v>
      </c>
      <c r="K26" s="167">
        <f>-ADFIT!J51</f>
        <v>120476</v>
      </c>
      <c r="M26" s="58">
        <f t="shared" si="0"/>
        <v>209988213.85179514</v>
      </c>
      <c r="O26" s="50">
        <f>'AJE-5'!$S$18</f>
        <v>0.1013</v>
      </c>
      <c r="Q26" s="58">
        <f t="shared" si="6"/>
        <v>1772650.5052655705</v>
      </c>
      <c r="S26" s="52">
        <v>1186492.9212016973</v>
      </c>
      <c r="T26" s="52"/>
      <c r="U26" s="61">
        <f t="shared" si="7"/>
        <v>2959143.426467268</v>
      </c>
      <c r="W26" s="51">
        <f t="shared" si="3"/>
        <v>0.9076</v>
      </c>
      <c r="Y26" s="60">
        <f t="shared" si="4"/>
        <v>2685718.573861692</v>
      </c>
    </row>
    <row r="27" spans="1:25" ht="15">
      <c r="A27" s="53" t="s">
        <v>81</v>
      </c>
      <c r="B27" s="59">
        <v>2016</v>
      </c>
      <c r="C27" s="58">
        <v>327193411.905</v>
      </c>
      <c r="E27" s="62">
        <f t="shared" si="1"/>
        <v>91278396.6417967</v>
      </c>
      <c r="G27" s="169">
        <f t="shared" si="8"/>
        <v>831616.5885918749</v>
      </c>
      <c r="I27" s="55">
        <f t="shared" si="2"/>
        <v>26878894</v>
      </c>
      <c r="K27" s="167">
        <f>-ADFIT!J52</f>
        <v>120476</v>
      </c>
      <c r="M27" s="58">
        <f t="shared" si="0"/>
        <v>209036121.26320326</v>
      </c>
      <c r="O27" s="50">
        <f>'AJE-5'!$S$18</f>
        <v>0.1013</v>
      </c>
      <c r="Q27" s="58">
        <f t="shared" si="6"/>
        <v>1764613.2569968745</v>
      </c>
      <c r="S27" s="52">
        <v>1310939.0512016974</v>
      </c>
      <c r="T27" s="52"/>
      <c r="U27" s="61">
        <f t="shared" si="7"/>
        <v>3075552.308198572</v>
      </c>
      <c r="W27" s="51">
        <f t="shared" si="3"/>
        <v>0.9076</v>
      </c>
      <c r="Y27" s="60">
        <f t="shared" si="4"/>
        <v>2791371.2749210238</v>
      </c>
    </row>
    <row r="28" spans="1:25" ht="15">
      <c r="A28" s="53" t="s">
        <v>82</v>
      </c>
      <c r="B28" s="59">
        <v>2016</v>
      </c>
      <c r="C28" s="58">
        <v>327193411.905</v>
      </c>
      <c r="E28" s="62">
        <f t="shared" si="1"/>
        <v>92110013.23038857</v>
      </c>
      <c r="G28" s="169">
        <f t="shared" si="8"/>
        <v>831616.5885918749</v>
      </c>
      <c r="I28" s="55">
        <f t="shared" si="2"/>
        <v>26999370</v>
      </c>
      <c r="K28" s="167">
        <f>-ADFIT!J53</f>
        <v>120476</v>
      </c>
      <c r="M28" s="58">
        <f t="shared" si="0"/>
        <v>208084028.6746114</v>
      </c>
      <c r="O28" s="50">
        <f>'AJE-5'!$S$18</f>
        <v>0.1013</v>
      </c>
      <c r="Q28" s="58">
        <f t="shared" si="6"/>
        <v>1756576.008728178</v>
      </c>
      <c r="S28" s="52">
        <v>1373763.8312016975</v>
      </c>
      <c r="T28" s="52"/>
      <c r="U28" s="61">
        <f t="shared" si="7"/>
        <v>3130339.8399298755</v>
      </c>
      <c r="W28" s="51">
        <f t="shared" si="3"/>
        <v>0.9076</v>
      </c>
      <c r="Y28" s="60">
        <f t="shared" si="4"/>
        <v>2841096.438720355</v>
      </c>
    </row>
    <row r="29" spans="1:25" ht="15">
      <c r="A29" s="53" t="s">
        <v>83</v>
      </c>
      <c r="B29" s="59">
        <v>2016</v>
      </c>
      <c r="C29" s="58">
        <v>327193411.905</v>
      </c>
      <c r="E29" s="62">
        <f t="shared" si="1"/>
        <v>92941629.81898044</v>
      </c>
      <c r="G29" s="169">
        <f t="shared" si="8"/>
        <v>831616.5885918749</v>
      </c>
      <c r="I29" s="55">
        <f t="shared" si="2"/>
        <v>27119846</v>
      </c>
      <c r="K29" s="167">
        <f>-ADFIT!J54</f>
        <v>120476</v>
      </c>
      <c r="M29" s="58">
        <f t="shared" si="0"/>
        <v>207131936.08601952</v>
      </c>
      <c r="O29" s="50">
        <f>'AJE-5'!$S$18</f>
        <v>0.1013</v>
      </c>
      <c r="Q29" s="58">
        <f t="shared" si="6"/>
        <v>1748538.7604594815</v>
      </c>
      <c r="S29" s="52">
        <v>1307932.2512016974</v>
      </c>
      <c r="T29" s="52"/>
      <c r="U29" s="61">
        <f t="shared" si="7"/>
        <v>3056471.011661179</v>
      </c>
      <c r="W29" s="51">
        <f t="shared" si="3"/>
        <v>0.9076</v>
      </c>
      <c r="Y29" s="60">
        <f t="shared" si="4"/>
        <v>2774053.090183686</v>
      </c>
    </row>
    <row r="30" spans="1:25" ht="15">
      <c r="A30" s="53" t="s">
        <v>84</v>
      </c>
      <c r="B30" s="59">
        <v>2016</v>
      </c>
      <c r="C30" s="58">
        <v>327193411.905</v>
      </c>
      <c r="E30" s="62">
        <f t="shared" si="1"/>
        <v>93773246.40757231</v>
      </c>
      <c r="G30" s="169">
        <f t="shared" si="8"/>
        <v>831616.5885918749</v>
      </c>
      <c r="I30" s="55">
        <f t="shared" si="2"/>
        <v>27240322</v>
      </c>
      <c r="K30" s="167">
        <f>-ADFIT!J55</f>
        <v>120476</v>
      </c>
      <c r="M30" s="58">
        <f t="shared" si="0"/>
        <v>206179843.49742764</v>
      </c>
      <c r="O30" s="50">
        <f>'AJE-5'!$S$18</f>
        <v>0.1013</v>
      </c>
      <c r="Q30" s="58">
        <f t="shared" si="6"/>
        <v>1740501.512190785</v>
      </c>
      <c r="S30" s="52">
        <v>1178849.9212016973</v>
      </c>
      <c r="T30" s="52"/>
      <c r="U30" s="141">
        <f t="shared" si="7"/>
        <v>2919351.4333924823</v>
      </c>
      <c r="W30" s="51">
        <f t="shared" si="3"/>
        <v>0.9076</v>
      </c>
      <c r="Y30" s="60">
        <f t="shared" si="4"/>
        <v>2649603.360947017</v>
      </c>
    </row>
    <row r="31" spans="1:25" ht="15">
      <c r="A31" s="53"/>
      <c r="B31" s="59"/>
      <c r="C31" s="58"/>
      <c r="E31" s="56"/>
      <c r="G31" s="57"/>
      <c r="I31" s="55"/>
      <c r="K31" s="56"/>
      <c r="S31" s="52"/>
      <c r="T31" s="52"/>
      <c r="U31" s="52">
        <f>SUM(U19:U30)</f>
        <v>36507205.67681874</v>
      </c>
      <c r="Y31" s="55"/>
    </row>
    <row r="32" spans="5:25" ht="14.25" customHeight="1">
      <c r="E32" s="54"/>
      <c r="G32" s="142" t="s">
        <v>144</v>
      </c>
      <c r="H32" s="142"/>
      <c r="I32" s="142"/>
      <c r="S32" s="52"/>
      <c r="T32" s="52"/>
      <c r="U32" s="186" t="s">
        <v>88</v>
      </c>
      <c r="V32" s="186"/>
      <c r="W32" s="186"/>
      <c r="X32" s="53"/>
      <c r="Y32" s="187">
        <f>SUM(Y19:Y30)</f>
        <v>33133939.872280695</v>
      </c>
    </row>
    <row r="33" spans="19:25" ht="15">
      <c r="S33" s="52"/>
      <c r="T33" s="52"/>
      <c r="U33" s="186"/>
      <c r="V33" s="186"/>
      <c r="W33" s="186"/>
      <c r="X33" s="53"/>
      <c r="Y33" s="187"/>
    </row>
  </sheetData>
  <sheetProtection/>
  <mergeCells count="17">
    <mergeCell ref="A1:Y1"/>
    <mergeCell ref="A3:Y3"/>
    <mergeCell ref="A2:Y2"/>
    <mergeCell ref="K5:K6"/>
    <mergeCell ref="C5:C6"/>
    <mergeCell ref="G5:G6"/>
    <mergeCell ref="Y4:Y6"/>
    <mergeCell ref="U32:W33"/>
    <mergeCell ref="Y32:Y33"/>
    <mergeCell ref="E5:E6"/>
    <mergeCell ref="I5:I6"/>
    <mergeCell ref="S5:S6"/>
    <mergeCell ref="U4:U6"/>
    <mergeCell ref="O5:O6"/>
    <mergeCell ref="M5:M6"/>
    <mergeCell ref="Q5:Q6"/>
    <mergeCell ref="W5:W6"/>
  </mergeCells>
  <printOptions/>
  <pageMargins left="0.7" right="0.7" top="0.75" bottom="0.75" header="0.3" footer="0.3"/>
  <pageSetup fitToHeight="1" fitToWidth="1" horizontalDpi="600" verticalDpi="60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38"/>
  <sheetViews>
    <sheetView zoomScalePageLayoutView="0" workbookViewId="0" topLeftCell="B1">
      <pane ySplit="8" topLeftCell="A9" activePane="bottomLeft" state="frozen"/>
      <selection pane="topLeft" activeCell="E45" sqref="E45"/>
      <selection pane="bottomLeft" activeCell="S18" sqref="S18"/>
    </sheetView>
  </sheetViews>
  <sheetFormatPr defaultColWidth="8.8515625" defaultRowHeight="12.75"/>
  <cols>
    <col min="1" max="1" width="10.7109375" style="72" customWidth="1"/>
    <col min="2" max="2" width="5.00390625" style="71" bestFit="1" customWidth="1"/>
    <col min="3" max="3" width="0.2890625" style="72" customWidth="1"/>
    <col min="4" max="4" width="12.7109375" style="72" customWidth="1"/>
    <col min="5" max="5" width="0.2890625" style="72" customWidth="1"/>
    <col min="6" max="6" width="15.7109375" style="72" customWidth="1"/>
    <col min="7" max="7" width="0.2890625" style="72" customWidth="1"/>
    <col min="8" max="8" width="12.8515625" style="72" customWidth="1"/>
    <col min="9" max="9" width="0.2890625" style="72" customWidth="1"/>
    <col min="10" max="10" width="12.7109375" style="72" customWidth="1"/>
    <col min="11" max="11" width="3.7109375" style="72" customWidth="1"/>
    <col min="12" max="12" width="0.2890625" style="72" customWidth="1"/>
    <col min="13" max="13" width="12.7109375" style="72" customWidth="1"/>
    <col min="14" max="14" width="0.2890625" style="72" customWidth="1"/>
    <col min="15" max="15" width="9.421875" style="72" customWidth="1"/>
    <col min="16" max="16" width="0.2890625" style="72" customWidth="1"/>
    <col min="17" max="17" width="3.7109375" style="72" customWidth="1"/>
    <col min="18" max="18" width="0.2890625" style="72" customWidth="1"/>
    <col min="19" max="19" width="9.8515625" style="72" bestFit="1" customWidth="1"/>
    <col min="20" max="20" width="2.28125" style="72" customWidth="1"/>
    <col min="21" max="16384" width="8.8515625" style="72" customWidth="1"/>
  </cols>
  <sheetData>
    <row r="1" ht="15" customHeight="1"/>
    <row r="2" ht="12.75">
      <c r="Q2" s="72" t="s">
        <v>107</v>
      </c>
    </row>
    <row r="4" ht="12.75">
      <c r="F4" s="73" t="s">
        <v>108</v>
      </c>
    </row>
    <row r="5" ht="12.75">
      <c r="H5" s="72" t="s">
        <v>109</v>
      </c>
    </row>
    <row r="6" ht="12.75">
      <c r="H6" s="132" t="s">
        <v>126</v>
      </c>
    </row>
    <row r="8" ht="12.75">
      <c r="J8" s="71"/>
    </row>
    <row r="9" spans="2:20" ht="13.5" thickBot="1"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20" ht="30" customHeight="1" thickBot="1">
      <c r="B10" s="76" t="s">
        <v>110</v>
      </c>
      <c r="C10" s="77"/>
      <c r="D10" s="78" t="s">
        <v>111</v>
      </c>
      <c r="E10" s="79"/>
      <c r="F10" s="80" t="s">
        <v>112</v>
      </c>
      <c r="G10" s="79"/>
      <c r="H10" s="80" t="s">
        <v>113</v>
      </c>
      <c r="I10" s="79"/>
      <c r="J10" s="80" t="s">
        <v>114</v>
      </c>
      <c r="K10" s="81"/>
      <c r="L10" s="79"/>
      <c r="M10" s="80" t="s">
        <v>115</v>
      </c>
      <c r="N10" s="82"/>
      <c r="O10" s="83" t="s">
        <v>116</v>
      </c>
      <c r="P10" s="84"/>
      <c r="Q10" s="85"/>
      <c r="R10" s="82"/>
      <c r="S10" s="86" t="s">
        <v>117</v>
      </c>
      <c r="T10" s="87"/>
    </row>
    <row r="11" spans="2:20" ht="30" customHeight="1" thickBot="1">
      <c r="B11" s="88"/>
      <c r="C11" s="89"/>
      <c r="D11" s="87"/>
      <c r="E11" s="89"/>
      <c r="F11" s="90" t="s">
        <v>118</v>
      </c>
      <c r="G11" s="89"/>
      <c r="H11" s="87"/>
      <c r="I11" s="89"/>
      <c r="J11" s="87"/>
      <c r="K11" s="91"/>
      <c r="L11" s="89"/>
      <c r="M11" s="87"/>
      <c r="N11" s="92"/>
      <c r="O11" s="74"/>
      <c r="P11" s="93"/>
      <c r="Q11" s="75"/>
      <c r="R11" s="92"/>
      <c r="S11" s="94"/>
      <c r="T11" s="87"/>
    </row>
    <row r="12" spans="2:20" ht="12.75" customHeight="1">
      <c r="B12" s="95"/>
      <c r="C12" s="96"/>
      <c r="D12" s="97"/>
      <c r="E12" s="96"/>
      <c r="F12" s="97"/>
      <c r="G12" s="96"/>
      <c r="H12" s="97"/>
      <c r="I12" s="96"/>
      <c r="J12" s="97"/>
      <c r="K12" s="98"/>
      <c r="L12" s="96"/>
      <c r="M12" s="97"/>
      <c r="N12" s="96"/>
      <c r="O12" s="97"/>
      <c r="P12" s="96"/>
      <c r="Q12" s="97"/>
      <c r="R12" s="96"/>
      <c r="S12" s="99"/>
      <c r="T12" s="75"/>
    </row>
    <row r="13" spans="2:20" ht="15" customHeight="1">
      <c r="B13" s="100">
        <v>1</v>
      </c>
      <c r="C13" s="92"/>
      <c r="D13" s="75" t="s">
        <v>119</v>
      </c>
      <c r="E13" s="92"/>
      <c r="F13" s="101">
        <v>585086099</v>
      </c>
      <c r="G13" s="92"/>
      <c r="H13" s="102">
        <f>F13/$F$18</f>
        <v>0.515126678814049</v>
      </c>
      <c r="I13" s="92"/>
      <c r="J13" s="103">
        <v>0.0541</v>
      </c>
      <c r="K13" s="104"/>
      <c r="L13" s="92"/>
      <c r="M13" s="105">
        <f>ROUND(H13*J13,4)</f>
        <v>0.0279</v>
      </c>
      <c r="N13" s="92"/>
      <c r="O13" s="106">
        <f>1.005</f>
        <v>1.005</v>
      </c>
      <c r="P13" s="92"/>
      <c r="Q13" s="134" t="s">
        <v>135</v>
      </c>
      <c r="R13" s="92"/>
      <c r="S13" s="107">
        <f>ROUND(H13*J13*O13,4)</f>
        <v>0.028</v>
      </c>
      <c r="T13" s="105"/>
    </row>
    <row r="14" spans="2:20" ht="12.75">
      <c r="B14" s="100">
        <f>+B13+1</f>
        <v>2</v>
      </c>
      <c r="C14" s="92"/>
      <c r="D14" s="75" t="s">
        <v>120</v>
      </c>
      <c r="E14" s="92"/>
      <c r="F14" s="101">
        <v>0</v>
      </c>
      <c r="G14" s="92"/>
      <c r="H14" s="102">
        <f>F14/$F$18</f>
        <v>0</v>
      </c>
      <c r="I14" s="92"/>
      <c r="J14" s="103">
        <v>0.0038</v>
      </c>
      <c r="K14" s="104"/>
      <c r="L14" s="92"/>
      <c r="M14" s="105">
        <f>ROUND(H14*J14,4)</f>
        <v>0</v>
      </c>
      <c r="N14" s="92"/>
      <c r="O14" s="106">
        <f>1.005</f>
        <v>1.005</v>
      </c>
      <c r="P14" s="92"/>
      <c r="Q14" s="75"/>
      <c r="R14" s="92"/>
      <c r="S14" s="107">
        <f>ROUND(H14*J14*O14,4)</f>
        <v>0</v>
      </c>
      <c r="T14" s="105"/>
    </row>
    <row r="15" spans="2:20" ht="25.5">
      <c r="B15" s="100">
        <f>+B14+1</f>
        <v>3</v>
      </c>
      <c r="C15" s="92"/>
      <c r="D15" s="108" t="s">
        <v>121</v>
      </c>
      <c r="E15" s="92"/>
      <c r="F15" s="101">
        <v>51835808</v>
      </c>
      <c r="G15" s="92"/>
      <c r="H15" s="102">
        <f>F15/$F$18</f>
        <v>0.04563774060658843</v>
      </c>
      <c r="I15" s="92"/>
      <c r="J15" s="103">
        <v>0.0107</v>
      </c>
      <c r="K15" s="104"/>
      <c r="L15" s="92"/>
      <c r="M15" s="105">
        <f>ROUND(H15*J15,4)</f>
        <v>0.0005</v>
      </c>
      <c r="N15" s="92"/>
      <c r="O15" s="106">
        <f>1.005</f>
        <v>1.005</v>
      </c>
      <c r="P15" s="92"/>
      <c r="Q15" s="75"/>
      <c r="R15" s="92"/>
      <c r="S15" s="107">
        <f>ROUND(H15*J15*O15,4)</f>
        <v>0.0005</v>
      </c>
      <c r="T15" s="105"/>
    </row>
    <row r="16" spans="2:20" ht="12.75">
      <c r="B16" s="100">
        <f>+B15+1</f>
        <v>4</v>
      </c>
      <c r="C16" s="92"/>
      <c r="D16" s="75" t="s">
        <v>122</v>
      </c>
      <c r="E16" s="92"/>
      <c r="F16" s="101">
        <v>498888221</v>
      </c>
      <c r="G16" s="92"/>
      <c r="H16" s="102">
        <f>F16/$F$18</f>
        <v>0.43923558057936246</v>
      </c>
      <c r="I16" s="92"/>
      <c r="J16" s="109">
        <v>0.1025</v>
      </c>
      <c r="K16" s="136" t="s">
        <v>1</v>
      </c>
      <c r="L16" s="92"/>
      <c r="M16" s="105">
        <f>ROUND(H16*J16,4)</f>
        <v>0.045</v>
      </c>
      <c r="N16" s="92"/>
      <c r="O16" s="110">
        <f>1.6164</f>
        <v>1.6164</v>
      </c>
      <c r="P16" s="92"/>
      <c r="Q16" s="137" t="s">
        <v>134</v>
      </c>
      <c r="R16" s="92"/>
      <c r="S16" s="107">
        <f>ROUND(H16*J16*O16,4)</f>
        <v>0.0728</v>
      </c>
      <c r="T16" s="105"/>
    </row>
    <row r="17" spans="2:20" ht="12.75">
      <c r="B17" s="100"/>
      <c r="C17" s="92"/>
      <c r="D17" s="75"/>
      <c r="E17" s="92"/>
      <c r="F17" s="101"/>
      <c r="G17" s="92"/>
      <c r="H17" s="102"/>
      <c r="I17" s="92"/>
      <c r="J17" s="111"/>
      <c r="K17" s="104"/>
      <c r="L17" s="92"/>
      <c r="M17" s="102"/>
      <c r="N17" s="92"/>
      <c r="O17" s="74"/>
      <c r="P17" s="92"/>
      <c r="Q17" s="75"/>
      <c r="R17" s="92"/>
      <c r="S17" s="112"/>
      <c r="T17" s="113"/>
    </row>
    <row r="18" spans="2:20" ht="12.75">
      <c r="B18" s="100">
        <f>+B16+1</f>
        <v>5</v>
      </c>
      <c r="C18" s="92"/>
      <c r="D18" s="75" t="s">
        <v>123</v>
      </c>
      <c r="E18" s="92"/>
      <c r="F18" s="114">
        <f>SUM(F13:F16)</f>
        <v>1135810128</v>
      </c>
      <c r="G18" s="92"/>
      <c r="H18" s="115">
        <f>SUM(H13:H16)</f>
        <v>1</v>
      </c>
      <c r="I18" s="92"/>
      <c r="J18" s="111"/>
      <c r="K18" s="104"/>
      <c r="L18" s="92"/>
      <c r="M18" s="116" t="s">
        <v>3</v>
      </c>
      <c r="N18" s="92"/>
      <c r="O18" s="75"/>
      <c r="P18" s="92"/>
      <c r="Q18" s="75"/>
      <c r="R18" s="92"/>
      <c r="S18" s="117">
        <f>SUM(S13:S17)</f>
        <v>0.1013</v>
      </c>
      <c r="T18" s="118"/>
    </row>
    <row r="19" spans="2:20" ht="12.75">
      <c r="B19" s="100"/>
      <c r="C19" s="92"/>
      <c r="D19" s="75"/>
      <c r="E19" s="92"/>
      <c r="F19" s="75"/>
      <c r="G19" s="92"/>
      <c r="H19" s="75"/>
      <c r="I19" s="92"/>
      <c r="J19" s="75"/>
      <c r="K19" s="104"/>
      <c r="L19" s="92"/>
      <c r="M19" s="75"/>
      <c r="N19" s="92"/>
      <c r="O19" s="75"/>
      <c r="P19" s="92"/>
      <c r="Q19" s="75"/>
      <c r="R19" s="92"/>
      <c r="S19" s="119"/>
      <c r="T19" s="75"/>
    </row>
    <row r="20" spans="2:20" ht="12" customHeight="1" thickBot="1">
      <c r="B20" s="120"/>
      <c r="C20" s="121"/>
      <c r="D20" s="122"/>
      <c r="E20" s="121"/>
      <c r="F20" s="122"/>
      <c r="G20" s="121"/>
      <c r="H20" s="122"/>
      <c r="I20" s="121"/>
      <c r="J20" s="122"/>
      <c r="K20" s="123"/>
      <c r="L20" s="121"/>
      <c r="M20" s="122"/>
      <c r="N20" s="121"/>
      <c r="O20" s="122"/>
      <c r="P20" s="121"/>
      <c r="Q20" s="122"/>
      <c r="R20" s="121"/>
      <c r="S20" s="124"/>
      <c r="T20" s="75"/>
    </row>
    <row r="21" spans="2:21" ht="12.75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5"/>
      <c r="Q21" s="126"/>
      <c r="R21" s="126"/>
      <c r="S21" s="126"/>
      <c r="T21" s="126"/>
      <c r="U21" s="127"/>
    </row>
    <row r="22" spans="2:20" ht="12.75">
      <c r="B22" s="74">
        <f>B18+1</f>
        <v>6</v>
      </c>
      <c r="C22" s="75"/>
      <c r="D22" s="134" t="s">
        <v>136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139">
        <v>100</v>
      </c>
      <c r="P22" s="75"/>
      <c r="Q22" s="75"/>
      <c r="R22" s="75"/>
      <c r="S22" s="75"/>
      <c r="T22" s="75"/>
    </row>
    <row r="24" spans="2:15" ht="12.75">
      <c r="B24" s="74">
        <v>7</v>
      </c>
      <c r="D24" s="132" t="s">
        <v>137</v>
      </c>
      <c r="O24" s="140">
        <v>0.3</v>
      </c>
    </row>
    <row r="26" spans="2:15" ht="12.75">
      <c r="B26" s="71">
        <v>8</v>
      </c>
      <c r="D26" s="132" t="s">
        <v>138</v>
      </c>
      <c r="O26" s="72">
        <v>0.1952</v>
      </c>
    </row>
    <row r="27" ht="12.75">
      <c r="O27" s="132" t="s">
        <v>3</v>
      </c>
    </row>
    <row r="28" spans="2:15" ht="12.75">
      <c r="B28" s="71">
        <v>9</v>
      </c>
      <c r="D28" s="132" t="s">
        <v>139</v>
      </c>
      <c r="O28" s="140">
        <f>O22-O24-O26</f>
        <v>99.5048</v>
      </c>
    </row>
    <row r="30" spans="2:15" ht="12.75">
      <c r="B30" s="71">
        <v>10</v>
      </c>
      <c r="D30" s="132" t="s">
        <v>143</v>
      </c>
      <c r="O30" s="140">
        <f>ROUND(100/O28,4)</f>
        <v>1.005</v>
      </c>
    </row>
    <row r="33" spans="2:21" ht="12.75">
      <c r="B33" s="138" t="s">
        <v>1</v>
      </c>
      <c r="C33" s="129"/>
      <c r="D33" s="126" t="s">
        <v>124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30"/>
      <c r="P33" s="125"/>
      <c r="Q33" s="126"/>
      <c r="R33" s="126"/>
      <c r="S33" s="126"/>
      <c r="T33" s="126"/>
      <c r="U33" s="127"/>
    </row>
    <row r="34" spans="2:21" ht="12.75">
      <c r="B34" s="125"/>
      <c r="C34" s="129"/>
      <c r="D34" s="126" t="s">
        <v>125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5"/>
      <c r="Q34" s="126"/>
      <c r="R34" s="126"/>
      <c r="S34" s="126"/>
      <c r="T34" s="126"/>
      <c r="U34" s="127"/>
    </row>
    <row r="35" spans="2:21" ht="12.75">
      <c r="B35" s="129"/>
      <c r="C35" s="129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5"/>
      <c r="Q35" s="126"/>
      <c r="R35" s="126"/>
      <c r="S35" s="126"/>
      <c r="T35" s="126"/>
      <c r="U35" s="127"/>
    </row>
    <row r="36" spans="2:21" ht="12.75">
      <c r="B36" s="138" t="s">
        <v>134</v>
      </c>
      <c r="C36" s="129"/>
      <c r="D36" s="133" t="s">
        <v>133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5"/>
      <c r="Q36" s="126"/>
      <c r="R36" s="126"/>
      <c r="S36" s="126"/>
      <c r="T36" s="126"/>
      <c r="U36" s="127"/>
    </row>
    <row r="37" spans="2:21" ht="12.75">
      <c r="B37" s="128"/>
      <c r="C37" s="129"/>
      <c r="D37" s="131" t="s">
        <v>3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5"/>
      <c r="Q37" s="126"/>
      <c r="R37" s="126"/>
      <c r="S37" s="126"/>
      <c r="T37" s="126"/>
      <c r="U37" s="127"/>
    </row>
    <row r="38" spans="2:21" ht="12.75">
      <c r="B38" s="135" t="s">
        <v>135</v>
      </c>
      <c r="C38" s="129"/>
      <c r="D38" s="133" t="s">
        <v>140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5"/>
      <c r="Q38" s="126"/>
      <c r="R38" s="126"/>
      <c r="S38" s="126"/>
      <c r="T38" s="126"/>
      <c r="U38" s="127"/>
    </row>
  </sheetData>
  <sheetProtection/>
  <printOptions horizontalCentered="1" verticalCentered="1"/>
  <pageMargins left="0" right="0" top="0" bottom="0.2" header="0" footer="0"/>
  <pageSetup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5">
      <selection activeCell="A30" sqref="A30:J30"/>
    </sheetView>
  </sheetViews>
  <sheetFormatPr defaultColWidth="9.140625" defaultRowHeight="12.75"/>
  <sheetData>
    <row r="1" spans="1:10" ht="13.5" thickBot="1">
      <c r="A1" s="192" t="s">
        <v>150</v>
      </c>
      <c r="B1" s="193"/>
      <c r="C1" s="193"/>
      <c r="D1" s="193"/>
      <c r="E1" s="193"/>
      <c r="F1" s="193"/>
      <c r="G1" s="193"/>
      <c r="H1" s="193"/>
      <c r="I1" s="193"/>
      <c r="J1" s="194"/>
    </row>
    <row r="3" spans="1:10" ht="12.75">
      <c r="A3" s="143"/>
      <c r="B3" s="143"/>
      <c r="C3" s="143"/>
      <c r="D3" s="191" t="s">
        <v>145</v>
      </c>
      <c r="E3" s="191"/>
      <c r="F3" s="191"/>
      <c r="G3" s="191"/>
      <c r="H3" s="191"/>
      <c r="I3" s="191"/>
      <c r="J3" s="191"/>
    </row>
    <row r="4" spans="1:10" ht="15">
      <c r="A4" s="144"/>
      <c r="C4" s="143"/>
      <c r="D4" s="145" t="s">
        <v>146</v>
      </c>
      <c r="E4" s="146"/>
      <c r="F4" s="145" t="s">
        <v>147</v>
      </c>
      <c r="G4" s="146"/>
      <c r="H4" s="145" t="s">
        <v>148</v>
      </c>
      <c r="I4" s="146"/>
      <c r="J4" s="145" t="s">
        <v>149</v>
      </c>
    </row>
    <row r="5" spans="1:10" ht="15">
      <c r="A5" s="147" t="s">
        <v>3</v>
      </c>
      <c r="B5" s="148"/>
      <c r="C5" s="143"/>
      <c r="D5" s="143"/>
      <c r="E5" s="143"/>
      <c r="F5" s="143"/>
      <c r="G5" s="143"/>
      <c r="H5" s="143"/>
      <c r="I5" s="143"/>
      <c r="J5" s="143"/>
    </row>
    <row r="6" spans="1:13" ht="15">
      <c r="A6" s="149" t="s">
        <v>91</v>
      </c>
      <c r="B6" s="150">
        <v>2014</v>
      </c>
      <c r="C6" s="151"/>
      <c r="D6" s="152">
        <v>1196044.5833333333</v>
      </c>
      <c r="E6" s="152"/>
      <c r="F6" s="152">
        <v>853429</v>
      </c>
      <c r="G6" s="152"/>
      <c r="H6" s="152">
        <f>F6-D6</f>
        <v>-342615.58333333326</v>
      </c>
      <c r="I6" s="152"/>
      <c r="J6" s="152">
        <f>ROUND(H6*0.35,0)</f>
        <v>-119915</v>
      </c>
      <c r="M6">
        <f>327193412*0.0313/12</f>
        <v>853429.4829666667</v>
      </c>
    </row>
    <row r="7" spans="1:10" ht="15">
      <c r="A7" s="149" t="s">
        <v>90</v>
      </c>
      <c r="B7" s="150">
        <v>2014</v>
      </c>
      <c r="C7" s="151"/>
      <c r="D7" s="152">
        <v>1196044.5833333333</v>
      </c>
      <c r="E7" s="152"/>
      <c r="F7" s="152">
        <v>853429</v>
      </c>
      <c r="G7" s="152"/>
      <c r="H7" s="152">
        <f aca="true" t="shared" si="0" ref="H7:H26">F7-D7</f>
        <v>-342615.58333333326</v>
      </c>
      <c r="I7" s="152"/>
      <c r="J7" s="152">
        <f aca="true" t="shared" si="1" ref="J7:J26">ROUND(H7*0.35,0)</f>
        <v>-119915</v>
      </c>
    </row>
    <row r="8" spans="1:10" ht="15">
      <c r="A8" s="153" t="s">
        <v>89</v>
      </c>
      <c r="B8" s="154">
        <v>2014</v>
      </c>
      <c r="C8" s="155"/>
      <c r="D8" s="156">
        <v>1196044.5833333333</v>
      </c>
      <c r="E8" s="156"/>
      <c r="F8" s="156">
        <v>853429</v>
      </c>
      <c r="G8" s="156"/>
      <c r="H8" s="156">
        <f t="shared" si="0"/>
        <v>-342615.58333333326</v>
      </c>
      <c r="I8" s="156"/>
      <c r="J8" s="156">
        <f t="shared" si="1"/>
        <v>-119915</v>
      </c>
    </row>
    <row r="9" spans="1:10" ht="15">
      <c r="A9" s="157" t="s">
        <v>79</v>
      </c>
      <c r="B9" s="158">
        <v>2015</v>
      </c>
      <c r="C9" s="143"/>
      <c r="D9" s="159">
        <v>1178322.1666666667</v>
      </c>
      <c r="E9" s="160"/>
      <c r="F9" s="160">
        <v>853429</v>
      </c>
      <c r="G9" s="160"/>
      <c r="H9" s="160">
        <f t="shared" si="0"/>
        <v>-324893.16666666674</v>
      </c>
      <c r="I9" s="160"/>
      <c r="J9" s="160">
        <f t="shared" si="1"/>
        <v>-113713</v>
      </c>
    </row>
    <row r="10" spans="1:10" ht="15">
      <c r="A10" s="147" t="s">
        <v>80</v>
      </c>
      <c r="B10" s="158">
        <v>2015</v>
      </c>
      <c r="C10" s="143"/>
      <c r="D10" s="159">
        <v>1178322.1666666667</v>
      </c>
      <c r="E10" s="160"/>
      <c r="F10" s="160">
        <v>853429</v>
      </c>
      <c r="G10" s="160"/>
      <c r="H10" s="160">
        <f t="shared" si="0"/>
        <v>-324893.16666666674</v>
      </c>
      <c r="I10" s="160"/>
      <c r="J10" s="160">
        <f t="shared" si="1"/>
        <v>-113713</v>
      </c>
    </row>
    <row r="11" spans="1:10" ht="15">
      <c r="A11" s="157" t="s">
        <v>81</v>
      </c>
      <c r="B11" s="158">
        <v>2015</v>
      </c>
      <c r="C11" s="143"/>
      <c r="D11" s="159">
        <v>1178322.1666666667</v>
      </c>
      <c r="E11" s="160"/>
      <c r="F11" s="160">
        <v>853429</v>
      </c>
      <c r="G11" s="160"/>
      <c r="H11" s="160">
        <f t="shared" si="0"/>
        <v>-324893.16666666674</v>
      </c>
      <c r="I11" s="160"/>
      <c r="J11" s="160">
        <f t="shared" si="1"/>
        <v>-113713</v>
      </c>
    </row>
    <row r="12" spans="1:10" ht="15">
      <c r="A12" s="157" t="s">
        <v>82</v>
      </c>
      <c r="B12" s="158">
        <v>2015</v>
      </c>
      <c r="C12" s="143"/>
      <c r="D12" s="159">
        <v>1178322.1666666667</v>
      </c>
      <c r="E12" s="160"/>
      <c r="F12" s="160">
        <v>853429</v>
      </c>
      <c r="G12" s="160"/>
      <c r="H12" s="160">
        <f t="shared" si="0"/>
        <v>-324893.16666666674</v>
      </c>
      <c r="I12" s="160"/>
      <c r="J12" s="160">
        <f t="shared" si="1"/>
        <v>-113713</v>
      </c>
    </row>
    <row r="13" spans="1:10" ht="15">
      <c r="A13" s="157" t="s">
        <v>83</v>
      </c>
      <c r="B13" s="158">
        <v>2015</v>
      </c>
      <c r="C13" s="143"/>
      <c r="D13" s="159">
        <v>1178322.1666666667</v>
      </c>
      <c r="E13" s="160"/>
      <c r="F13" s="160">
        <v>853429</v>
      </c>
      <c r="G13" s="160"/>
      <c r="H13" s="160">
        <f t="shared" si="0"/>
        <v>-324893.16666666674</v>
      </c>
      <c r="I13" s="160"/>
      <c r="J13" s="160">
        <f t="shared" si="1"/>
        <v>-113713</v>
      </c>
    </row>
    <row r="14" spans="1:10" ht="15">
      <c r="A14" s="157" t="s">
        <v>84</v>
      </c>
      <c r="B14" s="158">
        <v>2015</v>
      </c>
      <c r="C14" s="143"/>
      <c r="D14" s="159">
        <v>1178322.1666666667</v>
      </c>
      <c r="E14" s="160"/>
      <c r="F14" s="160">
        <v>853429</v>
      </c>
      <c r="G14" s="160"/>
      <c r="H14" s="160">
        <f t="shared" si="0"/>
        <v>-324893.16666666674</v>
      </c>
      <c r="I14" s="160"/>
      <c r="J14" s="160">
        <f t="shared" si="1"/>
        <v>-113713</v>
      </c>
    </row>
    <row r="15" spans="1:10" ht="15">
      <c r="A15" s="144" t="s">
        <v>85</v>
      </c>
      <c r="B15" s="158">
        <v>2015</v>
      </c>
      <c r="C15" s="143"/>
      <c r="D15" s="159">
        <v>1178322.1666666667</v>
      </c>
      <c r="E15" s="160"/>
      <c r="F15" s="160">
        <v>853429</v>
      </c>
      <c r="G15" s="160"/>
      <c r="H15" s="160">
        <f t="shared" si="0"/>
        <v>-324893.16666666674</v>
      </c>
      <c r="I15" s="160"/>
      <c r="J15" s="160">
        <f t="shared" si="1"/>
        <v>-113713</v>
      </c>
    </row>
    <row r="16" spans="1:10" ht="15">
      <c r="A16" s="144" t="s">
        <v>86</v>
      </c>
      <c r="B16" s="158">
        <v>2015</v>
      </c>
      <c r="C16" s="143"/>
      <c r="D16" s="159">
        <v>1178322.1666666667</v>
      </c>
      <c r="E16" s="160"/>
      <c r="F16" s="160">
        <v>853429</v>
      </c>
      <c r="G16" s="160"/>
      <c r="H16" s="160">
        <f t="shared" si="0"/>
        <v>-324893.16666666674</v>
      </c>
      <c r="I16" s="160"/>
      <c r="J16" s="160">
        <f t="shared" si="1"/>
        <v>-113713</v>
      </c>
    </row>
    <row r="17" spans="1:10" ht="15">
      <c r="A17" s="144" t="s">
        <v>87</v>
      </c>
      <c r="B17" s="158">
        <v>2015</v>
      </c>
      <c r="C17" s="143"/>
      <c r="D17" s="159">
        <v>1178322.1666666667</v>
      </c>
      <c r="E17" s="160"/>
      <c r="F17" s="160">
        <v>853429</v>
      </c>
      <c r="G17" s="160"/>
      <c r="H17" s="160">
        <f t="shared" si="0"/>
        <v>-324893.16666666674</v>
      </c>
      <c r="I17" s="160"/>
      <c r="J17" s="160">
        <f t="shared" si="1"/>
        <v>-113713</v>
      </c>
    </row>
    <row r="18" spans="1:10" ht="15">
      <c r="A18" s="144" t="s">
        <v>91</v>
      </c>
      <c r="B18" s="158">
        <v>2015</v>
      </c>
      <c r="C18" s="143"/>
      <c r="D18" s="159">
        <v>1178322.1666666667</v>
      </c>
      <c r="E18" s="160"/>
      <c r="F18" s="160">
        <v>853429</v>
      </c>
      <c r="G18" s="160"/>
      <c r="H18" s="160">
        <f t="shared" si="0"/>
        <v>-324893.16666666674</v>
      </c>
      <c r="I18" s="160"/>
      <c r="J18" s="160">
        <f t="shared" si="1"/>
        <v>-113713</v>
      </c>
    </row>
    <row r="19" spans="1:10" ht="15">
      <c r="A19" s="144" t="s">
        <v>90</v>
      </c>
      <c r="B19" s="158">
        <v>2015</v>
      </c>
      <c r="C19" s="143"/>
      <c r="D19" s="159">
        <v>1178322.1666666667</v>
      </c>
      <c r="E19" s="160"/>
      <c r="F19" s="160">
        <v>853429</v>
      </c>
      <c r="G19" s="160"/>
      <c r="H19" s="160">
        <f t="shared" si="0"/>
        <v>-324893.16666666674</v>
      </c>
      <c r="I19" s="160"/>
      <c r="J19" s="160">
        <f t="shared" si="1"/>
        <v>-113713</v>
      </c>
    </row>
    <row r="20" spans="1:10" ht="15">
      <c r="A20" s="161" t="s">
        <v>89</v>
      </c>
      <c r="B20" s="162">
        <v>2015</v>
      </c>
      <c r="C20" s="163"/>
      <c r="D20" s="164">
        <v>1178322.1666666667</v>
      </c>
      <c r="E20" s="165"/>
      <c r="F20" s="165">
        <v>853429</v>
      </c>
      <c r="G20" s="165"/>
      <c r="H20" s="165">
        <f t="shared" si="0"/>
        <v>-324893.16666666674</v>
      </c>
      <c r="I20" s="165"/>
      <c r="J20" s="165">
        <f t="shared" si="1"/>
        <v>-113713</v>
      </c>
    </row>
    <row r="21" spans="1:10" ht="15">
      <c r="A21" s="166" t="s">
        <v>79</v>
      </c>
      <c r="B21" s="150">
        <v>2016</v>
      </c>
      <c r="C21" s="151"/>
      <c r="D21" s="152">
        <v>1175834.5833333333</v>
      </c>
      <c r="E21" s="152"/>
      <c r="F21" s="152">
        <v>853429</v>
      </c>
      <c r="G21" s="152"/>
      <c r="H21" s="152">
        <f t="shared" si="0"/>
        <v>-322405.58333333326</v>
      </c>
      <c r="I21" s="152"/>
      <c r="J21" s="152">
        <f t="shared" si="1"/>
        <v>-112842</v>
      </c>
    </row>
    <row r="22" spans="1:10" ht="15">
      <c r="A22" s="166" t="s">
        <v>80</v>
      </c>
      <c r="B22" s="150">
        <v>2016</v>
      </c>
      <c r="C22" s="151"/>
      <c r="D22" s="152">
        <v>1175834.5833333333</v>
      </c>
      <c r="E22" s="152"/>
      <c r="F22" s="152">
        <v>853429</v>
      </c>
      <c r="G22" s="152"/>
      <c r="H22" s="152">
        <f t="shared" si="0"/>
        <v>-322405.58333333326</v>
      </c>
      <c r="I22" s="152"/>
      <c r="J22" s="152">
        <f t="shared" si="1"/>
        <v>-112842</v>
      </c>
    </row>
    <row r="23" spans="1:10" ht="15">
      <c r="A23" s="166" t="s">
        <v>81</v>
      </c>
      <c r="B23" s="150">
        <v>2016</v>
      </c>
      <c r="C23" s="151"/>
      <c r="D23" s="152">
        <v>1175834.5833333333</v>
      </c>
      <c r="E23" s="152"/>
      <c r="F23" s="152">
        <v>853429</v>
      </c>
      <c r="G23" s="152"/>
      <c r="H23" s="152">
        <f t="shared" si="0"/>
        <v>-322405.58333333326</v>
      </c>
      <c r="I23" s="152"/>
      <c r="J23" s="152">
        <f t="shared" si="1"/>
        <v>-112842</v>
      </c>
    </row>
    <row r="24" spans="1:10" ht="15">
      <c r="A24" s="166" t="s">
        <v>82</v>
      </c>
      <c r="B24" s="150">
        <v>2016</v>
      </c>
      <c r="C24" s="151"/>
      <c r="D24" s="152">
        <v>1175834.5833333333</v>
      </c>
      <c r="E24" s="152"/>
      <c r="F24" s="152">
        <v>853429</v>
      </c>
      <c r="G24" s="152"/>
      <c r="H24" s="152">
        <f t="shared" si="0"/>
        <v>-322405.58333333326</v>
      </c>
      <c r="I24" s="152"/>
      <c r="J24" s="152">
        <f t="shared" si="1"/>
        <v>-112842</v>
      </c>
    </row>
    <row r="25" spans="1:10" ht="15">
      <c r="A25" s="166" t="s">
        <v>83</v>
      </c>
      <c r="B25" s="150">
        <v>2016</v>
      </c>
      <c r="C25" s="151"/>
      <c r="D25" s="152">
        <v>1175834.5833333333</v>
      </c>
      <c r="E25" s="152"/>
      <c r="F25" s="152">
        <v>853429</v>
      </c>
      <c r="G25" s="152"/>
      <c r="H25" s="152">
        <f t="shared" si="0"/>
        <v>-322405.58333333326</v>
      </c>
      <c r="I25" s="152"/>
      <c r="J25" s="152">
        <f t="shared" si="1"/>
        <v>-112842</v>
      </c>
    </row>
    <row r="26" spans="1:10" ht="15">
      <c r="A26" s="166" t="s">
        <v>84</v>
      </c>
      <c r="B26" s="150">
        <v>2016</v>
      </c>
      <c r="C26" s="151"/>
      <c r="D26" s="152">
        <v>1175834.5833333333</v>
      </c>
      <c r="E26" s="152"/>
      <c r="F26" s="152">
        <v>853429</v>
      </c>
      <c r="G26" s="152"/>
      <c r="H26" s="152">
        <f t="shared" si="0"/>
        <v>-322405.58333333326</v>
      </c>
      <c r="I26" s="152"/>
      <c r="J26" s="152">
        <f t="shared" si="1"/>
        <v>-112842</v>
      </c>
    </row>
    <row r="29" ht="13.5" thickBot="1"/>
    <row r="30" spans="1:10" ht="13.5" thickBot="1">
      <c r="A30" s="192" t="s">
        <v>151</v>
      </c>
      <c r="B30" s="193"/>
      <c r="C30" s="193"/>
      <c r="D30" s="193"/>
      <c r="E30" s="193"/>
      <c r="F30" s="193"/>
      <c r="G30" s="193"/>
      <c r="H30" s="193"/>
      <c r="I30" s="193"/>
      <c r="J30" s="194"/>
    </row>
    <row r="32" spans="1:10" ht="12.75">
      <c r="A32" s="143"/>
      <c r="B32" s="143"/>
      <c r="C32" s="143"/>
      <c r="D32" s="191" t="s">
        <v>145</v>
      </c>
      <c r="E32" s="191"/>
      <c r="F32" s="191"/>
      <c r="G32" s="191"/>
      <c r="H32" s="191"/>
      <c r="I32" s="191"/>
      <c r="J32" s="191"/>
    </row>
    <row r="33" spans="1:10" ht="15">
      <c r="A33" s="144"/>
      <c r="C33" s="143"/>
      <c r="D33" s="145" t="s">
        <v>146</v>
      </c>
      <c r="E33" s="146"/>
      <c r="F33" s="145" t="s">
        <v>147</v>
      </c>
      <c r="G33" s="146"/>
      <c r="H33" s="145" t="s">
        <v>148</v>
      </c>
      <c r="I33" s="146"/>
      <c r="J33" s="145" t="s">
        <v>149</v>
      </c>
    </row>
    <row r="34" spans="1:10" ht="15">
      <c r="A34" s="147" t="s">
        <v>3</v>
      </c>
      <c r="B34" s="148"/>
      <c r="C34" s="143"/>
      <c r="D34" s="143"/>
      <c r="E34" s="143"/>
      <c r="F34" s="143"/>
      <c r="G34" s="143"/>
      <c r="H34" s="143"/>
      <c r="I34" s="143"/>
      <c r="J34" s="143"/>
    </row>
    <row r="35" spans="1:10" ht="15">
      <c r="A35" s="149" t="s">
        <v>91</v>
      </c>
      <c r="B35" s="150">
        <v>2014</v>
      </c>
      <c r="C35" s="151"/>
      <c r="D35" s="152">
        <v>1196044.5833333333</v>
      </c>
      <c r="E35" s="152"/>
      <c r="F35" s="152">
        <f>ROUND('AJE-4'!C9*0.0313/12,0)</f>
        <v>853429</v>
      </c>
      <c r="G35" s="152"/>
      <c r="H35" s="152">
        <f>F35-D35</f>
        <v>-342615.58333333326</v>
      </c>
      <c r="I35" s="152"/>
      <c r="J35" s="152">
        <f>ROUND(H35*0.35,0)</f>
        <v>-119915</v>
      </c>
    </row>
    <row r="36" spans="1:10" ht="15">
      <c r="A36" s="149" t="s">
        <v>90</v>
      </c>
      <c r="B36" s="150">
        <v>2014</v>
      </c>
      <c r="C36" s="151"/>
      <c r="D36" s="152">
        <v>1196044.5833333333</v>
      </c>
      <c r="E36" s="152"/>
      <c r="F36" s="152">
        <f>F35</f>
        <v>853429</v>
      </c>
      <c r="G36" s="152"/>
      <c r="H36" s="152">
        <f aca="true" t="shared" si="2" ref="H36:H55">F36-D36</f>
        <v>-342615.58333333326</v>
      </c>
      <c r="I36" s="152"/>
      <c r="J36" s="152">
        <f aca="true" t="shared" si="3" ref="J36:J55">ROUND(H36*0.35,0)</f>
        <v>-119915</v>
      </c>
    </row>
    <row r="37" spans="1:10" ht="15">
      <c r="A37" s="153" t="s">
        <v>89</v>
      </c>
      <c r="B37" s="154">
        <v>2014</v>
      </c>
      <c r="C37" s="155"/>
      <c r="D37" s="156">
        <v>1196044.5833333333</v>
      </c>
      <c r="E37" s="156"/>
      <c r="F37" s="156">
        <f aca="true" t="shared" si="4" ref="F37:F55">F36</f>
        <v>853429</v>
      </c>
      <c r="G37" s="156"/>
      <c r="H37" s="156">
        <f t="shared" si="2"/>
        <v>-342615.58333333326</v>
      </c>
      <c r="I37" s="156"/>
      <c r="J37" s="156">
        <f t="shared" si="3"/>
        <v>-119915</v>
      </c>
    </row>
    <row r="38" spans="1:10" ht="15">
      <c r="A38" s="157" t="s">
        <v>79</v>
      </c>
      <c r="B38" s="158">
        <v>2015</v>
      </c>
      <c r="C38" s="143"/>
      <c r="D38" s="159">
        <v>1178322.1666666667</v>
      </c>
      <c r="E38" s="160"/>
      <c r="F38" s="160">
        <f t="shared" si="4"/>
        <v>853429</v>
      </c>
      <c r="G38" s="160"/>
      <c r="H38" s="160">
        <f t="shared" si="2"/>
        <v>-324893.16666666674</v>
      </c>
      <c r="I38" s="160"/>
      <c r="J38" s="160">
        <f t="shared" si="3"/>
        <v>-113713</v>
      </c>
    </row>
    <row r="39" spans="1:10" ht="15">
      <c r="A39" s="147" t="s">
        <v>80</v>
      </c>
      <c r="B39" s="158">
        <v>2015</v>
      </c>
      <c r="C39" s="143"/>
      <c r="D39" s="159">
        <v>1178322.1666666667</v>
      </c>
      <c r="E39" s="160"/>
      <c r="F39" s="160">
        <f t="shared" si="4"/>
        <v>853429</v>
      </c>
      <c r="G39" s="160"/>
      <c r="H39" s="160">
        <f t="shared" si="2"/>
        <v>-324893.16666666674</v>
      </c>
      <c r="I39" s="160"/>
      <c r="J39" s="160">
        <f t="shared" si="3"/>
        <v>-113713</v>
      </c>
    </row>
    <row r="40" spans="1:10" ht="15">
      <c r="A40" s="157" t="s">
        <v>81</v>
      </c>
      <c r="B40" s="158">
        <v>2015</v>
      </c>
      <c r="C40" s="143"/>
      <c r="D40" s="159">
        <v>1178322.1666666667</v>
      </c>
      <c r="E40" s="160"/>
      <c r="F40" s="160">
        <f t="shared" si="4"/>
        <v>853429</v>
      </c>
      <c r="G40" s="160"/>
      <c r="H40" s="160">
        <f t="shared" si="2"/>
        <v>-324893.16666666674</v>
      </c>
      <c r="I40" s="160"/>
      <c r="J40" s="160">
        <f t="shared" si="3"/>
        <v>-113713</v>
      </c>
    </row>
    <row r="41" spans="1:10" ht="15">
      <c r="A41" s="157" t="s">
        <v>82</v>
      </c>
      <c r="B41" s="158">
        <v>2015</v>
      </c>
      <c r="C41" s="143"/>
      <c r="D41" s="159">
        <v>1178322.1666666667</v>
      </c>
      <c r="E41" s="160"/>
      <c r="F41" s="160">
        <f t="shared" si="4"/>
        <v>853429</v>
      </c>
      <c r="G41" s="160"/>
      <c r="H41" s="160">
        <f t="shared" si="2"/>
        <v>-324893.16666666674</v>
      </c>
      <c r="I41" s="160"/>
      <c r="J41" s="160">
        <f t="shared" si="3"/>
        <v>-113713</v>
      </c>
    </row>
    <row r="42" spans="1:10" ht="15">
      <c r="A42" s="157" t="s">
        <v>83</v>
      </c>
      <c r="B42" s="158">
        <v>2015</v>
      </c>
      <c r="C42" s="143"/>
      <c r="D42" s="159">
        <v>1178322.1666666667</v>
      </c>
      <c r="E42" s="160"/>
      <c r="F42" s="160">
        <f t="shared" si="4"/>
        <v>853429</v>
      </c>
      <c r="G42" s="160"/>
      <c r="H42" s="160">
        <f t="shared" si="2"/>
        <v>-324893.16666666674</v>
      </c>
      <c r="I42" s="160"/>
      <c r="J42" s="160">
        <f t="shared" si="3"/>
        <v>-113713</v>
      </c>
    </row>
    <row r="43" spans="1:10" ht="15">
      <c r="A43" s="157" t="s">
        <v>84</v>
      </c>
      <c r="B43" s="158">
        <v>2015</v>
      </c>
      <c r="C43" s="143"/>
      <c r="D43" s="159">
        <v>1178322.1666666667</v>
      </c>
      <c r="E43" s="160"/>
      <c r="F43" s="160">
        <f t="shared" si="4"/>
        <v>853429</v>
      </c>
      <c r="G43" s="160"/>
      <c r="H43" s="160">
        <f t="shared" si="2"/>
        <v>-324893.16666666674</v>
      </c>
      <c r="I43" s="160"/>
      <c r="J43" s="160">
        <f t="shared" si="3"/>
        <v>-113713</v>
      </c>
    </row>
    <row r="44" spans="1:10" ht="15">
      <c r="A44" s="144" t="s">
        <v>85</v>
      </c>
      <c r="B44" s="158">
        <v>2015</v>
      </c>
      <c r="C44" s="143"/>
      <c r="D44" s="159">
        <v>1178322.1666666667</v>
      </c>
      <c r="E44" s="160"/>
      <c r="F44" s="160">
        <f>ROUND('AJE-4'!C18*0.0305/12,0)</f>
        <v>831617</v>
      </c>
      <c r="G44" s="160"/>
      <c r="H44" s="160">
        <f t="shared" si="2"/>
        <v>-346705.16666666674</v>
      </c>
      <c r="I44" s="160"/>
      <c r="J44" s="160">
        <f t="shared" si="3"/>
        <v>-121347</v>
      </c>
    </row>
    <row r="45" spans="1:10" ht="15">
      <c r="A45" s="144" t="s">
        <v>86</v>
      </c>
      <c r="B45" s="158">
        <v>2015</v>
      </c>
      <c r="C45" s="143"/>
      <c r="D45" s="159">
        <v>1178322.1666666667</v>
      </c>
      <c r="E45" s="160"/>
      <c r="F45" s="160">
        <f t="shared" si="4"/>
        <v>831617</v>
      </c>
      <c r="G45" s="160"/>
      <c r="H45" s="160">
        <f t="shared" si="2"/>
        <v>-346705.16666666674</v>
      </c>
      <c r="I45" s="160"/>
      <c r="J45" s="160">
        <f t="shared" si="3"/>
        <v>-121347</v>
      </c>
    </row>
    <row r="46" spans="1:10" ht="15">
      <c r="A46" s="144" t="s">
        <v>87</v>
      </c>
      <c r="B46" s="158">
        <v>2015</v>
      </c>
      <c r="C46" s="143"/>
      <c r="D46" s="159">
        <v>1178322.1666666667</v>
      </c>
      <c r="E46" s="160"/>
      <c r="F46" s="160">
        <f t="shared" si="4"/>
        <v>831617</v>
      </c>
      <c r="G46" s="160"/>
      <c r="H46" s="160">
        <f t="shared" si="2"/>
        <v>-346705.16666666674</v>
      </c>
      <c r="I46" s="160"/>
      <c r="J46" s="160">
        <f t="shared" si="3"/>
        <v>-121347</v>
      </c>
    </row>
    <row r="47" spans="1:10" ht="15">
      <c r="A47" s="144" t="s">
        <v>91</v>
      </c>
      <c r="B47" s="158">
        <v>2015</v>
      </c>
      <c r="C47" s="143"/>
      <c r="D47" s="159">
        <v>1178322.1666666667</v>
      </c>
      <c r="E47" s="160"/>
      <c r="F47" s="160">
        <f t="shared" si="4"/>
        <v>831617</v>
      </c>
      <c r="G47" s="160"/>
      <c r="H47" s="160">
        <f t="shared" si="2"/>
        <v>-346705.16666666674</v>
      </c>
      <c r="I47" s="160"/>
      <c r="J47" s="160">
        <f t="shared" si="3"/>
        <v>-121347</v>
      </c>
    </row>
    <row r="48" spans="1:10" ht="15">
      <c r="A48" s="144" t="s">
        <v>90</v>
      </c>
      <c r="B48" s="158">
        <v>2015</v>
      </c>
      <c r="C48" s="143"/>
      <c r="D48" s="159">
        <v>1178322.1666666667</v>
      </c>
      <c r="E48" s="160"/>
      <c r="F48" s="160">
        <f t="shared" si="4"/>
        <v>831617</v>
      </c>
      <c r="G48" s="160"/>
      <c r="H48" s="160">
        <f t="shared" si="2"/>
        <v>-346705.16666666674</v>
      </c>
      <c r="I48" s="160"/>
      <c r="J48" s="160">
        <f t="shared" si="3"/>
        <v>-121347</v>
      </c>
    </row>
    <row r="49" spans="1:10" ht="15">
      <c r="A49" s="161" t="s">
        <v>89</v>
      </c>
      <c r="B49" s="162">
        <v>2015</v>
      </c>
      <c r="C49" s="163"/>
      <c r="D49" s="164">
        <v>1178322.1666666667</v>
      </c>
      <c r="E49" s="165"/>
      <c r="F49" s="165">
        <f t="shared" si="4"/>
        <v>831617</v>
      </c>
      <c r="G49" s="165"/>
      <c r="H49" s="165">
        <f t="shared" si="2"/>
        <v>-346705.16666666674</v>
      </c>
      <c r="I49" s="165"/>
      <c r="J49" s="165">
        <f t="shared" si="3"/>
        <v>-121347</v>
      </c>
    </row>
    <row r="50" spans="1:10" ht="15">
      <c r="A50" s="166" t="s">
        <v>79</v>
      </c>
      <c r="B50" s="150">
        <v>2016</v>
      </c>
      <c r="C50" s="151"/>
      <c r="D50" s="152">
        <v>1175834.5833333333</v>
      </c>
      <c r="E50" s="152"/>
      <c r="F50" s="152">
        <f t="shared" si="4"/>
        <v>831617</v>
      </c>
      <c r="G50" s="152"/>
      <c r="H50" s="152">
        <f t="shared" si="2"/>
        <v>-344217.58333333326</v>
      </c>
      <c r="I50" s="152"/>
      <c r="J50" s="152">
        <f t="shared" si="3"/>
        <v>-120476</v>
      </c>
    </row>
    <row r="51" spans="1:10" ht="15">
      <c r="A51" s="166" t="s">
        <v>80</v>
      </c>
      <c r="B51" s="150">
        <v>2016</v>
      </c>
      <c r="C51" s="151"/>
      <c r="D51" s="152">
        <v>1175834.5833333333</v>
      </c>
      <c r="E51" s="152"/>
      <c r="F51" s="152">
        <f t="shared" si="4"/>
        <v>831617</v>
      </c>
      <c r="G51" s="152"/>
      <c r="H51" s="152">
        <f t="shared" si="2"/>
        <v>-344217.58333333326</v>
      </c>
      <c r="I51" s="152"/>
      <c r="J51" s="152">
        <f t="shared" si="3"/>
        <v>-120476</v>
      </c>
    </row>
    <row r="52" spans="1:10" ht="15">
      <c r="A52" s="166" t="s">
        <v>81</v>
      </c>
      <c r="B52" s="150">
        <v>2016</v>
      </c>
      <c r="C52" s="151"/>
      <c r="D52" s="152">
        <v>1175834.5833333333</v>
      </c>
      <c r="E52" s="152"/>
      <c r="F52" s="152">
        <f t="shared" si="4"/>
        <v>831617</v>
      </c>
      <c r="G52" s="152"/>
      <c r="H52" s="152">
        <f t="shared" si="2"/>
        <v>-344217.58333333326</v>
      </c>
      <c r="I52" s="152"/>
      <c r="J52" s="152">
        <f t="shared" si="3"/>
        <v>-120476</v>
      </c>
    </row>
    <row r="53" spans="1:10" ht="15">
      <c r="A53" s="166" t="s">
        <v>82</v>
      </c>
      <c r="B53" s="150">
        <v>2016</v>
      </c>
      <c r="C53" s="151"/>
      <c r="D53" s="152">
        <v>1175834.5833333333</v>
      </c>
      <c r="E53" s="152"/>
      <c r="F53" s="152">
        <f t="shared" si="4"/>
        <v>831617</v>
      </c>
      <c r="G53" s="152"/>
      <c r="H53" s="152">
        <f t="shared" si="2"/>
        <v>-344217.58333333326</v>
      </c>
      <c r="I53" s="152"/>
      <c r="J53" s="152">
        <f t="shared" si="3"/>
        <v>-120476</v>
      </c>
    </row>
    <row r="54" spans="1:10" ht="15">
      <c r="A54" s="166" t="s">
        <v>83</v>
      </c>
      <c r="B54" s="150">
        <v>2016</v>
      </c>
      <c r="C54" s="151"/>
      <c r="D54" s="152">
        <v>1175834.5833333333</v>
      </c>
      <c r="E54" s="152"/>
      <c r="F54" s="152">
        <f t="shared" si="4"/>
        <v>831617</v>
      </c>
      <c r="G54" s="152"/>
      <c r="H54" s="152">
        <f t="shared" si="2"/>
        <v>-344217.58333333326</v>
      </c>
      <c r="I54" s="152"/>
      <c r="J54" s="152">
        <f t="shared" si="3"/>
        <v>-120476</v>
      </c>
    </row>
    <row r="55" spans="1:10" ht="15">
      <c r="A55" s="166" t="s">
        <v>84</v>
      </c>
      <c r="B55" s="150">
        <v>2016</v>
      </c>
      <c r="C55" s="151"/>
      <c r="D55" s="152">
        <v>1175834.5833333333</v>
      </c>
      <c r="E55" s="152"/>
      <c r="F55" s="152">
        <f t="shared" si="4"/>
        <v>831617</v>
      </c>
      <c r="G55" s="152"/>
      <c r="H55" s="152">
        <f t="shared" si="2"/>
        <v>-344217.58333333326</v>
      </c>
      <c r="I55" s="152"/>
      <c r="J55" s="152">
        <f t="shared" si="3"/>
        <v>-120476</v>
      </c>
    </row>
  </sheetData>
  <sheetProtection/>
  <mergeCells count="4">
    <mergeCell ref="D3:J3"/>
    <mergeCell ref="A1:J1"/>
    <mergeCell ref="A30:J30"/>
    <mergeCell ref="D32:J3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2014-12-18T16:19:22Z</cp:lastPrinted>
  <dcterms:created xsi:type="dcterms:W3CDTF">2014-12-03T19:39:28Z</dcterms:created>
  <dcterms:modified xsi:type="dcterms:W3CDTF">2015-04-20T15:49:34Z</dcterms:modified>
  <cp:category/>
  <cp:version/>
  <cp:contentType/>
  <cp:contentStatus/>
</cp:coreProperties>
</file>