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20" windowWidth="19230" windowHeight="6165"/>
  </bookViews>
  <sheets>
    <sheet name="BS1 Form 1.0" sheetId="1" r:id="rId1"/>
    <sheet name="BS1 Form 2.0" sheetId="6" r:id="rId2"/>
    <sheet name="BS1 Form 3.0" sheetId="4" r:id="rId3"/>
    <sheet name="BS1 Form 4.0" sheetId="2" r:id="rId4"/>
    <sheet name="BS1 Form 5.0" sheetId="3" r:id="rId5"/>
    <sheet name="Input Sheet" sheetId="7" r:id="rId6"/>
  </sheets>
  <definedNames>
    <definedName name="_xlnm.Print_Area" localSheetId="1">'BS1 Form 2.0'!$A$1:$P$57</definedName>
  </definedNames>
  <calcPr calcId="145621"/>
</workbook>
</file>

<file path=xl/calcChain.xml><?xml version="1.0" encoding="utf-8"?>
<calcChain xmlns="http://schemas.openxmlformats.org/spreadsheetml/2006/main">
  <c r="D27" i="6" l="1"/>
  <c r="D25" i="6"/>
  <c r="D23" i="6"/>
  <c r="K22" i="6" l="1"/>
  <c r="K27" i="6"/>
  <c r="K23" i="6"/>
  <c r="H10" i="6" l="1"/>
  <c r="G10" i="6"/>
  <c r="H9" i="6"/>
  <c r="G9" i="6"/>
  <c r="I9" i="6"/>
  <c r="H8" i="6"/>
  <c r="G8" i="6"/>
  <c r="D28" i="4"/>
  <c r="D27" i="4"/>
  <c r="F20" i="3"/>
  <c r="F22" i="3" s="1"/>
  <c r="D21" i="2"/>
  <c r="D22" i="2"/>
  <c r="D18" i="2"/>
  <c r="D15" i="2"/>
  <c r="D14" i="2"/>
  <c r="D13" i="2"/>
  <c r="D12" i="2"/>
  <c r="D11" i="2"/>
  <c r="G36" i="7"/>
  <c r="G37" i="7" s="1"/>
  <c r="G32" i="7"/>
  <c r="G40" i="7" s="1"/>
  <c r="G31" i="7"/>
  <c r="D17" i="4"/>
  <c r="D15" i="4"/>
  <c r="D14" i="4"/>
  <c r="D13" i="4"/>
  <c r="D40" i="7"/>
  <c r="D39" i="7"/>
  <c r="D31" i="7"/>
  <c r="I8" i="6" l="1"/>
  <c r="D17" i="2"/>
  <c r="G33" i="7"/>
  <c r="G39" i="7"/>
  <c r="G41" i="7" s="1"/>
  <c r="D22" i="4"/>
  <c r="D21" i="4"/>
  <c r="D12" i="4"/>
  <c r="D11" i="4"/>
  <c r="D18" i="4" l="1"/>
  <c r="D33" i="7"/>
  <c r="D37" i="7"/>
  <c r="D24" i="4"/>
  <c r="D24" i="2"/>
  <c r="D19" i="4" l="1"/>
  <c r="D26" i="4" s="1"/>
  <c r="G17" i="1" s="1"/>
  <c r="D41" i="7" l="1"/>
  <c r="C20" i="7"/>
  <c r="D20" i="7"/>
  <c r="C22" i="6"/>
  <c r="C23" i="6"/>
  <c r="C24" i="6"/>
  <c r="C25" i="6"/>
  <c r="C26" i="6"/>
  <c r="C27" i="6"/>
  <c r="C28" i="6"/>
  <c r="F28" i="6" s="1"/>
  <c r="C29" i="6"/>
  <c r="C30" i="6"/>
  <c r="C21" i="6"/>
  <c r="I30" i="6"/>
  <c r="G38" i="1" s="1"/>
  <c r="I29" i="6"/>
  <c r="G37" i="1" s="1"/>
  <c r="I28" i="6"/>
  <c r="G36" i="1" s="1"/>
  <c r="I26" i="6"/>
  <c r="G34" i="1" s="1"/>
  <c r="I24" i="6"/>
  <c r="G32" i="1" s="1"/>
  <c r="I22" i="6"/>
  <c r="G30" i="1" s="1"/>
  <c r="I21" i="6"/>
  <c r="G29" i="1" s="1"/>
  <c r="D32" i="6" l="1"/>
  <c r="F27" i="6"/>
  <c r="F22" i="6"/>
  <c r="F25" i="6"/>
  <c r="F26" i="6"/>
  <c r="F29" i="6"/>
  <c r="F23" i="6"/>
  <c r="C32" i="6"/>
  <c r="F21" i="6"/>
  <c r="F24" i="6"/>
  <c r="F30" i="6"/>
  <c r="F32" i="6" l="1"/>
  <c r="D19" i="2" l="1"/>
  <c r="G10" i="1" l="1"/>
  <c r="D26" i="2"/>
  <c r="G12" i="1"/>
  <c r="G14" i="1" l="1"/>
  <c r="G19" i="1" s="1"/>
  <c r="G21" i="1" s="1"/>
  <c r="C49" i="7" l="1"/>
  <c r="C48" i="7" s="1"/>
  <c r="D48" i="7" l="1"/>
  <c r="C47" i="7"/>
  <c r="D47" i="7" s="1"/>
  <c r="H22" i="6" l="1"/>
  <c r="H25" i="6"/>
  <c r="K25" i="6" s="1"/>
  <c r="F33" i="1" s="1"/>
  <c r="H24" i="6"/>
  <c r="D24" i="1"/>
  <c r="H27" i="6"/>
  <c r="F35" i="1" s="1"/>
  <c r="H26" i="6"/>
  <c r="H21" i="6"/>
  <c r="H29" i="6"/>
  <c r="H28" i="6"/>
  <c r="H23" i="6"/>
  <c r="F31" i="1" s="1"/>
  <c r="H30" i="6"/>
  <c r="D49" i="7"/>
  <c r="H32" i="6" l="1"/>
  <c r="G21" i="6"/>
  <c r="K21" i="6" s="1"/>
  <c r="M21" i="6" l="1"/>
  <c r="N21" i="6" s="1"/>
  <c r="F29" i="1"/>
  <c r="G25" i="6"/>
  <c r="I25" i="6" s="1"/>
  <c r="D23" i="1"/>
  <c r="D25" i="1" s="1"/>
  <c r="G22" i="6"/>
  <c r="G27" i="6"/>
  <c r="I27" i="6" s="1"/>
  <c r="G30" i="6"/>
  <c r="K30" i="6" s="1"/>
  <c r="G28" i="6"/>
  <c r="K28" i="6" s="1"/>
  <c r="I10" i="6"/>
  <c r="G23" i="6"/>
  <c r="I23" i="6" s="1"/>
  <c r="G29" i="6"/>
  <c r="K29" i="6" s="1"/>
  <c r="G24" i="6"/>
  <c r="K24" i="6" s="1"/>
  <c r="G26" i="6"/>
  <c r="K26" i="6" s="1"/>
  <c r="M24" i="6" l="1"/>
  <c r="N24" i="6" s="1"/>
  <c r="F32" i="1"/>
  <c r="M29" i="6"/>
  <c r="N29" i="6" s="1"/>
  <c r="F37" i="1"/>
  <c r="M30" i="6"/>
  <c r="N30" i="6" s="1"/>
  <c r="F38" i="1"/>
  <c r="M25" i="6"/>
  <c r="N25" i="6" s="1"/>
  <c r="G33" i="1"/>
  <c r="M23" i="6"/>
  <c r="N23" i="6" s="1"/>
  <c r="G31" i="1"/>
  <c r="M27" i="6"/>
  <c r="N27" i="6" s="1"/>
  <c r="G35" i="1"/>
  <c r="M28" i="6"/>
  <c r="N28" i="6" s="1"/>
  <c r="F36" i="1"/>
  <c r="M26" i="6"/>
  <c r="N26" i="6" s="1"/>
  <c r="F34" i="1"/>
  <c r="M22" i="6"/>
  <c r="N22" i="6" s="1"/>
  <c r="F30" i="1"/>
  <c r="G32" i="6"/>
  <c r="M32" i="6" l="1"/>
  <c r="N32" i="6"/>
</calcChain>
</file>

<file path=xl/sharedStrings.xml><?xml version="1.0" encoding="utf-8"?>
<sst xmlns="http://schemas.openxmlformats.org/spreadsheetml/2006/main" count="196" uniqueCount="133">
  <si>
    <t>Kentucky Power Company</t>
  </si>
  <si>
    <t>Tariff Class</t>
  </si>
  <si>
    <t>S.G.S and S.G.S-T.O.D.</t>
  </si>
  <si>
    <t>R.S.</t>
  </si>
  <si>
    <t>M.G.S.</t>
  </si>
  <si>
    <t>M.G.S. Recreational Lighting, M.G.S.-L.M.T.O.D., and M.G.S.-T.O.D.</t>
  </si>
  <si>
    <t>L.G.S. and L.G.S.-T.O.D.</t>
  </si>
  <si>
    <t>L.G.S.-L.M.-T.O.D.</t>
  </si>
  <si>
    <t>L.G.S. and C.S.-I.R.P.</t>
  </si>
  <si>
    <t>M.W.</t>
  </si>
  <si>
    <t>O.L.</t>
  </si>
  <si>
    <t>S.L.</t>
  </si>
  <si>
    <t>Operating Expenses:</t>
  </si>
  <si>
    <t>Demand Related O&amp;M</t>
  </si>
  <si>
    <t>Kentucky Air Emission Fee</t>
  </si>
  <si>
    <t>Total Operating Expenses</t>
  </si>
  <si>
    <t>Description</t>
  </si>
  <si>
    <t>Totals</t>
  </si>
  <si>
    <t>Property Tax</t>
  </si>
  <si>
    <t>Demand</t>
  </si>
  <si>
    <t>Total Revenue Collected</t>
  </si>
  <si>
    <t>Kentucky Power Company - Big Sandy 1 Operation Rider</t>
  </si>
  <si>
    <t>Energy</t>
  </si>
  <si>
    <t>Total</t>
  </si>
  <si>
    <t>BS1 - Form 1.0</t>
  </si>
  <si>
    <t>BS1 - Form 3.0</t>
  </si>
  <si>
    <t>BS1 - Form 4.0</t>
  </si>
  <si>
    <t>Big Sandy 1 Operation Rider Revenue Collected</t>
  </si>
  <si>
    <t xml:space="preserve">Total </t>
  </si>
  <si>
    <t>Plus / (Minus) the Over / Under Recovery  (Line 3)</t>
  </si>
  <si>
    <t>Revenue Requirement</t>
  </si>
  <si>
    <t>a.)</t>
  </si>
  <si>
    <t>b.)</t>
  </si>
  <si>
    <t>BS1 - Form 5.0</t>
  </si>
  <si>
    <t>Big Sandy 1 Operation Rider Rate Design</t>
  </si>
  <si>
    <t>KY Retail Jurisdiction</t>
  </si>
  <si>
    <t>CP</t>
  </si>
  <si>
    <t>Allocated</t>
  </si>
  <si>
    <t>Historic Period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</si>
  <si>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</si>
  <si>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</si>
  <si>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</si>
  <si>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</si>
  <si>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</si>
  <si>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</si>
  <si>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</si>
  <si>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</si>
  <si>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</si>
  <si>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</si>
  <si>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</si>
  <si>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</si>
  <si>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</si>
  <si>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</si>
  <si>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</si>
  <si>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</si>
  <si>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</si>
  <si>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</si>
  <si>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</si>
  <si>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</si>
  <si>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</si>
  <si>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</si>
  <si>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</si>
  <si>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SGS</t>
  </si>
  <si>
    <t>MGS</t>
  </si>
  <si>
    <t>LGS</t>
  </si>
  <si>
    <t>LGS  LMTOD</t>
  </si>
  <si>
    <t>IGS (QP / CIP-TOD)</t>
  </si>
  <si>
    <t>MW</t>
  </si>
  <si>
    <t>OL</t>
  </si>
  <si>
    <t>SL</t>
  </si>
  <si>
    <t>Notes:</t>
  </si>
  <si>
    <t>Non Demand MGS Sec includes MGS RL, MGS LMTOD and MGS TOD</t>
  </si>
  <si>
    <t>Revised after Revenue Verification</t>
  </si>
  <si>
    <r>
      <t xml:space="preserve">Non Demand MGS Sec </t>
    </r>
    <r>
      <rPr>
        <vertAlign val="superscript"/>
        <sz val="14"/>
        <rFont val="Calibri"/>
        <family val="2"/>
        <scheme val="minor"/>
      </rPr>
      <t>1</t>
    </r>
  </si>
  <si>
    <t>Class Billing Determinants</t>
  </si>
  <si>
    <t>12 Months Ended Sept 2014</t>
  </si>
  <si>
    <t>Non Demand MGS Sec</t>
  </si>
  <si>
    <t>LGS LMTOD</t>
  </si>
  <si>
    <t>QP/CIP</t>
  </si>
  <si>
    <t>KY Retail</t>
  </si>
  <si>
    <t>Non Fuel Plant O&amp;M - Demand</t>
  </si>
  <si>
    <t>a</t>
  </si>
  <si>
    <t>Non Fuel Plant O&amp;M - Energy</t>
  </si>
  <si>
    <t>b</t>
  </si>
  <si>
    <t xml:space="preserve">Total BS1 Operational Expense </t>
  </si>
  <si>
    <t>gross up factor</t>
  </si>
  <si>
    <t>KY Retail Total</t>
  </si>
  <si>
    <t>Demand Total</t>
  </si>
  <si>
    <t>Energy Total</t>
  </si>
  <si>
    <t>Redistribute Over / Under</t>
  </si>
  <si>
    <t xml:space="preserve">Billing Energy </t>
  </si>
  <si>
    <t>Billing Demand</t>
  </si>
  <si>
    <t>Tariff Summary For Review Period</t>
  </si>
  <si>
    <r>
      <t xml:space="preserve">Non Demand MGS Sec </t>
    </r>
    <r>
      <rPr>
        <vertAlign val="superscript"/>
        <sz val="11"/>
        <rFont val="Calibri"/>
        <family val="2"/>
        <scheme val="minor"/>
      </rPr>
      <t>1</t>
    </r>
  </si>
  <si>
    <t>$ / kWh Rate</t>
  </si>
  <si>
    <t>Going Level Revenue Requirement from BS1OR Form 3.0</t>
  </si>
  <si>
    <t>Proposed BS1OR Revenue Requirement  (Line 4 + Line 5)</t>
  </si>
  <si>
    <t>Net Gas Plant in Service</t>
  </si>
  <si>
    <t>Pre Tax WACC from settlement exhibit 2</t>
  </si>
  <si>
    <t>gross up factor  from settlement exhibit 2</t>
  </si>
  <si>
    <t>Sub Total Operating Expenses</t>
  </si>
  <si>
    <t>Total Return</t>
  </si>
  <si>
    <t>Total BS1OR Going Level Revenue Requirement</t>
  </si>
  <si>
    <t>Return on EPIS</t>
  </si>
  <si>
    <t>Going Level Revenue Requirement</t>
  </si>
  <si>
    <t>Big Sandy 1  Operations</t>
  </si>
  <si>
    <t>Actual Revenue Collected 12-Months Ended 7/31/16 from BS1OR  Form 5.0</t>
  </si>
  <si>
    <t>(Over) / Under Recovery    (Line 1 - Line 2)</t>
  </si>
  <si>
    <t>Energy Total (includes PJM charges and credits)</t>
  </si>
  <si>
    <t>For Year Ended June 30, 2016</t>
  </si>
  <si>
    <t>Actual BS1OR Costs  12-Months Ended 6/30/16 from BS1OR Form 4.0</t>
  </si>
  <si>
    <t>Depreciation on Gas Plant in Service</t>
  </si>
  <si>
    <t>c</t>
  </si>
  <si>
    <t>d</t>
  </si>
  <si>
    <t>e</t>
  </si>
  <si>
    <t>f = a+b+c+d+e</t>
  </si>
  <si>
    <t>g</t>
  </si>
  <si>
    <t>h = f*g</t>
  </si>
  <si>
    <t>i</t>
  </si>
  <si>
    <t>j</t>
  </si>
  <si>
    <t>k = I * j</t>
  </si>
  <si>
    <t>l = k + (a + c + d) * g</t>
  </si>
  <si>
    <t>m = (b+e) * g</t>
  </si>
  <si>
    <t xml:space="preserve">           12-Months Ended 6/30/16 from BS1OR </t>
  </si>
  <si>
    <t>Estimated Going Level Operating Expenses  7/1/2016 - 6/30/2017</t>
  </si>
  <si>
    <t>Energy Related O&amp;M (excluding fuel)  Includes PJM Charges and Credits</t>
  </si>
  <si>
    <t>Actual</t>
  </si>
  <si>
    <t>Actual Operating Expenses  12-Months Ended 6/30/16</t>
  </si>
  <si>
    <t>Demand-Related</t>
  </si>
  <si>
    <t>Energy-Related</t>
  </si>
  <si>
    <t>(Over)/Under Recovery</t>
  </si>
  <si>
    <t>Total Revenue Requirement</t>
  </si>
  <si>
    <t>Workpaper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</si>
</sst>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_(* #,##0.000000_);_(* \(#,##0.000000\);_(* &quot;-&quot;??_);_(@_)"/>
    <numFmt numFmtId="173" formatCode="&quot;$&quot;#,##0.00000_);\(&quot;$&quot;#,##0.00000\)"/>
    <numFmt numFmtId="174" formatCode="0.00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9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0" fontId="6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11" applyNumberFormat="0" applyAlignment="0" applyProtection="0"/>
    <xf numFmtId="0" fontId="20" fillId="22" borderId="12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11" applyNumberFormat="0" applyAlignment="0" applyProtection="0"/>
    <xf numFmtId="0" fontId="27" fillId="0" borderId="16" applyNumberFormat="0" applyFill="0" applyAlignment="0" applyProtection="0"/>
    <xf numFmtId="0" fontId="28" fillId="23" borderId="0" applyNumberFormat="0" applyBorder="0" applyAlignment="0" applyProtection="0"/>
    <xf numFmtId="0" fontId="6" fillId="24" borderId="17" applyNumberFormat="0" applyFont="0" applyAlignment="0" applyProtection="0"/>
    <xf numFmtId="0" fontId="29" fillId="21" borderId="18" applyNumberFormat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2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1" applyNumberFormat="1" applyFont="1"/>
    <xf numFmtId="165" fontId="0" fillId="0" borderId="1" xfId="1" applyNumberFormat="1" applyFont="1" applyBorder="1"/>
    <xf numFmtId="0" fontId="3" fillId="0" borderId="0" xfId="0" applyFont="1" applyAlignment="1"/>
    <xf numFmtId="165" fontId="0" fillId="0" borderId="0" xfId="1" applyNumberFormat="1" applyFont="1" applyBorder="1"/>
    <xf numFmtId="165" fontId="0" fillId="0" borderId="0" xfId="0" applyNumberFormat="1"/>
    <xf numFmtId="0" fontId="4" fillId="0" borderId="0" xfId="0" applyFont="1"/>
    <xf numFmtId="0" fontId="2" fillId="0" borderId="0" xfId="0" applyFont="1"/>
    <xf numFmtId="165" fontId="2" fillId="0" borderId="0" xfId="1" applyNumberFormat="1" applyFont="1"/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1" applyNumberFormat="1" applyFont="1" applyAlignment="1">
      <alignment horizontal="right"/>
    </xf>
    <xf numFmtId="165" fontId="0" fillId="0" borderId="1" xfId="0" applyNumberFormat="1" applyFont="1" applyBorder="1"/>
    <xf numFmtId="165" fontId="1" fillId="0" borderId="0" xfId="1" applyNumberFormat="1" applyFont="1"/>
    <xf numFmtId="0" fontId="0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9" fillId="0" borderId="0" xfId="2" applyFont="1" applyFill="1"/>
    <xf numFmtId="0" fontId="9" fillId="0" borderId="0" xfId="2" applyFont="1" applyFill="1" applyAlignment="1"/>
    <xf numFmtId="0" fontId="11" fillId="0" borderId="0" xfId="2" applyFont="1" applyFill="1"/>
    <xf numFmtId="0" fontId="11" fillId="0" borderId="0" xfId="2" applyFont="1" applyFill="1" applyAlignment="1"/>
    <xf numFmtId="0" fontId="12" fillId="0" borderId="0" xfId="2" applyFont="1" applyFill="1"/>
    <xf numFmtId="0" fontId="12" fillId="0" borderId="0" xfId="2" applyFont="1" applyFill="1" applyAlignment="1"/>
    <xf numFmtId="0" fontId="12" fillId="0" borderId="3" xfId="2" applyFont="1" applyFill="1" applyBorder="1" applyAlignment="1"/>
    <xf numFmtId="0" fontId="12" fillId="0" borderId="4" xfId="2" applyFont="1" applyFill="1" applyBorder="1"/>
    <xf numFmtId="0" fontId="13" fillId="0" borderId="4" xfId="2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/>
    </xf>
    <xf numFmtId="0" fontId="12" fillId="0" borderId="6" xfId="2" applyFont="1" applyFill="1" applyBorder="1" applyAlignment="1"/>
    <xf numFmtId="0" fontId="12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13" fillId="0" borderId="7" xfId="2" applyFont="1" applyFill="1" applyBorder="1" applyAlignment="1">
      <alignment horizontal="center"/>
    </xf>
    <xf numFmtId="0" fontId="12" fillId="0" borderId="8" xfId="2" applyFont="1" applyFill="1" applyBorder="1" applyAlignment="1"/>
    <xf numFmtId="0" fontId="12" fillId="0" borderId="9" xfId="2" applyFont="1" applyFill="1" applyBorder="1"/>
    <xf numFmtId="5" fontId="12" fillId="0" borderId="9" xfId="2" applyNumberFormat="1" applyFont="1" applyFill="1" applyBorder="1"/>
    <xf numFmtId="5" fontId="12" fillId="0" borderId="10" xfId="2" applyNumberFormat="1" applyFont="1" applyFill="1" applyBorder="1" applyAlignment="1"/>
    <xf numFmtId="37" fontId="12" fillId="0" borderId="0" xfId="2" applyNumberFormat="1" applyFont="1" applyFill="1" applyAlignment="1"/>
    <xf numFmtId="0" fontId="12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166" fontId="12" fillId="0" borderId="0" xfId="2" applyNumberFormat="1" applyFont="1" applyFill="1" applyAlignment="1">
      <alignment horizontal="center"/>
    </xf>
    <xf numFmtId="166" fontId="12" fillId="0" borderId="0" xfId="2" quotePrefix="1" applyNumberFormat="1" applyFont="1" applyFill="1" applyAlignment="1">
      <alignment horizontal="center"/>
    </xf>
    <xf numFmtId="38" fontId="12" fillId="0" borderId="0" xfId="2" applyNumberFormat="1" applyFont="1" applyFill="1"/>
    <xf numFmtId="167" fontId="12" fillId="0" borderId="0" xfId="2" applyNumberFormat="1" applyFont="1" applyFill="1"/>
    <xf numFmtId="6" fontId="12" fillId="0" borderId="0" xfId="3" applyNumberFormat="1" applyFont="1" applyFill="1"/>
    <xf numFmtId="44" fontId="12" fillId="0" borderId="0" xfId="3" applyNumberFormat="1" applyFont="1" applyFill="1"/>
    <xf numFmtId="168" fontId="12" fillId="0" borderId="0" xfId="3" applyNumberFormat="1" applyFont="1" applyFill="1"/>
    <xf numFmtId="166" fontId="14" fillId="0" borderId="0" xfId="2" applyNumberFormat="1" applyFont="1" applyFill="1"/>
    <xf numFmtId="169" fontId="12" fillId="0" borderId="0" xfId="3" applyNumberFormat="1" applyFont="1" applyFill="1"/>
    <xf numFmtId="38" fontId="12" fillId="0" borderId="0" xfId="3" applyNumberFormat="1" applyFont="1" applyFill="1"/>
    <xf numFmtId="170" fontId="12" fillId="0" borderId="0" xfId="2" applyNumberFormat="1" applyFont="1" applyFill="1"/>
    <xf numFmtId="3" fontId="12" fillId="0" borderId="0" xfId="2" applyNumberFormat="1" applyFont="1" applyFill="1"/>
    <xf numFmtId="0" fontId="12" fillId="0" borderId="2" xfId="2" applyFont="1" applyFill="1" applyBorder="1"/>
    <xf numFmtId="38" fontId="12" fillId="0" borderId="2" xfId="2" applyNumberFormat="1" applyFont="1" applyFill="1" applyBorder="1"/>
    <xf numFmtId="3" fontId="12" fillId="0" borderId="2" xfId="2" applyNumberFormat="1" applyFont="1" applyFill="1" applyBorder="1"/>
    <xf numFmtId="6" fontId="12" fillId="0" borderId="2" xfId="2" applyNumberFormat="1" applyFont="1" applyFill="1" applyBorder="1"/>
    <xf numFmtId="165" fontId="11" fillId="0" borderId="0" xfId="4" applyNumberFormat="1" applyFont="1" applyFill="1"/>
    <xf numFmtId="37" fontId="11" fillId="0" borderId="0" xfId="2" applyNumberFormat="1" applyFont="1" applyFill="1"/>
    <xf numFmtId="171" fontId="11" fillId="0" borderId="0" xfId="3" applyNumberFormat="1" applyFont="1" applyFill="1" applyAlignment="1">
      <alignment horizontal="right"/>
    </xf>
    <xf numFmtId="0" fontId="15" fillId="0" borderId="0" xfId="2" applyFont="1" applyFill="1"/>
    <xf numFmtId="38" fontId="9" fillId="0" borderId="0" xfId="2" applyNumberFormat="1" applyFont="1" applyFill="1"/>
    <xf numFmtId="166" fontId="15" fillId="0" borderId="0" xfId="2" applyNumberFormat="1" applyFont="1" applyFill="1"/>
    <xf numFmtId="0" fontId="1" fillId="0" borderId="0" xfId="0" applyFont="1" applyFill="1"/>
    <xf numFmtId="0" fontId="33" fillId="0" borderId="0" xfId="11" applyFont="1" applyFill="1"/>
    <xf numFmtId="0" fontId="35" fillId="0" borderId="0" xfId="11" applyFont="1" applyFill="1"/>
    <xf numFmtId="0" fontId="36" fillId="0" borderId="0" xfId="11" applyFont="1" applyFill="1" applyAlignment="1">
      <alignment horizontal="center"/>
    </xf>
    <xf numFmtId="166" fontId="35" fillId="0" borderId="0" xfId="11" applyNumberFormat="1" applyFont="1" applyFill="1" applyAlignment="1">
      <alignment horizontal="center"/>
    </xf>
    <xf numFmtId="165" fontId="35" fillId="0" borderId="0" xfId="4" applyNumberFormat="1" applyFont="1" applyFill="1"/>
    <xf numFmtId="165" fontId="35" fillId="0" borderId="0" xfId="11" applyNumberFormat="1" applyFont="1" applyFill="1"/>
    <xf numFmtId="5" fontId="0" fillId="0" borderId="0" xfId="0" applyNumberFormat="1"/>
    <xf numFmtId="5" fontId="0" fillId="0" borderId="0" xfId="0" applyNumberFormat="1" applyBorder="1"/>
    <xf numFmtId="5" fontId="0" fillId="0" borderId="1" xfId="0" applyNumberFormat="1" applyBorder="1"/>
    <xf numFmtId="0" fontId="6" fillId="0" borderId="0" xfId="11" applyBorder="1"/>
    <xf numFmtId="0" fontId="0" fillId="0" borderId="0" xfId="0" applyAlignment="1">
      <alignment horizontal="left" wrapText="1"/>
    </xf>
    <xf numFmtId="165" fontId="0" fillId="0" borderId="1" xfId="1" applyNumberFormat="1" applyFont="1" applyBorder="1" applyAlignment="1"/>
    <xf numFmtId="0" fontId="0" fillId="0" borderId="0" xfId="0" applyAlignment="1"/>
    <xf numFmtId="0" fontId="0" fillId="0" borderId="0" xfId="0" applyAlignment="1">
      <alignment horizontal="left" wrapText="1"/>
    </xf>
    <xf numFmtId="165" fontId="0" fillId="0" borderId="0" xfId="1" applyNumberFormat="1" applyFont="1" applyBorder="1" applyAlignment="1"/>
    <xf numFmtId="0" fontId="4" fillId="0" borderId="0" xfId="0" applyFont="1" applyAlignment="1">
      <alignment horizontal="center"/>
    </xf>
    <xf numFmtId="0" fontId="35" fillId="0" borderId="0" xfId="2" applyFont="1" applyFill="1"/>
    <xf numFmtId="0" fontId="3" fillId="0" borderId="0" xfId="0" applyFont="1" applyAlignment="1">
      <alignment horizontal="center"/>
    </xf>
    <xf numFmtId="173" fontId="0" fillId="0" borderId="0" xfId="1" applyNumberFormat="1" applyFont="1"/>
    <xf numFmtId="44" fontId="0" fillId="0" borderId="0" xfId="54" applyFont="1"/>
    <xf numFmtId="171" fontId="2" fillId="0" borderId="0" xfId="54" applyNumberFormat="1" applyFont="1"/>
    <xf numFmtId="174" fontId="0" fillId="0" borderId="0" xfId="55" applyNumberFormat="1" applyFont="1"/>
    <xf numFmtId="171" fontId="0" fillId="0" borderId="1" xfId="54" applyNumberFormat="1" applyFont="1" applyBorder="1"/>
    <xf numFmtId="44" fontId="0" fillId="0" borderId="1" xfId="54" applyFont="1" applyBorder="1"/>
    <xf numFmtId="171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172" fontId="0" fillId="0" borderId="0" xfId="1" applyNumberFormat="1" applyFont="1"/>
    <xf numFmtId="0" fontId="5" fillId="0" borderId="0" xfId="11" applyFont="1"/>
    <xf numFmtId="9" fontId="5" fillId="0" borderId="0" xfId="53" applyFont="1"/>
    <xf numFmtId="171" fontId="0" fillId="0" borderId="0" xfId="54" applyNumberFormat="1" applyFont="1"/>
    <xf numFmtId="0" fontId="5" fillId="0" borderId="0" xfId="11" applyFont="1" applyAlignment="1">
      <alignment horizontal="center"/>
    </xf>
    <xf numFmtId="165" fontId="5" fillId="0" borderId="0" xfId="1" applyNumberFormat="1" applyFont="1"/>
    <xf numFmtId="0" fontId="5" fillId="0" borderId="0" xfId="11" applyFont="1" applyBorder="1"/>
    <xf numFmtId="172" fontId="5" fillId="0" borderId="0" xfId="1" applyNumberFormat="1" applyFont="1"/>
    <xf numFmtId="165" fontId="5" fillId="0" borderId="2" xfId="1" applyNumberFormat="1" applyFont="1" applyBorder="1"/>
    <xf numFmtId="0" fontId="5" fillId="0" borderId="0" xfId="11" applyFont="1" applyFill="1" applyBorder="1"/>
    <xf numFmtId="165" fontId="5" fillId="0" borderId="1" xfId="1" applyNumberFormat="1" applyFont="1" applyBorder="1"/>
    <xf numFmtId="0" fontId="38" fillId="0" borderId="0" xfId="0" applyFont="1" applyFill="1"/>
    <xf numFmtId="0" fontId="38" fillId="0" borderId="0" xfId="0" applyFont="1" applyFill="1" applyBorder="1"/>
    <xf numFmtId="165" fontId="38" fillId="0" borderId="0" xfId="1" applyNumberFormat="1" applyFont="1" applyFill="1"/>
    <xf numFmtId="0" fontId="38" fillId="0" borderId="0" xfId="0" applyFont="1"/>
    <xf numFmtId="171" fontId="38" fillId="0" borderId="0" xfId="54" applyNumberFormat="1" applyFont="1"/>
    <xf numFmtId="174" fontId="38" fillId="0" borderId="0" xfId="55" applyNumberFormat="1" applyFont="1"/>
    <xf numFmtId="165" fontId="38" fillId="0" borderId="0" xfId="0" applyNumberFormat="1" applyFont="1" applyFill="1"/>
    <xf numFmtId="165" fontId="39" fillId="0" borderId="0" xfId="1" applyNumberFormat="1" applyFont="1" applyFill="1" applyBorder="1"/>
    <xf numFmtId="165" fontId="39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5" fontId="12" fillId="0" borderId="0" xfId="2" applyNumberFormat="1" applyFont="1" applyFill="1" applyBorder="1"/>
    <xf numFmtId="5" fontId="12" fillId="0" borderId="1" xfId="2" applyNumberFormat="1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2" applyFont="1" applyFill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38" fillId="0" borderId="0" xfId="0" applyFont="1" applyFill="1" applyAlignment="1">
      <alignment horizontal="center"/>
    </xf>
    <xf numFmtId="0" fontId="33" fillId="0" borderId="0" xfId="11" applyFont="1" applyFill="1" applyAlignment="1">
      <alignment horizontal="center"/>
    </xf>
    <xf numFmtId="0" fontId="34" fillId="0" borderId="0" xfId="1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</cellXfs>
  <cellStyles count="56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" xfId="1" builtinId="3"/>
    <cellStyle name="Comma 2" xfId="4"/>
    <cellStyle name="Currency" xfId="54" builtinId="4"/>
    <cellStyle name="Currency 2" xfId="3"/>
    <cellStyle name="Explanatory Text 2" xfId="39"/>
    <cellStyle name="Good 2" xfId="40"/>
    <cellStyle name="Heading 1 2" xfId="41"/>
    <cellStyle name="Heading 2 2" xfId="42"/>
    <cellStyle name="Heading 3 2" xfId="43"/>
    <cellStyle name="Heading 4 2" xfId="44"/>
    <cellStyle name="Input 2" xfId="45"/>
    <cellStyle name="Linked Cell 2" xfId="46"/>
    <cellStyle name="Neutral 2" xfId="47"/>
    <cellStyle name="Normal" xfId="0" builtinId="0"/>
    <cellStyle name="Normal 2" xfId="2"/>
    <cellStyle name="Normal 3" xfId="11"/>
    <cellStyle name="Note 2" xfId="48"/>
    <cellStyle name="Output 2" xfId="49"/>
    <cellStyle name="Percent" xfId="55" builtinId="5"/>
    <cellStyle name="Percent 2" xfId="53"/>
    <cellStyle name="PSChar" xfId="5"/>
    <cellStyle name="PSDate" xfId="6"/>
    <cellStyle name="PSDec" xfId="7"/>
    <cellStyle name="PSHeading" xfId="8"/>
    <cellStyle name="PSInt" xfId="9"/>
    <cellStyle name="PSSpacer" xfId="10"/>
    <cellStyle name="Title 2" xfId="50"/>
    <cellStyle name="Total 2" xfId="51"/>
    <cellStyle name="Warning Text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111123</xdr:colOff>
      <xdr:row>45</xdr:row>
      <xdr:rowOff>142876</xdr:rowOff>
    </xdr:from>
    <xdr:to>
      <xdr:col>15</xdr:col>
      <xdr:colOff>507998</xdr:colOff>
      <xdr:row>56</xdr:row>
      <xdr:rowOff>23818</xdr:rowOff>
    </xdr:to>
    <xdr:sp macro="" textlink="">
      <xdr:nvSpPr>
        <xdr:cNvPr id="2" name="TextBox 1"/>
        <xdr:cNvSpPr txBox="1"/>
      </xdr:nvSpPr>
      <xdr:spPr>
        <a:xfrm rot="5400000">
          <a:off x="13021465" y="9409909"/>
          <a:ext cx="1627192" cy="10001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 b="0">
              <a:latin typeface="Arial" panose="020B0604020202020204" pitchFamily="34" charset="0"/>
              <a:cs typeface="Arial" panose="020B0604020202020204" pitchFamily="34" charset="0"/>
            </a:rPr>
            <a:t>BS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1 - Form 2.0</a:t>
          </a:r>
          <a:endParaRPr lang="en-US" sz="14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abSelected="1" workbookViewId="0">
      <selection activeCell="H24" sqref="H24"/>
    </sheetView>
  </sheetViews>
  <sheetFormatPr defaultRowHeight="15" x14ac:dyDescent="0.25"/>
  <cols>
    <col min="1" max="1" width="6.28515625" style="1" customWidth="1"/>
    <col min="2" max="2" width="5" customWidth="1"/>
    <col min="3" max="3" width="15.7109375" customWidth="1"/>
    <col min="4" max="4" width="16.28515625" customWidth="1"/>
    <col min="5" max="5" width="13.140625" customWidth="1"/>
    <col min="6" max="6" width="17.7109375" customWidth="1"/>
    <col min="7" max="7" width="12" style="3" customWidth="1"/>
    <col min="8" max="8" width="6.7109375" customWidth="1"/>
  </cols>
  <sheetData>
    <row r="2" spans="1:8" x14ac:dyDescent="0.25">
      <c r="H2" s="14" t="s">
        <v>24</v>
      </c>
    </row>
    <row r="6" spans="1:8" x14ac:dyDescent="0.25">
      <c r="A6" s="114" t="s">
        <v>21</v>
      </c>
      <c r="B6" s="114"/>
      <c r="C6" s="114"/>
      <c r="D6" s="114"/>
      <c r="E6" s="114"/>
      <c r="F6" s="114"/>
      <c r="G6" s="114"/>
    </row>
    <row r="7" spans="1:8" x14ac:dyDescent="0.25">
      <c r="A7" s="115" t="s">
        <v>109</v>
      </c>
      <c r="B7" s="115"/>
      <c r="C7" s="115"/>
      <c r="D7" s="115"/>
      <c r="E7" s="115"/>
      <c r="F7" s="115"/>
      <c r="G7" s="115"/>
    </row>
    <row r="10" spans="1:8" s="76" customFormat="1" x14ac:dyDescent="0.25">
      <c r="A10" s="1">
        <v>1</v>
      </c>
      <c r="B10" s="116" t="s">
        <v>110</v>
      </c>
      <c r="C10" s="116"/>
      <c r="D10" s="116"/>
      <c r="E10" s="116"/>
      <c r="F10" s="116"/>
      <c r="G10" s="78">
        <f>'BS1 Form 4.0'!D19</f>
        <v>17737639.034692001</v>
      </c>
    </row>
    <row r="11" spans="1:8" s="76" customFormat="1" x14ac:dyDescent="0.25">
      <c r="A11" s="1"/>
      <c r="B11" s="74"/>
      <c r="C11" s="74"/>
      <c r="D11" s="74"/>
      <c r="E11" s="77"/>
      <c r="F11" s="74"/>
      <c r="G11" s="78"/>
    </row>
    <row r="12" spans="1:8" x14ac:dyDescent="0.25">
      <c r="A12" s="1">
        <v>2</v>
      </c>
      <c r="B12" t="s">
        <v>106</v>
      </c>
      <c r="G12" s="75">
        <f>'BS1 Form 5.0'!F22</f>
        <v>18243719</v>
      </c>
    </row>
    <row r="14" spans="1:8" x14ac:dyDescent="0.25">
      <c r="A14" s="1">
        <v>3</v>
      </c>
      <c r="B14" t="s">
        <v>107</v>
      </c>
      <c r="G14" s="3">
        <f>G10-G12</f>
        <v>-506079.9653079994</v>
      </c>
    </row>
    <row r="17" spans="1:7" x14ac:dyDescent="0.25">
      <c r="A17" s="1">
        <v>4</v>
      </c>
      <c r="B17" t="s">
        <v>95</v>
      </c>
      <c r="G17" s="3">
        <f>'BS1 Form 3.0'!D26</f>
        <v>17224221.699999999</v>
      </c>
    </row>
    <row r="19" spans="1:7" x14ac:dyDescent="0.25">
      <c r="A19" s="1">
        <v>5</v>
      </c>
      <c r="B19" t="s">
        <v>29</v>
      </c>
      <c r="G19" s="4">
        <f>G14</f>
        <v>-506079.9653079994</v>
      </c>
    </row>
    <row r="21" spans="1:7" x14ac:dyDescent="0.25">
      <c r="A21" s="1">
        <v>6</v>
      </c>
      <c r="B21" t="s">
        <v>96</v>
      </c>
      <c r="G21" s="3">
        <f>G17+G19</f>
        <v>16718141.734692</v>
      </c>
    </row>
    <row r="23" spans="1:7" x14ac:dyDescent="0.25">
      <c r="B23" s="19" t="s">
        <v>31</v>
      </c>
      <c r="C23" t="s">
        <v>19</v>
      </c>
      <c r="D23" s="71">
        <f>'BS1 Form 2.0'!G10</f>
        <v>12718801.288613511</v>
      </c>
      <c r="E23" s="71"/>
      <c r="F23" s="18"/>
    </row>
    <row r="24" spans="1:7" x14ac:dyDescent="0.25">
      <c r="B24" s="19" t="s">
        <v>32</v>
      </c>
      <c r="C24" t="s">
        <v>22</v>
      </c>
      <c r="D24" s="72">
        <f>'BS1 Form 2.0'!H10</f>
        <v>3999340.44607849</v>
      </c>
      <c r="E24" s="71"/>
      <c r="F24" s="18"/>
    </row>
    <row r="25" spans="1:7" x14ac:dyDescent="0.25">
      <c r="D25" s="70">
        <f>SUM(D23:D24)</f>
        <v>16718141.734692002</v>
      </c>
      <c r="E25" s="70"/>
    </row>
    <row r="27" spans="1:7" x14ac:dyDescent="0.25">
      <c r="G27" s="81" t="s">
        <v>44</v>
      </c>
    </row>
    <row r="28" spans="1:7" x14ac:dyDescent="0.25">
      <c r="D28" s="81" t="s">
        <v>47</v>
      </c>
      <c r="F28" s="81" t="s">
        <v>94</v>
      </c>
      <c r="G28" s="81" t="s">
        <v>51</v>
      </c>
    </row>
    <row r="29" spans="1:7" x14ac:dyDescent="0.25">
      <c r="D29" s="80" t="s">
        <v>61</v>
      </c>
      <c r="F29" s="82">
        <f>'BS1 Form 2.0'!K21</f>
        <v>3.2599999999999999E-3</v>
      </c>
      <c r="G29" s="89">
        <f>'BS1 Form 2.0'!I21</f>
        <v>0</v>
      </c>
    </row>
    <row r="30" spans="1:7" x14ac:dyDescent="0.25">
      <c r="D30" s="80" t="s">
        <v>62</v>
      </c>
      <c r="F30" s="82">
        <f>'BS1 Form 2.0'!K22</f>
        <v>2.4399999999999999E-3</v>
      </c>
      <c r="G30" s="89">
        <f>'BS1 Form 2.0'!I22</f>
        <v>0</v>
      </c>
    </row>
    <row r="31" spans="1:7" x14ac:dyDescent="0.25">
      <c r="D31" s="80" t="s">
        <v>63</v>
      </c>
      <c r="F31" s="82">
        <f>'BS1 Form 2.0'!K23</f>
        <v>6.2E-4</v>
      </c>
      <c r="G31" s="89">
        <f>'BS1 Form 2.0'!I23</f>
        <v>0.47</v>
      </c>
    </row>
    <row r="32" spans="1:7" ht="17.25" x14ac:dyDescent="0.25">
      <c r="D32" s="80" t="s">
        <v>93</v>
      </c>
      <c r="F32" s="82">
        <f>'BS1 Form 2.0'!K24</f>
        <v>2.5999999999999999E-3</v>
      </c>
      <c r="G32" s="89">
        <f>'BS1 Form 2.0'!I24</f>
        <v>0</v>
      </c>
    </row>
    <row r="33" spans="4:7" x14ac:dyDescent="0.25">
      <c r="D33" s="80" t="s">
        <v>64</v>
      </c>
      <c r="F33" s="82">
        <f>'BS1 Form 2.0'!K25</f>
        <v>6.2E-4</v>
      </c>
      <c r="G33" s="89">
        <f>'BS1 Form 2.0'!I25</f>
        <v>0.62</v>
      </c>
    </row>
    <row r="34" spans="4:7" x14ac:dyDescent="0.25">
      <c r="D34" s="80" t="s">
        <v>65</v>
      </c>
      <c r="F34" s="82">
        <f>'BS1 Form 2.0'!K26</f>
        <v>2.5100000000000001E-3</v>
      </c>
      <c r="G34" s="89">
        <f>'BS1 Form 2.0'!I26</f>
        <v>0</v>
      </c>
    </row>
    <row r="35" spans="4:7" x14ac:dyDescent="0.25">
      <c r="D35" s="80" t="s">
        <v>66</v>
      </c>
      <c r="F35" s="82">
        <f>'BS1 Form 2.0'!K27</f>
        <v>6.0999999999999997E-4</v>
      </c>
      <c r="G35" s="89">
        <f>'BS1 Form 2.0'!I27</f>
        <v>0.76</v>
      </c>
    </row>
    <row r="36" spans="4:7" x14ac:dyDescent="0.25">
      <c r="D36" s="80" t="s">
        <v>67</v>
      </c>
      <c r="F36" s="82">
        <f>'BS1 Form 2.0'!K28</f>
        <v>2.1199999999999999E-3</v>
      </c>
      <c r="G36" s="89">
        <f>'BS1 Form 2.0'!I28</f>
        <v>0</v>
      </c>
    </row>
    <row r="37" spans="4:7" x14ac:dyDescent="0.25">
      <c r="D37" s="80" t="s">
        <v>68</v>
      </c>
      <c r="F37" s="82">
        <f>'BS1 Form 2.0'!K29</f>
        <v>7.2000000000000005E-4</v>
      </c>
      <c r="G37" s="89">
        <f>'BS1 Form 2.0'!I29</f>
        <v>0</v>
      </c>
    </row>
    <row r="38" spans="4:7" x14ac:dyDescent="0.25">
      <c r="D38" s="80" t="s">
        <v>69</v>
      </c>
      <c r="F38" s="82">
        <f>'BS1 Form 2.0'!K30</f>
        <v>7.2999999999999996E-4</v>
      </c>
      <c r="G38" s="89">
        <f>'BS1 Form 2.0'!I30</f>
        <v>0</v>
      </c>
    </row>
  </sheetData>
  <mergeCells count="3">
    <mergeCell ref="A6:G6"/>
    <mergeCell ref="A7:G7"/>
    <mergeCell ref="B10:F10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80" zoomScaleNormal="80" workbookViewId="0">
      <selection activeCell="B10" sqref="B10"/>
    </sheetView>
  </sheetViews>
  <sheetFormatPr defaultRowHeight="12.75" x14ac:dyDescent="0.2"/>
  <cols>
    <col min="1" max="1" width="2.5703125" style="20" customWidth="1"/>
    <col min="2" max="2" width="30.5703125" style="20" customWidth="1"/>
    <col min="3" max="3" width="20.28515625" style="20" bestFit="1" customWidth="1"/>
    <col min="4" max="4" width="18.42578125" style="20" bestFit="1" customWidth="1"/>
    <col min="5" max="5" width="20" style="20" bestFit="1" customWidth="1"/>
    <col min="6" max="6" width="14.7109375" style="20" bestFit="1" customWidth="1"/>
    <col min="7" max="7" width="16.5703125" style="20" bestFit="1" customWidth="1"/>
    <col min="8" max="8" width="15.140625" style="20" bestFit="1" customWidth="1"/>
    <col min="9" max="9" width="18" style="20" bestFit="1" customWidth="1"/>
    <col min="10" max="10" width="1.7109375" style="20" customWidth="1"/>
    <col min="11" max="11" width="13" style="20" bestFit="1" customWidth="1"/>
    <col min="12" max="12" width="2.5703125" style="20" bestFit="1" customWidth="1"/>
    <col min="13" max="13" width="18" style="20" bestFit="1" customWidth="1"/>
    <col min="14" max="14" width="14.7109375" style="20" customWidth="1"/>
    <col min="15" max="15" width="9.140625" style="20"/>
    <col min="16" max="16" width="9.5703125" style="20" bestFit="1" customWidth="1"/>
    <col min="17" max="16384" width="9.140625" style="20"/>
  </cols>
  <sheetData>
    <row r="1" spans="2:14" ht="18.75" x14ac:dyDescent="0.3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2:14" ht="18.75" x14ac:dyDescent="0.3">
      <c r="B2" s="117" t="s">
        <v>34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2:14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14" s="22" customFormat="1" ht="15.75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4" s="22" customFormat="1" ht="16.5" thickBot="1" x14ac:dyDescent="0.3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2:14" s="24" customFormat="1" ht="18.75" x14ac:dyDescent="0.3">
      <c r="B6" s="25"/>
      <c r="C6" s="25"/>
      <c r="D6" s="25"/>
      <c r="E6" s="26"/>
      <c r="F6" s="27"/>
      <c r="G6" s="28" t="s">
        <v>19</v>
      </c>
      <c r="H6" s="28" t="s">
        <v>22</v>
      </c>
      <c r="I6" s="28" t="s">
        <v>23</v>
      </c>
      <c r="J6" s="29"/>
      <c r="K6" s="25"/>
      <c r="L6" s="25"/>
      <c r="M6" s="25"/>
    </row>
    <row r="7" spans="2:14" s="24" customFormat="1" ht="18.75" x14ac:dyDescent="0.3">
      <c r="B7" s="25"/>
      <c r="C7" s="25"/>
      <c r="D7" s="25"/>
      <c r="E7" s="30" t="s">
        <v>35</v>
      </c>
      <c r="F7" s="31"/>
      <c r="G7" s="32"/>
      <c r="H7" s="32"/>
      <c r="I7" s="32"/>
      <c r="J7" s="33"/>
      <c r="K7" s="25"/>
      <c r="L7" s="25"/>
      <c r="M7" s="25"/>
    </row>
    <row r="8" spans="2:14" s="24" customFormat="1" ht="18.75" x14ac:dyDescent="0.3">
      <c r="B8" s="25"/>
      <c r="C8" s="25"/>
      <c r="D8" s="25"/>
      <c r="E8" s="30" t="s">
        <v>30</v>
      </c>
      <c r="F8" s="31"/>
      <c r="G8" s="112">
        <f>'BS1 Form 3.0'!D27</f>
        <v>13103816</v>
      </c>
      <c r="H8" s="112">
        <f>'BS1 Form 3.0'!D28</f>
        <v>4120405.7</v>
      </c>
      <c r="I8" s="112">
        <f>G8+H8</f>
        <v>17224221.699999999</v>
      </c>
      <c r="J8" s="33"/>
      <c r="K8" s="25"/>
      <c r="L8" s="25"/>
      <c r="M8" s="25"/>
    </row>
    <row r="9" spans="2:14" s="24" customFormat="1" ht="18.75" x14ac:dyDescent="0.3">
      <c r="B9" s="25"/>
      <c r="C9" s="25"/>
      <c r="D9" s="25"/>
      <c r="E9" s="30" t="s">
        <v>130</v>
      </c>
      <c r="F9" s="31"/>
      <c r="G9" s="113">
        <f>G8*I9/I8</f>
        <v>-385014.71138648939</v>
      </c>
      <c r="H9" s="113">
        <f>H8*I9/I8</f>
        <v>-121065.25392151003</v>
      </c>
      <c r="I9" s="113">
        <f>'BS1 Form 1.0'!G14</f>
        <v>-506079.9653079994</v>
      </c>
      <c r="J9" s="33"/>
      <c r="K9" s="25"/>
      <c r="L9" s="25"/>
      <c r="M9" s="25"/>
    </row>
    <row r="10" spans="2:14" s="24" customFormat="1" ht="19.5" thickBot="1" x14ac:dyDescent="0.35">
      <c r="C10" s="25"/>
      <c r="D10" s="25"/>
      <c r="E10" s="34" t="s">
        <v>131</v>
      </c>
      <c r="F10" s="35"/>
      <c r="G10" s="36">
        <f>G8+G9</f>
        <v>12718801.288613511</v>
      </c>
      <c r="H10" s="36">
        <f>H8+H9</f>
        <v>3999340.44607849</v>
      </c>
      <c r="I10" s="36">
        <f>G10+H10</f>
        <v>16718141.734692002</v>
      </c>
      <c r="J10" s="37"/>
      <c r="K10" s="25"/>
      <c r="L10" s="25"/>
      <c r="M10" s="25"/>
    </row>
    <row r="11" spans="2:14" s="24" customFormat="1" ht="18.75" x14ac:dyDescent="0.3">
      <c r="B11" s="25"/>
      <c r="C11" s="25"/>
      <c r="D11" s="25"/>
      <c r="E11" s="25"/>
      <c r="F11" s="38"/>
      <c r="G11" s="38"/>
      <c r="H11" s="38"/>
      <c r="I11" s="25"/>
      <c r="J11" s="25"/>
      <c r="K11" s="25"/>
      <c r="L11" s="25"/>
      <c r="M11" s="25"/>
    </row>
    <row r="12" spans="2:14" s="24" customFormat="1" ht="18.75" x14ac:dyDescent="0.3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2:14" s="24" customFormat="1" ht="18.75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2:14" s="24" customFormat="1" ht="18.75" x14ac:dyDescent="0.3">
      <c r="B14" s="39"/>
      <c r="E14" s="39"/>
      <c r="F14" s="39" t="s">
        <v>36</v>
      </c>
      <c r="G14" s="39" t="s">
        <v>37</v>
      </c>
      <c r="H14" s="39" t="s">
        <v>37</v>
      </c>
      <c r="K14" s="39"/>
      <c r="L14" s="39"/>
    </row>
    <row r="15" spans="2:14" s="24" customFormat="1" ht="18.75" x14ac:dyDescent="0.3">
      <c r="B15" s="39"/>
      <c r="C15" s="39" t="s">
        <v>38</v>
      </c>
      <c r="D15" s="39" t="s">
        <v>38</v>
      </c>
      <c r="E15" s="39" t="s">
        <v>39</v>
      </c>
      <c r="F15" s="39" t="s">
        <v>19</v>
      </c>
      <c r="G15" s="39" t="s">
        <v>19</v>
      </c>
      <c r="H15" s="39" t="s">
        <v>22</v>
      </c>
      <c r="K15" s="39"/>
      <c r="L15" s="39"/>
    </row>
    <row r="16" spans="2:14" s="24" customFormat="1" ht="18.75" x14ac:dyDescent="0.3">
      <c r="B16" s="39"/>
      <c r="C16" s="39" t="s">
        <v>40</v>
      </c>
      <c r="D16" s="39" t="s">
        <v>40</v>
      </c>
      <c r="E16" s="39" t="s">
        <v>41</v>
      </c>
      <c r="F16" s="39" t="s">
        <v>42</v>
      </c>
      <c r="G16" s="39" t="s">
        <v>43</v>
      </c>
      <c r="H16" s="39" t="s">
        <v>43</v>
      </c>
      <c r="I16" s="39" t="s">
        <v>44</v>
      </c>
      <c r="J16" s="39"/>
      <c r="K16" s="39" t="s">
        <v>45</v>
      </c>
      <c r="L16" s="39"/>
      <c r="M16" s="39" t="s">
        <v>46</v>
      </c>
    </row>
    <row r="17" spans="2:14" s="24" customFormat="1" ht="18.75" x14ac:dyDescent="0.3">
      <c r="B17" s="40" t="s">
        <v>47</v>
      </c>
      <c r="C17" s="40" t="s">
        <v>22</v>
      </c>
      <c r="D17" s="40" t="s">
        <v>19</v>
      </c>
      <c r="E17" s="40" t="s">
        <v>48</v>
      </c>
      <c r="F17" s="40" t="s">
        <v>49</v>
      </c>
      <c r="G17" s="40" t="s">
        <v>50</v>
      </c>
      <c r="H17" s="40" t="s">
        <v>50</v>
      </c>
      <c r="I17" s="40" t="s">
        <v>51</v>
      </c>
      <c r="J17" s="40"/>
      <c r="K17" s="40" t="s">
        <v>51</v>
      </c>
      <c r="L17" s="40"/>
      <c r="M17" s="40" t="s">
        <v>52</v>
      </c>
      <c r="N17" s="40" t="s">
        <v>53</v>
      </c>
    </row>
    <row r="18" spans="2:14" s="24" customFormat="1" ht="18.75" x14ac:dyDescent="0.3">
      <c r="B18" s="41">
        <v>-1</v>
      </c>
      <c r="C18" s="41">
        <v>-2</v>
      </c>
      <c r="D18" s="41">
        <v>-3</v>
      </c>
      <c r="E18" s="42">
        <v>-4</v>
      </c>
      <c r="F18" s="42" t="s">
        <v>54</v>
      </c>
      <c r="G18" s="41">
        <v>-6</v>
      </c>
      <c r="H18" s="41">
        <v>-7</v>
      </c>
      <c r="I18" s="42" t="s">
        <v>55</v>
      </c>
      <c r="J18" s="42"/>
      <c r="K18" s="42" t="s">
        <v>56</v>
      </c>
      <c r="L18" s="41"/>
      <c r="M18" s="41">
        <v>-10</v>
      </c>
      <c r="N18" s="42" t="s">
        <v>57</v>
      </c>
    </row>
    <row r="19" spans="2:14" s="24" customFormat="1" ht="18.75" x14ac:dyDescent="0.3">
      <c r="C19" s="41"/>
      <c r="D19" s="41"/>
      <c r="E19" s="42"/>
      <c r="G19" s="41" t="s">
        <v>58</v>
      </c>
      <c r="H19" s="41" t="s">
        <v>59</v>
      </c>
      <c r="K19" s="41"/>
      <c r="L19" s="41"/>
      <c r="N19" s="42" t="s">
        <v>60</v>
      </c>
    </row>
    <row r="20" spans="2:14" s="24" customFormat="1" ht="9" customHeight="1" x14ac:dyDescent="0.3"/>
    <row r="21" spans="2:14" s="24" customFormat="1" ht="21" x14ac:dyDescent="0.3">
      <c r="B21" s="24" t="s">
        <v>61</v>
      </c>
      <c r="C21" s="43">
        <f>'Input Sheet'!C9</f>
        <v>2260149747</v>
      </c>
      <c r="D21" s="43"/>
      <c r="E21" s="44">
        <v>2.3606000000000001E-4</v>
      </c>
      <c r="F21" s="43">
        <f>ROUND(C21*E21,0)</f>
        <v>533531</v>
      </c>
      <c r="G21" s="45">
        <f>ROUND(G$10*(F21/F$32),0)</f>
        <v>5969388</v>
      </c>
      <c r="H21" s="45">
        <f>ROUND(H$10*(C21/C$32),0)</f>
        <v>1392326</v>
      </c>
      <c r="I21" s="46">
        <f>ROUND(IF(D21&gt;0,G21/D21,0),2)</f>
        <v>0</v>
      </c>
      <c r="J21" s="43"/>
      <c r="K21" s="47">
        <f>ROUND(IF(D21&gt;0,H21/C21,(G21+H21)/C21),5)</f>
        <v>3.2599999999999999E-3</v>
      </c>
      <c r="L21" s="48"/>
      <c r="M21" s="45">
        <f t="shared" ref="M21:M22" si="0">(C21*K21)+(D21*I21)</f>
        <v>7368088.1752199996</v>
      </c>
      <c r="N21" s="49">
        <f>M21-H21-G21</f>
        <v>6374.1752199996263</v>
      </c>
    </row>
    <row r="22" spans="2:14" s="24" customFormat="1" ht="21" x14ac:dyDescent="0.3">
      <c r="B22" s="24" t="s">
        <v>62</v>
      </c>
      <c r="C22" s="43">
        <f>'Input Sheet'!C10</f>
        <v>142560729</v>
      </c>
      <c r="D22" s="43"/>
      <c r="E22" s="44">
        <v>1.6393700000000001E-4</v>
      </c>
      <c r="F22" s="43">
        <f>ROUND(C22*E22,0)</f>
        <v>23371</v>
      </c>
      <c r="G22" s="50">
        <f t="shared" ref="G22:G30" si="1">ROUND(G$10*(F22/F$32),0)</f>
        <v>261485</v>
      </c>
      <c r="H22" s="50">
        <f t="shared" ref="H22:H30" si="2">ROUND(H$10*(C22/C$32),0)</f>
        <v>87822</v>
      </c>
      <c r="I22" s="46">
        <f t="shared" ref="I22:I30" si="3">ROUND(IF(D22&gt;0,G22/D22,0),2)</f>
        <v>0</v>
      </c>
      <c r="J22" s="43"/>
      <c r="K22" s="47">
        <f>ROUND(IF(D22&gt;0,H22/C22,(G22+H22)/C22),5)-0.00001</f>
        <v>2.4399999999999999E-3</v>
      </c>
      <c r="L22" s="48">
        <v>2</v>
      </c>
      <c r="M22" s="50">
        <f t="shared" si="0"/>
        <v>347848.17875999998</v>
      </c>
      <c r="N22" s="49">
        <f t="shared" ref="N22:N30" si="4">M22-H22-G22</f>
        <v>-1458.8212400000193</v>
      </c>
    </row>
    <row r="23" spans="2:14" s="24" customFormat="1" ht="21" x14ac:dyDescent="0.3">
      <c r="B23" s="24" t="s">
        <v>63</v>
      </c>
      <c r="C23" s="43">
        <f>'Input Sheet'!C11</f>
        <v>507158704</v>
      </c>
      <c r="D23" s="43">
        <f>'Input Sheet'!D11</f>
        <v>2119598</v>
      </c>
      <c r="E23" s="44">
        <v>1.77002E-4</v>
      </c>
      <c r="F23" s="43">
        <f t="shared" ref="F23:F30" si="5">ROUND(C23*E23,0)</f>
        <v>89768</v>
      </c>
      <c r="G23" s="50">
        <f t="shared" si="1"/>
        <v>1004365</v>
      </c>
      <c r="H23" s="50">
        <f t="shared" si="2"/>
        <v>312426</v>
      </c>
      <c r="I23" s="46">
        <f>ROUND(IF(D23&gt;0,G23/D23,0),2)</f>
        <v>0.47</v>
      </c>
      <c r="J23" s="43"/>
      <c r="K23" s="47">
        <f>ROUND(IF(D23&gt;0,H23/C23,(G23+H23)/C23),5)</f>
        <v>6.2E-4</v>
      </c>
      <c r="L23" s="48"/>
      <c r="M23" s="50">
        <f>(C23*K23)+(D23*I23)</f>
        <v>1310649.4564799999</v>
      </c>
      <c r="N23" s="49">
        <f t="shared" si="4"/>
        <v>-6141.5435200000647</v>
      </c>
    </row>
    <row r="24" spans="2:14" s="24" customFormat="1" ht="21" x14ac:dyDescent="0.3">
      <c r="B24" s="24" t="s">
        <v>73</v>
      </c>
      <c r="C24" s="43">
        <f>'Input Sheet'!C12</f>
        <v>6484718</v>
      </c>
      <c r="D24" s="43"/>
      <c r="E24" s="44">
        <v>1.77002E-4</v>
      </c>
      <c r="F24" s="43">
        <f>ROUND(C24*E24,0)</f>
        <v>1148</v>
      </c>
      <c r="G24" s="50">
        <f t="shared" si="1"/>
        <v>12844</v>
      </c>
      <c r="H24" s="50">
        <f t="shared" si="2"/>
        <v>3995</v>
      </c>
      <c r="I24" s="46">
        <f t="shared" si="3"/>
        <v>0</v>
      </c>
      <c r="J24" s="43"/>
      <c r="K24" s="47">
        <f t="shared" ref="K24:K30" si="6">ROUND(IF(D24&gt;0,H24/C24,(G24+H24)/C24),5)</f>
        <v>2.5999999999999999E-3</v>
      </c>
      <c r="L24" s="51"/>
      <c r="M24" s="50">
        <f t="shared" ref="M24:M30" si="7">(C24*K24)+(D24*I24)</f>
        <v>16860.266799999998</v>
      </c>
      <c r="N24" s="49">
        <f t="shared" si="4"/>
        <v>21.266799999997602</v>
      </c>
    </row>
    <row r="25" spans="2:14" s="24" customFormat="1" ht="21" x14ac:dyDescent="0.3">
      <c r="B25" s="24" t="s">
        <v>64</v>
      </c>
      <c r="C25" s="43">
        <f>'Input Sheet'!C13</f>
        <v>705405060</v>
      </c>
      <c r="D25" s="43">
        <f>'Input Sheet'!D13</f>
        <v>2169269</v>
      </c>
      <c r="E25" s="44">
        <v>1.69381E-4</v>
      </c>
      <c r="F25" s="43">
        <f t="shared" si="5"/>
        <v>119482</v>
      </c>
      <c r="G25" s="50">
        <f t="shared" si="1"/>
        <v>1336819</v>
      </c>
      <c r="H25" s="50">
        <f t="shared" si="2"/>
        <v>434553</v>
      </c>
      <c r="I25" s="46">
        <f t="shared" si="3"/>
        <v>0.62</v>
      </c>
      <c r="J25" s="43"/>
      <c r="K25" s="47">
        <f>ROUND(IF(D25&gt;0,H25/C25,(G25+H25)/C25),5)</f>
        <v>6.2E-4</v>
      </c>
      <c r="L25" s="48"/>
      <c r="M25" s="50">
        <f t="shared" si="7"/>
        <v>1782297.9172</v>
      </c>
      <c r="N25" s="49">
        <f t="shared" si="4"/>
        <v>10925.917200000025</v>
      </c>
    </row>
    <row r="26" spans="2:14" s="24" customFormat="1" ht="18.75" x14ac:dyDescent="0.3">
      <c r="B26" s="24" t="s">
        <v>65</v>
      </c>
      <c r="C26" s="43">
        <f>'Input Sheet'!C14</f>
        <v>1959939</v>
      </c>
      <c r="D26" s="43"/>
      <c r="E26" s="44">
        <v>1.69381E-4</v>
      </c>
      <c r="F26" s="43">
        <f t="shared" si="5"/>
        <v>332</v>
      </c>
      <c r="G26" s="50">
        <f t="shared" si="1"/>
        <v>3715</v>
      </c>
      <c r="H26" s="50">
        <f t="shared" si="2"/>
        <v>1207</v>
      </c>
      <c r="I26" s="46">
        <f t="shared" si="3"/>
        <v>0</v>
      </c>
      <c r="J26" s="43"/>
      <c r="K26" s="47">
        <f t="shared" si="6"/>
        <v>2.5100000000000001E-3</v>
      </c>
      <c r="L26" s="51"/>
      <c r="M26" s="50">
        <f t="shared" si="7"/>
        <v>4919.4468900000002</v>
      </c>
      <c r="N26" s="49">
        <f t="shared" si="4"/>
        <v>-2.5531099999998332</v>
      </c>
    </row>
    <row r="27" spans="2:14" s="24" customFormat="1" ht="21" x14ac:dyDescent="0.3">
      <c r="B27" s="24" t="s">
        <v>66</v>
      </c>
      <c r="C27" s="43">
        <f>'Input Sheet'!C15</f>
        <v>2818677591</v>
      </c>
      <c r="D27" s="43">
        <f>'Input Sheet'!D15</f>
        <v>5429712</v>
      </c>
      <c r="E27" s="44">
        <v>1.3062600000000001E-4</v>
      </c>
      <c r="F27" s="43">
        <f t="shared" si="5"/>
        <v>368193</v>
      </c>
      <c r="G27" s="50">
        <f t="shared" si="1"/>
        <v>4119511</v>
      </c>
      <c r="H27" s="50">
        <f t="shared" si="2"/>
        <v>1736398</v>
      </c>
      <c r="I27" s="46">
        <f t="shared" si="3"/>
        <v>0.76</v>
      </c>
      <c r="J27" s="43"/>
      <c r="K27" s="47">
        <f>ROUND(IF(D27&gt;0,H27/C27,(G27+H27)/C27),5)-0.00001</f>
        <v>6.0999999999999997E-4</v>
      </c>
      <c r="L27" s="48">
        <v>2</v>
      </c>
      <c r="M27" s="50">
        <f t="shared" si="7"/>
        <v>5845974.4505099999</v>
      </c>
      <c r="N27" s="49">
        <f t="shared" si="4"/>
        <v>-9934.5494900001213</v>
      </c>
    </row>
    <row r="28" spans="2:14" s="24" customFormat="1" ht="18.75" x14ac:dyDescent="0.3">
      <c r="B28" s="24" t="s">
        <v>67</v>
      </c>
      <c r="C28" s="43">
        <f>'Input Sheet'!C16</f>
        <v>3864039</v>
      </c>
      <c r="D28" s="43"/>
      <c r="E28" s="44">
        <v>1.3405700000000001E-4</v>
      </c>
      <c r="F28" s="43">
        <f t="shared" si="5"/>
        <v>518</v>
      </c>
      <c r="G28" s="50">
        <f t="shared" si="1"/>
        <v>5796</v>
      </c>
      <c r="H28" s="50">
        <f t="shared" si="2"/>
        <v>2380</v>
      </c>
      <c r="I28" s="46">
        <f t="shared" si="3"/>
        <v>0</v>
      </c>
      <c r="J28" s="43"/>
      <c r="K28" s="47">
        <f t="shared" si="6"/>
        <v>2.1199999999999999E-3</v>
      </c>
      <c r="L28" s="51"/>
      <c r="M28" s="50">
        <f t="shared" si="7"/>
        <v>8191.7626799999998</v>
      </c>
      <c r="N28" s="49">
        <f t="shared" si="4"/>
        <v>15.762679999999818</v>
      </c>
    </row>
    <row r="29" spans="2:14" s="24" customFormat="1" ht="18.75" x14ac:dyDescent="0.3">
      <c r="B29" s="24" t="s">
        <v>68</v>
      </c>
      <c r="C29" s="43">
        <f>'Input Sheet'!C17</f>
        <v>37640598</v>
      </c>
      <c r="D29" s="43"/>
      <c r="E29" s="44">
        <v>9.431E-6</v>
      </c>
      <c r="F29" s="43">
        <f t="shared" si="5"/>
        <v>355</v>
      </c>
      <c r="G29" s="50">
        <f t="shared" si="1"/>
        <v>3972</v>
      </c>
      <c r="H29" s="50">
        <f t="shared" si="2"/>
        <v>23188</v>
      </c>
      <c r="I29" s="46">
        <f t="shared" si="3"/>
        <v>0</v>
      </c>
      <c r="J29" s="43"/>
      <c r="K29" s="47">
        <f t="shared" si="6"/>
        <v>7.2000000000000005E-4</v>
      </c>
      <c r="L29" s="51"/>
      <c r="M29" s="50">
        <f t="shared" si="7"/>
        <v>27101.23056</v>
      </c>
      <c r="N29" s="49">
        <f t="shared" si="4"/>
        <v>-58.769440000000031</v>
      </c>
    </row>
    <row r="30" spans="2:14" s="24" customFormat="1" ht="18.75" x14ac:dyDescent="0.3">
      <c r="B30" s="24" t="s">
        <v>69</v>
      </c>
      <c r="C30" s="43">
        <f>'Input Sheet'!C18</f>
        <v>8190082</v>
      </c>
      <c r="D30" s="43"/>
      <c r="E30" s="44">
        <v>9.8900000000000002E-6</v>
      </c>
      <c r="F30" s="43">
        <f t="shared" si="5"/>
        <v>81</v>
      </c>
      <c r="G30" s="50">
        <f t="shared" si="1"/>
        <v>906</v>
      </c>
      <c r="H30" s="50">
        <f t="shared" si="2"/>
        <v>5045</v>
      </c>
      <c r="I30" s="46">
        <f t="shared" si="3"/>
        <v>0</v>
      </c>
      <c r="J30" s="43"/>
      <c r="K30" s="47">
        <f t="shared" si="6"/>
        <v>7.2999999999999996E-4</v>
      </c>
      <c r="L30" s="51"/>
      <c r="M30" s="50">
        <f t="shared" si="7"/>
        <v>5978.7598600000001</v>
      </c>
      <c r="N30" s="49">
        <f t="shared" si="4"/>
        <v>27.759860000000117</v>
      </c>
    </row>
    <row r="31" spans="2:14" s="24" customFormat="1" ht="18.75" x14ac:dyDescent="0.3">
      <c r="C31" s="43"/>
      <c r="D31" s="43"/>
      <c r="E31" s="52"/>
      <c r="F31" s="43"/>
      <c r="G31" s="43"/>
      <c r="H31" s="43"/>
      <c r="I31" s="43"/>
      <c r="J31" s="43"/>
      <c r="M31" s="43"/>
      <c r="N31" s="43"/>
    </row>
    <row r="32" spans="2:14" s="24" customFormat="1" ht="18.75" x14ac:dyDescent="0.3">
      <c r="B32" s="53" t="s">
        <v>23</v>
      </c>
      <c r="C32" s="54">
        <f>SUM(C21:C30)</f>
        <v>6492091207</v>
      </c>
      <c r="D32" s="54">
        <f>SUM(D21:D30)</f>
        <v>9718579</v>
      </c>
      <c r="E32" s="55"/>
      <c r="F32" s="54">
        <f>SUM(F21:F30)</f>
        <v>1136779</v>
      </c>
      <c r="G32" s="56">
        <f>SUM(G21:G30)</f>
        <v>12718801</v>
      </c>
      <c r="H32" s="56">
        <f>SUM(H21:H30)</f>
        <v>3999340</v>
      </c>
      <c r="I32" s="56"/>
      <c r="J32" s="56"/>
      <c r="K32" s="53"/>
      <c r="L32" s="53"/>
      <c r="M32" s="56">
        <f>SUM(M21:M30)</f>
        <v>16717909.644959996</v>
      </c>
      <c r="N32" s="56">
        <f>SUM(N21:N30)</f>
        <v>-231.35504000055698</v>
      </c>
    </row>
    <row r="33" spans="1:14" s="22" customFormat="1" ht="15.75" x14ac:dyDescent="0.25">
      <c r="C33" s="57"/>
      <c r="D33" s="57"/>
      <c r="M33" s="58"/>
      <c r="N33" s="58"/>
    </row>
    <row r="34" spans="1:14" s="22" customFormat="1" ht="15.75" x14ac:dyDescent="0.25">
      <c r="M34" s="59"/>
    </row>
    <row r="35" spans="1:14" x14ac:dyDescent="0.2">
      <c r="A35" s="20" t="s">
        <v>70</v>
      </c>
    </row>
    <row r="36" spans="1:14" ht="15" x14ac:dyDescent="0.2">
      <c r="A36" s="60">
        <v>1</v>
      </c>
      <c r="B36" s="20" t="s">
        <v>71</v>
      </c>
      <c r="H36" s="61"/>
    </row>
    <row r="37" spans="1:14" ht="15" x14ac:dyDescent="0.2">
      <c r="A37" s="62">
        <v>2</v>
      </c>
      <c r="B37" s="20" t="s">
        <v>72</v>
      </c>
    </row>
    <row r="38" spans="1:14" s="22" customFormat="1" ht="15.75" x14ac:dyDescent="0.25"/>
    <row r="39" spans="1:14" s="22" customFormat="1" ht="15.75" x14ac:dyDescent="0.25"/>
    <row r="40" spans="1:14" s="22" customFormat="1" ht="15.75" x14ac:dyDescent="0.25"/>
  </sheetData>
  <mergeCells count="2">
    <mergeCell ref="B1:N1"/>
    <mergeCell ref="B2:N2"/>
  </mergeCells>
  <printOptions horizontalCentered="1"/>
  <pageMargins left="0.75" right="0.75" top="1" bottom="1" header="0.5" footer="0.5"/>
  <pageSetup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6" sqref="I26"/>
    </sheetView>
  </sheetViews>
  <sheetFormatPr defaultRowHeight="15" x14ac:dyDescent="0.25"/>
  <cols>
    <col min="1" max="1" width="6" customWidth="1"/>
    <col min="2" max="2" width="5.7109375" customWidth="1"/>
    <col min="3" max="3" width="43.28515625" customWidth="1"/>
    <col min="4" max="4" width="12.5703125" bestFit="1" customWidth="1"/>
    <col min="5" max="5" width="1.7109375" customWidth="1"/>
    <col min="6" max="6" width="15.28515625" bestFit="1" customWidth="1"/>
  </cols>
  <sheetData>
    <row r="1" spans="1:7" x14ac:dyDescent="0.25">
      <c r="B1" s="5"/>
    </row>
    <row r="2" spans="1:7" x14ac:dyDescent="0.25">
      <c r="F2" s="14" t="s">
        <v>25</v>
      </c>
    </row>
    <row r="3" spans="1:7" s="9" customFormat="1" x14ac:dyDescent="0.25">
      <c r="A3"/>
      <c r="B3"/>
      <c r="C3"/>
      <c r="D3"/>
      <c r="E3"/>
      <c r="F3"/>
      <c r="G3"/>
    </row>
    <row r="4" spans="1:7" s="9" customFormat="1" x14ac:dyDescent="0.25">
      <c r="A4"/>
      <c r="B4"/>
      <c r="C4" s="118" t="s">
        <v>124</v>
      </c>
      <c r="D4" s="118"/>
      <c r="E4" s="118"/>
      <c r="F4" s="118"/>
      <c r="G4" s="118"/>
    </row>
    <row r="6" spans="1:7" x14ac:dyDescent="0.25">
      <c r="B6" s="114" t="s">
        <v>0</v>
      </c>
      <c r="C6" s="114"/>
      <c r="D6" s="114"/>
    </row>
    <row r="7" spans="1:7" x14ac:dyDescent="0.25">
      <c r="B7" s="9"/>
      <c r="C7" s="9"/>
      <c r="D7" s="9"/>
    </row>
    <row r="8" spans="1:7" x14ac:dyDescent="0.25">
      <c r="B8" s="9"/>
      <c r="C8" s="79" t="s">
        <v>16</v>
      </c>
      <c r="D8" s="79" t="s">
        <v>17</v>
      </c>
    </row>
    <row r="10" spans="1:7" x14ac:dyDescent="0.25">
      <c r="B10" s="9" t="s">
        <v>12</v>
      </c>
    </row>
    <row r="11" spans="1:7" x14ac:dyDescent="0.25">
      <c r="C11" t="s">
        <v>13</v>
      </c>
      <c r="D11" s="6">
        <f>'Input Sheet'!D26</f>
        <v>8000000</v>
      </c>
    </row>
    <row r="12" spans="1:7" ht="30" x14ac:dyDescent="0.25">
      <c r="C12" s="90" t="s">
        <v>125</v>
      </c>
      <c r="D12" s="6">
        <f>'Input Sheet'!D27</f>
        <v>4100000</v>
      </c>
    </row>
    <row r="13" spans="1:7" x14ac:dyDescent="0.25">
      <c r="C13" t="s">
        <v>111</v>
      </c>
      <c r="D13" s="3">
        <f>'Input Sheet'!D28</f>
        <v>0</v>
      </c>
    </row>
    <row r="14" spans="1:7" x14ac:dyDescent="0.25">
      <c r="C14" t="s">
        <v>18</v>
      </c>
      <c r="D14" s="3">
        <f>'Input Sheet'!D29</f>
        <v>0</v>
      </c>
    </row>
    <row r="15" spans="1:7" x14ac:dyDescent="0.25">
      <c r="C15" t="s">
        <v>14</v>
      </c>
      <c r="D15" s="4">
        <f>'Input Sheet'!D30</f>
        <v>0</v>
      </c>
    </row>
    <row r="16" spans="1:7" x14ac:dyDescent="0.25">
      <c r="D16" s="3"/>
    </row>
    <row r="17" spans="2:4" x14ac:dyDescent="0.25">
      <c r="B17" s="17" t="s">
        <v>100</v>
      </c>
      <c r="D17" s="84">
        <f>SUM(D11:D15)</f>
        <v>12100000</v>
      </c>
    </row>
    <row r="18" spans="2:4" x14ac:dyDescent="0.25">
      <c r="C18" s="73" t="s">
        <v>99</v>
      </c>
      <c r="D18" s="91">
        <f>'Input Sheet'!D32</f>
        <v>1.004977</v>
      </c>
    </row>
    <row r="19" spans="2:4" x14ac:dyDescent="0.25">
      <c r="B19" s="9" t="s">
        <v>15</v>
      </c>
      <c r="D19" s="86">
        <f>D17*D18</f>
        <v>12160221.699999999</v>
      </c>
    </row>
    <row r="21" spans="2:4" x14ac:dyDescent="0.25">
      <c r="C21" t="s">
        <v>97</v>
      </c>
      <c r="D21" s="94">
        <f>'Input Sheet'!D35</f>
        <v>50000000</v>
      </c>
    </row>
    <row r="22" spans="2:4" x14ac:dyDescent="0.25">
      <c r="C22" t="s">
        <v>98</v>
      </c>
      <c r="D22" s="85">
        <f>'Input Sheet'!D36</f>
        <v>0.10128</v>
      </c>
    </row>
    <row r="24" spans="2:4" x14ac:dyDescent="0.25">
      <c r="B24" s="9" t="s">
        <v>101</v>
      </c>
      <c r="D24" s="86">
        <f>D22*D21</f>
        <v>5064000</v>
      </c>
    </row>
    <row r="26" spans="2:4" x14ac:dyDescent="0.25">
      <c r="B26" s="9" t="s">
        <v>102</v>
      </c>
      <c r="D26" s="88">
        <f>D24+D19</f>
        <v>17224221.699999999</v>
      </c>
    </row>
    <row r="27" spans="2:4" x14ac:dyDescent="0.25">
      <c r="C27" t="s">
        <v>128</v>
      </c>
      <c r="D27" s="88">
        <f>(D11+D13+D14)*D18+D24</f>
        <v>13103816</v>
      </c>
    </row>
    <row r="28" spans="2:4" x14ac:dyDescent="0.25">
      <c r="C28" t="s">
        <v>129</v>
      </c>
      <c r="D28" s="7">
        <f>(D12+D15)*D18</f>
        <v>4120405.7</v>
      </c>
    </row>
  </sheetData>
  <mergeCells count="2">
    <mergeCell ref="C4:G4"/>
    <mergeCell ref="B6:D6"/>
  </mergeCells>
  <printOptions horizontalCentered="1"/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opLeftCell="A4" workbookViewId="0">
      <selection activeCell="E33" sqref="E33"/>
    </sheetView>
  </sheetViews>
  <sheetFormatPr defaultRowHeight="15" x14ac:dyDescent="0.25"/>
  <cols>
    <col min="1" max="1" width="3.85546875" customWidth="1"/>
    <col min="2" max="2" width="4.140625" customWidth="1"/>
    <col min="3" max="3" width="43.140625" customWidth="1"/>
    <col min="4" max="4" width="17.85546875" customWidth="1"/>
    <col min="6" max="6" width="10.5703125" bestFit="1" customWidth="1"/>
  </cols>
  <sheetData>
    <row r="1" spans="2:7" x14ac:dyDescent="0.25">
      <c r="B1" s="5"/>
    </row>
    <row r="2" spans="2:7" x14ac:dyDescent="0.25">
      <c r="F2" s="14" t="s">
        <v>26</v>
      </c>
    </row>
    <row r="4" spans="2:7" x14ac:dyDescent="0.25">
      <c r="C4" s="118" t="s">
        <v>127</v>
      </c>
      <c r="D4" s="118"/>
      <c r="E4" s="118"/>
      <c r="F4" s="118"/>
      <c r="G4" s="118"/>
    </row>
    <row r="6" spans="2:7" x14ac:dyDescent="0.25">
      <c r="B6" s="114" t="s">
        <v>0</v>
      </c>
      <c r="C6" s="114"/>
      <c r="D6" s="114"/>
    </row>
    <row r="7" spans="2:7" x14ac:dyDescent="0.25">
      <c r="B7" s="9"/>
      <c r="C7" s="9"/>
      <c r="D7" s="9"/>
    </row>
    <row r="8" spans="2:7" x14ac:dyDescent="0.25">
      <c r="B8" s="9"/>
      <c r="C8" s="12" t="s">
        <v>16</v>
      </c>
      <c r="D8" s="12" t="s">
        <v>17</v>
      </c>
    </row>
    <row r="10" spans="2:7" x14ac:dyDescent="0.25">
      <c r="B10" s="9" t="s">
        <v>12</v>
      </c>
    </row>
    <row r="11" spans="2:7" x14ac:dyDescent="0.25">
      <c r="C11" t="s">
        <v>13</v>
      </c>
      <c r="D11" s="6">
        <f>'Input Sheet'!G26</f>
        <v>8600000</v>
      </c>
    </row>
    <row r="12" spans="2:7" ht="30" x14ac:dyDescent="0.25">
      <c r="C12" s="90" t="s">
        <v>125</v>
      </c>
      <c r="D12" s="6">
        <f>'Input Sheet'!G27</f>
        <v>9049796</v>
      </c>
    </row>
    <row r="13" spans="2:7" x14ac:dyDescent="0.25">
      <c r="C13" t="s">
        <v>111</v>
      </c>
      <c r="D13" s="6">
        <f>'Input Sheet'!G28</f>
        <v>0</v>
      </c>
    </row>
    <row r="14" spans="2:7" x14ac:dyDescent="0.25">
      <c r="C14" t="s">
        <v>18</v>
      </c>
      <c r="D14" s="6">
        <f>'Input Sheet'!G29</f>
        <v>0</v>
      </c>
    </row>
    <row r="15" spans="2:7" x14ac:dyDescent="0.25">
      <c r="C15" t="s">
        <v>14</v>
      </c>
      <c r="D15" s="4">
        <f>'Input Sheet'!G30</f>
        <v>0</v>
      </c>
    </row>
    <row r="16" spans="2:7" x14ac:dyDescent="0.25">
      <c r="D16" s="3"/>
    </row>
    <row r="17" spans="2:4" x14ac:dyDescent="0.25">
      <c r="B17" s="17" t="s">
        <v>100</v>
      </c>
      <c r="D17" s="84">
        <f>SUM(D11:D15)</f>
        <v>17649796</v>
      </c>
    </row>
    <row r="18" spans="2:4" x14ac:dyDescent="0.25">
      <c r="C18" s="73" t="s">
        <v>99</v>
      </c>
      <c r="D18" s="91">
        <f>'Input Sheet'!D32</f>
        <v>1.004977</v>
      </c>
    </row>
    <row r="19" spans="2:4" x14ac:dyDescent="0.25">
      <c r="B19" s="9" t="s">
        <v>15</v>
      </c>
      <c r="D19" s="86">
        <f>D17*D18</f>
        <v>17737639.034692001</v>
      </c>
    </row>
    <row r="21" spans="2:4" x14ac:dyDescent="0.25">
      <c r="C21" t="s">
        <v>97</v>
      </c>
      <c r="D21" s="83">
        <f>'Input Sheet'!G35</f>
        <v>0</v>
      </c>
    </row>
    <row r="22" spans="2:4" x14ac:dyDescent="0.25">
      <c r="C22" t="s">
        <v>98</v>
      </c>
      <c r="D22" s="85">
        <f>'Input Sheet'!D36</f>
        <v>0.10128</v>
      </c>
    </row>
    <row r="24" spans="2:4" x14ac:dyDescent="0.25">
      <c r="B24" s="9" t="s">
        <v>101</v>
      </c>
      <c r="D24" s="87">
        <f>D22*D21</f>
        <v>0</v>
      </c>
    </row>
    <row r="26" spans="2:4" x14ac:dyDescent="0.25">
      <c r="B26" s="9" t="s">
        <v>102</v>
      </c>
      <c r="D26" s="88">
        <f>D24+D19</f>
        <v>17737639.034692001</v>
      </c>
    </row>
  </sheetData>
  <mergeCells count="2">
    <mergeCell ref="B6:D6"/>
    <mergeCell ref="C4:G4"/>
  </mergeCells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F22" sqref="F22"/>
    </sheetView>
  </sheetViews>
  <sheetFormatPr defaultRowHeight="15" x14ac:dyDescent="0.25"/>
  <cols>
    <col min="1" max="1" width="58.7109375" customWidth="1"/>
    <col min="2" max="2" width="11.5703125" bestFit="1" customWidth="1"/>
    <col min="3" max="3" width="1.7109375" customWidth="1"/>
    <col min="4" max="4" width="10.5703125" bestFit="1" customWidth="1"/>
    <col min="5" max="5" width="1.7109375" customWidth="1"/>
    <col min="6" max="6" width="11.5703125" bestFit="1" customWidth="1"/>
  </cols>
  <sheetData>
    <row r="1" spans="1:6" x14ac:dyDescent="0.25">
      <c r="F1" s="14" t="s">
        <v>33</v>
      </c>
    </row>
    <row r="2" spans="1:6" x14ac:dyDescent="0.25">
      <c r="B2" s="3"/>
    </row>
    <row r="3" spans="1:6" x14ac:dyDescent="0.25">
      <c r="A3" s="114" t="s">
        <v>0</v>
      </c>
      <c r="B3" s="114"/>
      <c r="C3" s="114"/>
      <c r="D3" s="114"/>
      <c r="E3" s="114"/>
      <c r="F3" s="114"/>
    </row>
    <row r="4" spans="1:6" x14ac:dyDescent="0.25">
      <c r="A4" s="115" t="s">
        <v>27</v>
      </c>
      <c r="B4" s="115"/>
      <c r="C4" s="115"/>
      <c r="D4" s="115"/>
      <c r="E4" s="115"/>
      <c r="F4" s="115"/>
    </row>
    <row r="5" spans="1:6" x14ac:dyDescent="0.25">
      <c r="A5" s="119" t="s">
        <v>123</v>
      </c>
      <c r="B5" s="119"/>
      <c r="C5" s="119"/>
      <c r="D5" s="119"/>
      <c r="E5" s="119"/>
    </row>
    <row r="6" spans="1:6" x14ac:dyDescent="0.25">
      <c r="B6" s="13"/>
    </row>
    <row r="7" spans="1:6" x14ac:dyDescent="0.25">
      <c r="A7" s="12" t="s">
        <v>1</v>
      </c>
      <c r="B7" s="12"/>
      <c r="D7" s="12"/>
      <c r="F7" s="12" t="s">
        <v>23</v>
      </c>
    </row>
    <row r="9" spans="1:6" x14ac:dyDescent="0.25">
      <c r="A9" s="2" t="s">
        <v>3</v>
      </c>
      <c r="B9" s="3"/>
      <c r="D9" s="3"/>
      <c r="F9" s="7">
        <v>7458494</v>
      </c>
    </row>
    <row r="10" spans="1:6" x14ac:dyDescent="0.25">
      <c r="A10" s="2" t="s">
        <v>2</v>
      </c>
      <c r="B10" s="3"/>
      <c r="D10" s="3"/>
      <c r="F10" s="7">
        <v>387765</v>
      </c>
    </row>
    <row r="11" spans="1:6" x14ac:dyDescent="0.25">
      <c r="A11" s="2" t="s">
        <v>4</v>
      </c>
      <c r="B11" s="3"/>
      <c r="D11" s="3"/>
      <c r="F11" s="7">
        <v>1435757</v>
      </c>
    </row>
    <row r="12" spans="1:6" x14ac:dyDescent="0.25">
      <c r="A12" s="2" t="s">
        <v>5</v>
      </c>
      <c r="B12" s="3"/>
      <c r="D12" s="3"/>
      <c r="F12" s="7">
        <v>18352</v>
      </c>
    </row>
    <row r="13" spans="1:6" x14ac:dyDescent="0.25">
      <c r="A13" s="2" t="s">
        <v>6</v>
      </c>
      <c r="B13" s="3"/>
      <c r="D13" s="3"/>
      <c r="F13" s="7">
        <v>1956684</v>
      </c>
    </row>
    <row r="14" spans="1:6" x14ac:dyDescent="0.25">
      <c r="A14" s="2" t="s">
        <v>7</v>
      </c>
      <c r="B14" s="3"/>
      <c r="D14" s="3"/>
      <c r="F14" s="7">
        <v>5409</v>
      </c>
    </row>
    <row r="15" spans="1:6" x14ac:dyDescent="0.25">
      <c r="A15" s="2" t="s">
        <v>8</v>
      </c>
      <c r="B15" s="3"/>
      <c r="D15" s="3"/>
      <c r="F15" s="7">
        <v>6904303</v>
      </c>
    </row>
    <row r="16" spans="1:6" x14ac:dyDescent="0.25">
      <c r="A16" s="2" t="s">
        <v>9</v>
      </c>
      <c r="B16" s="3"/>
      <c r="D16" s="3"/>
      <c r="F16" s="7">
        <v>9583</v>
      </c>
    </row>
    <row r="17" spans="1:6" x14ac:dyDescent="0.25">
      <c r="A17" s="2" t="s">
        <v>10</v>
      </c>
      <c r="B17" s="3"/>
      <c r="D17" s="3"/>
      <c r="F17" s="7">
        <v>55332</v>
      </c>
    </row>
    <row r="18" spans="1:6" x14ac:dyDescent="0.25">
      <c r="A18" s="2" t="s">
        <v>11</v>
      </c>
      <c r="B18" s="6"/>
      <c r="C18" s="18"/>
      <c r="D18" s="6"/>
      <c r="F18" s="15">
        <v>12040</v>
      </c>
    </row>
    <row r="19" spans="1:6" x14ac:dyDescent="0.25">
      <c r="B19" s="3"/>
    </row>
    <row r="20" spans="1:6" x14ac:dyDescent="0.25">
      <c r="A20" s="17" t="s">
        <v>28</v>
      </c>
      <c r="B20" s="16"/>
      <c r="D20" s="7"/>
      <c r="F20" s="7">
        <f>SUM(F9:F18)</f>
        <v>18243719</v>
      </c>
    </row>
    <row r="22" spans="1:6" x14ac:dyDescent="0.25">
      <c r="A22" s="9" t="s">
        <v>20</v>
      </c>
      <c r="F22" s="11">
        <f>F20</f>
        <v>18243719</v>
      </c>
    </row>
    <row r="23" spans="1:6" x14ac:dyDescent="0.25">
      <c r="A23" s="8"/>
    </row>
    <row r="24" spans="1:6" x14ac:dyDescent="0.25">
      <c r="A24" s="2"/>
    </row>
    <row r="25" spans="1:6" x14ac:dyDescent="0.25">
      <c r="A25" s="2"/>
    </row>
    <row r="26" spans="1:6" x14ac:dyDescent="0.25">
      <c r="A26" s="2"/>
    </row>
    <row r="27" spans="1:6" x14ac:dyDescent="0.25">
      <c r="A27" s="2"/>
    </row>
    <row r="28" spans="1:6" x14ac:dyDescent="0.25">
      <c r="A28" s="2"/>
    </row>
    <row r="29" spans="1:6" x14ac:dyDescent="0.25">
      <c r="A29" s="2"/>
    </row>
    <row r="30" spans="1:6" x14ac:dyDescent="0.25">
      <c r="A30" s="2"/>
    </row>
    <row r="31" spans="1:6" x14ac:dyDescent="0.25">
      <c r="A31" s="2"/>
    </row>
    <row r="32" spans="1:6" x14ac:dyDescent="0.25">
      <c r="A32" s="2"/>
    </row>
    <row r="33" spans="1:2" x14ac:dyDescent="0.25">
      <c r="A33" s="2"/>
    </row>
    <row r="34" spans="1:2" x14ac:dyDescent="0.25">
      <c r="B34" s="3"/>
    </row>
    <row r="35" spans="1:2" x14ac:dyDescent="0.25">
      <c r="A35" s="9"/>
      <c r="B35" s="10"/>
    </row>
    <row r="37" spans="1:2" x14ac:dyDescent="0.25">
      <c r="A37" s="9"/>
      <c r="B37" s="11"/>
    </row>
  </sheetData>
  <mergeCells count="3">
    <mergeCell ref="A3:F3"/>
    <mergeCell ref="A4:F4"/>
    <mergeCell ref="A5:E5"/>
  </mergeCells>
  <printOptions horizontalCentered="1"/>
  <pageMargins left="0.7" right="0.7" top="0.75" bottom="0.7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D11" sqref="D11"/>
    </sheetView>
  </sheetViews>
  <sheetFormatPr defaultRowHeight="15" x14ac:dyDescent="0.25"/>
  <cols>
    <col min="1" max="1" width="10.7109375" style="63" customWidth="1"/>
    <col min="2" max="2" width="11.7109375" style="63" customWidth="1"/>
    <col min="3" max="3" width="19" style="63" customWidth="1"/>
    <col min="4" max="4" width="15" style="63" bestFit="1" customWidth="1"/>
    <col min="5" max="5" width="18.85546875" style="63" bestFit="1" customWidth="1"/>
    <col min="6" max="6" width="2.7109375" style="63" customWidth="1"/>
    <col min="7" max="7" width="12.28515625" style="63" bestFit="1" customWidth="1"/>
    <col min="8" max="8" width="9.140625" style="63"/>
    <col min="9" max="9" width="11.5703125" style="63" bestFit="1" customWidth="1"/>
    <col min="10" max="16384" width="9.140625" style="63"/>
  </cols>
  <sheetData>
    <row r="1" spans="1:4" x14ac:dyDescent="0.25">
      <c r="A1" s="121" t="s">
        <v>74</v>
      </c>
      <c r="B1" s="121"/>
      <c r="C1" s="121"/>
      <c r="D1" s="121"/>
    </row>
    <row r="2" spans="1:4" x14ac:dyDescent="0.25">
      <c r="A2" s="121" t="s">
        <v>75</v>
      </c>
      <c r="B2" s="121"/>
      <c r="C2" s="121"/>
      <c r="D2" s="121"/>
    </row>
    <row r="3" spans="1:4" x14ac:dyDescent="0.25">
      <c r="A3" s="122" t="s">
        <v>132</v>
      </c>
      <c r="B3" s="122"/>
      <c r="C3" s="122"/>
      <c r="D3" s="122"/>
    </row>
    <row r="4" spans="1:4" ht="15.75" thickBot="1" x14ac:dyDescent="0.3">
      <c r="A4" s="64"/>
      <c r="B4" s="65"/>
      <c r="C4" s="65"/>
      <c r="D4" s="65"/>
    </row>
    <row r="5" spans="1:4" ht="15.75" thickBot="1" x14ac:dyDescent="0.3">
      <c r="C5" s="124" t="s">
        <v>92</v>
      </c>
      <c r="D5" s="125"/>
    </row>
    <row r="6" spans="1:4" x14ac:dyDescent="0.25">
      <c r="A6" s="66" t="s">
        <v>47</v>
      </c>
      <c r="B6" s="66"/>
      <c r="C6" s="66" t="s">
        <v>90</v>
      </c>
      <c r="D6" s="66" t="s">
        <v>91</v>
      </c>
    </row>
    <row r="7" spans="1:4" x14ac:dyDescent="0.25">
      <c r="A7" s="67">
        <v>-1</v>
      </c>
      <c r="B7" s="65"/>
      <c r="C7" s="65"/>
      <c r="D7" s="65"/>
    </row>
    <row r="9" spans="1:4" x14ac:dyDescent="0.25">
      <c r="A9" s="65" t="s">
        <v>61</v>
      </c>
      <c r="B9" s="65"/>
      <c r="C9" s="68">
        <v>2260149747</v>
      </c>
      <c r="D9" s="68"/>
    </row>
    <row r="10" spans="1:4" x14ac:dyDescent="0.25">
      <c r="A10" s="65" t="s">
        <v>62</v>
      </c>
      <c r="B10" s="65"/>
      <c r="C10" s="68">
        <v>142560729</v>
      </c>
      <c r="D10" s="68"/>
    </row>
    <row r="11" spans="1:4" x14ac:dyDescent="0.25">
      <c r="A11" s="65" t="s">
        <v>63</v>
      </c>
      <c r="B11" s="65"/>
      <c r="C11" s="68">
        <v>507158704</v>
      </c>
      <c r="D11" s="68">
        <v>2119598</v>
      </c>
    </row>
    <row r="12" spans="1:4" x14ac:dyDescent="0.25">
      <c r="A12" s="65" t="s">
        <v>76</v>
      </c>
      <c r="B12" s="65"/>
      <c r="C12" s="68">
        <v>6484718</v>
      </c>
      <c r="D12" s="68"/>
    </row>
    <row r="13" spans="1:4" x14ac:dyDescent="0.25">
      <c r="A13" s="65" t="s">
        <v>64</v>
      </c>
      <c r="B13" s="65"/>
      <c r="C13" s="68">
        <v>705405060</v>
      </c>
      <c r="D13" s="68">
        <v>2169269</v>
      </c>
    </row>
    <row r="14" spans="1:4" x14ac:dyDescent="0.25">
      <c r="A14" s="65" t="s">
        <v>77</v>
      </c>
      <c r="B14" s="65"/>
      <c r="C14" s="68">
        <v>1959939</v>
      </c>
      <c r="D14" s="68"/>
    </row>
    <row r="15" spans="1:4" x14ac:dyDescent="0.25">
      <c r="A15" s="65" t="s">
        <v>78</v>
      </c>
      <c r="B15" s="65"/>
      <c r="C15" s="68">
        <v>2818677591</v>
      </c>
      <c r="D15" s="68">
        <v>5429712</v>
      </c>
    </row>
    <row r="16" spans="1:4" x14ac:dyDescent="0.25">
      <c r="A16" s="65" t="s">
        <v>67</v>
      </c>
      <c r="B16" s="65"/>
      <c r="C16" s="68">
        <v>3864039</v>
      </c>
      <c r="D16" s="68"/>
    </row>
    <row r="17" spans="1:7" x14ac:dyDescent="0.25">
      <c r="A17" s="65" t="s">
        <v>68</v>
      </c>
      <c r="B17" s="65"/>
      <c r="C17" s="68">
        <v>37640598</v>
      </c>
      <c r="D17" s="68"/>
    </row>
    <row r="18" spans="1:7" x14ac:dyDescent="0.25">
      <c r="A18" s="65" t="s">
        <v>69</v>
      </c>
      <c r="B18" s="65"/>
      <c r="C18" s="68">
        <v>8190082</v>
      </c>
      <c r="D18" s="68"/>
    </row>
    <row r="19" spans="1:7" x14ac:dyDescent="0.25">
      <c r="A19" s="65"/>
      <c r="B19" s="65"/>
      <c r="C19" s="68"/>
      <c r="D19" s="68"/>
    </row>
    <row r="20" spans="1:7" x14ac:dyDescent="0.25">
      <c r="A20" s="65" t="s">
        <v>23</v>
      </c>
      <c r="B20" s="65"/>
      <c r="C20" s="69">
        <f>SUM(C9:C18)</f>
        <v>6492091207</v>
      </c>
      <c r="D20" s="69">
        <f>SUM(D9:D18)</f>
        <v>9718579</v>
      </c>
    </row>
    <row r="23" spans="1:7" x14ac:dyDescent="0.25">
      <c r="A23" s="123" t="s">
        <v>105</v>
      </c>
      <c r="B23" s="123"/>
      <c r="C23" s="123"/>
      <c r="D23" s="123"/>
    </row>
    <row r="24" spans="1:7" x14ac:dyDescent="0.25">
      <c r="A24" s="123" t="s">
        <v>104</v>
      </c>
      <c r="B24" s="123"/>
      <c r="C24" s="123"/>
      <c r="D24" s="123"/>
      <c r="G24" s="111" t="s">
        <v>126</v>
      </c>
    </row>
    <row r="25" spans="1:7" s="102" customFormat="1" ht="12.75" x14ac:dyDescent="0.2">
      <c r="A25" s="92"/>
      <c r="D25" s="95" t="s">
        <v>79</v>
      </c>
      <c r="E25" s="92"/>
      <c r="G25" s="95" t="s">
        <v>79</v>
      </c>
    </row>
    <row r="26" spans="1:7" s="102" customFormat="1" ht="12.75" x14ac:dyDescent="0.2">
      <c r="A26" s="92" t="s">
        <v>80</v>
      </c>
      <c r="D26" s="96">
        <v>8000000</v>
      </c>
      <c r="E26" s="92" t="s">
        <v>81</v>
      </c>
      <c r="G26" s="96">
        <v>8600000</v>
      </c>
    </row>
    <row r="27" spans="1:7" s="102" customFormat="1" ht="12.75" x14ac:dyDescent="0.2">
      <c r="A27" s="92" t="s">
        <v>82</v>
      </c>
      <c r="D27" s="96">
        <v>4100000</v>
      </c>
      <c r="E27" s="92" t="s">
        <v>83</v>
      </c>
      <c r="G27" s="96">
        <v>9049796</v>
      </c>
    </row>
    <row r="28" spans="1:7" s="102" customFormat="1" ht="12.75" x14ac:dyDescent="0.2">
      <c r="A28" s="92" t="s">
        <v>111</v>
      </c>
      <c r="D28" s="96"/>
      <c r="E28" s="92" t="s">
        <v>112</v>
      </c>
      <c r="G28" s="96"/>
    </row>
    <row r="29" spans="1:7" s="102" customFormat="1" ht="12.75" x14ac:dyDescent="0.2">
      <c r="A29" s="92" t="s">
        <v>18</v>
      </c>
      <c r="D29" s="96"/>
      <c r="E29" s="92" t="s">
        <v>113</v>
      </c>
      <c r="G29" s="96"/>
    </row>
    <row r="30" spans="1:7" s="102" customFormat="1" ht="12.75" x14ac:dyDescent="0.2">
      <c r="A30" s="92" t="s">
        <v>14</v>
      </c>
      <c r="D30" s="101"/>
      <c r="E30" s="92" t="s">
        <v>114</v>
      </c>
      <c r="G30" s="101"/>
    </row>
    <row r="31" spans="1:7" s="102" customFormat="1" ht="12.75" x14ac:dyDescent="0.2">
      <c r="A31" s="97" t="s">
        <v>84</v>
      </c>
      <c r="D31" s="96">
        <f>SUM(D26:D30)</f>
        <v>12100000</v>
      </c>
      <c r="E31" s="92" t="s">
        <v>115</v>
      </c>
      <c r="G31" s="96">
        <f>SUM(G26:G30)</f>
        <v>17649796</v>
      </c>
    </row>
    <row r="32" spans="1:7" s="102" customFormat="1" ht="12.75" x14ac:dyDescent="0.2">
      <c r="A32" s="97" t="s">
        <v>85</v>
      </c>
      <c r="D32" s="98">
        <v>1.004977</v>
      </c>
      <c r="E32" s="92" t="s">
        <v>116</v>
      </c>
      <c r="G32" s="98">
        <f>D32</f>
        <v>1.004977</v>
      </c>
    </row>
    <row r="33" spans="1:7" s="102" customFormat="1" ht="12.75" x14ac:dyDescent="0.2">
      <c r="A33" s="97" t="s">
        <v>86</v>
      </c>
      <c r="D33" s="99">
        <f>D31*D32</f>
        <v>12160221.699999999</v>
      </c>
      <c r="E33" s="92" t="s">
        <v>117</v>
      </c>
      <c r="G33" s="99">
        <f>G31*G32</f>
        <v>17737639.034692001</v>
      </c>
    </row>
    <row r="34" spans="1:7" s="102" customFormat="1" ht="12.75" x14ac:dyDescent="0.2">
      <c r="A34" s="103"/>
      <c r="D34" s="104"/>
      <c r="G34" s="104"/>
    </row>
    <row r="35" spans="1:7" s="102" customFormat="1" ht="12.75" x14ac:dyDescent="0.2">
      <c r="A35" s="105" t="s">
        <v>97</v>
      </c>
      <c r="D35" s="106">
        <v>50000000</v>
      </c>
      <c r="E35" s="92" t="s">
        <v>118</v>
      </c>
      <c r="G35" s="106">
        <v>0</v>
      </c>
    </row>
    <row r="36" spans="1:7" s="102" customFormat="1" ht="12.75" x14ac:dyDescent="0.2">
      <c r="A36" s="105" t="s">
        <v>98</v>
      </c>
      <c r="D36" s="107">
        <v>0.10128</v>
      </c>
      <c r="E36" s="92" t="s">
        <v>119</v>
      </c>
      <c r="G36" s="107">
        <f>D36</f>
        <v>0.10128</v>
      </c>
    </row>
    <row r="37" spans="1:7" s="102" customFormat="1" ht="12.75" x14ac:dyDescent="0.2">
      <c r="A37" s="100" t="s">
        <v>103</v>
      </c>
      <c r="D37" s="96">
        <f>D36*D35</f>
        <v>5064000</v>
      </c>
      <c r="E37" s="92" t="s">
        <v>120</v>
      </c>
      <c r="G37" s="96">
        <f>G36*G35</f>
        <v>0</v>
      </c>
    </row>
    <row r="38" spans="1:7" s="102" customFormat="1" ht="12.75" x14ac:dyDescent="0.2">
      <c r="A38" s="103"/>
      <c r="D38" s="104"/>
      <c r="G38" s="104"/>
    </row>
    <row r="39" spans="1:7" s="102" customFormat="1" ht="12.75" x14ac:dyDescent="0.2">
      <c r="A39" s="97" t="s">
        <v>87</v>
      </c>
      <c r="D39" s="96">
        <f>(D26+D28+D29)*D32+D37</f>
        <v>13103816</v>
      </c>
      <c r="E39" s="93" t="s">
        <v>121</v>
      </c>
      <c r="G39" s="96">
        <f>(G26+G28+G29)*G32+G37</f>
        <v>8642802.1999999993</v>
      </c>
    </row>
    <row r="40" spans="1:7" s="102" customFormat="1" ht="12.75" x14ac:dyDescent="0.2">
      <c r="A40" s="97" t="s">
        <v>108</v>
      </c>
      <c r="D40" s="101">
        <f>(D27+D30)*D32</f>
        <v>4120405.7</v>
      </c>
      <c r="E40" s="93" t="s">
        <v>122</v>
      </c>
      <c r="G40" s="101">
        <f>(G27+G30)*G32</f>
        <v>9094836.8346919995</v>
      </c>
    </row>
    <row r="41" spans="1:7" s="102" customFormat="1" ht="12.75" x14ac:dyDescent="0.2">
      <c r="A41" s="100" t="s">
        <v>23</v>
      </c>
      <c r="D41" s="96">
        <f>SUM(D39:D40)</f>
        <v>17224221.699999999</v>
      </c>
      <c r="E41" s="92"/>
      <c r="G41" s="96">
        <f>SUM(G39:G40)</f>
        <v>17737639.034691997</v>
      </c>
    </row>
    <row r="42" spans="1:7" s="102" customFormat="1" ht="12.75" x14ac:dyDescent="0.2"/>
    <row r="43" spans="1:7" s="102" customFormat="1" ht="12.75" x14ac:dyDescent="0.2"/>
    <row r="44" spans="1:7" s="102" customFormat="1" ht="12.75" x14ac:dyDescent="0.2"/>
    <row r="45" spans="1:7" s="102" customFormat="1" ht="12.75" x14ac:dyDescent="0.2"/>
    <row r="46" spans="1:7" s="102" customFormat="1" ht="12.75" x14ac:dyDescent="0.2">
      <c r="A46" s="120" t="s">
        <v>89</v>
      </c>
      <c r="B46" s="120"/>
      <c r="C46" s="120"/>
      <c r="D46" s="120"/>
    </row>
    <row r="47" spans="1:7" s="102" customFormat="1" ht="12.75" x14ac:dyDescent="0.2">
      <c r="A47" s="92" t="s">
        <v>87</v>
      </c>
      <c r="C47" s="104">
        <f>D39/D41*C49</f>
        <v>-385014.71138648939</v>
      </c>
      <c r="D47" s="108">
        <f>ROUND(D39+C47,4)</f>
        <v>12718801.2886</v>
      </c>
    </row>
    <row r="48" spans="1:7" s="102" customFormat="1" x14ac:dyDescent="0.35">
      <c r="A48" s="97" t="s">
        <v>88</v>
      </c>
      <c r="C48" s="109">
        <f>D40/D41*C49</f>
        <v>-121065.25392151004</v>
      </c>
      <c r="D48" s="110">
        <f>ROUND(D40+C48,4)</f>
        <v>3999340.4460999998</v>
      </c>
    </row>
    <row r="49" spans="1:4" s="102" customFormat="1" ht="12.75" x14ac:dyDescent="0.2">
      <c r="A49" s="100" t="s">
        <v>23</v>
      </c>
      <c r="C49" s="104">
        <f>'BS1 Form 1.0'!G19</f>
        <v>-506079.9653079994</v>
      </c>
      <c r="D49" s="108">
        <f>SUM(D47:D48)</f>
        <v>16718141.7347</v>
      </c>
    </row>
  </sheetData>
  <mergeCells count="7">
    <mergeCell ref="A46:D46"/>
    <mergeCell ref="A1:D1"/>
    <mergeCell ref="A2:D2"/>
    <mergeCell ref="A3:D3"/>
    <mergeCell ref="A23:D23"/>
    <mergeCell ref="A24:D24"/>
    <mergeCell ref="C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BS1 Form 1.0</vt:lpstr>
      <vt:lpstr>BS1 Form 2.0</vt:lpstr>
      <vt:lpstr>BS1 Form 3.0</vt:lpstr>
      <vt:lpstr>BS1 Form 4.0</vt:lpstr>
      <vt:lpstr>BS1 Form 5.0</vt:lpstr>
      <vt:lpstr>Input Sheet</vt:lpstr>
      <vt:lpstr>'BS1 Form 2.0'!Print_Area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Alex Vaughan</cp:lastModifiedBy>
  <cp:lastPrinted>2015-04-20T12:50:11Z</cp:lastPrinted>
  <dcterms:created xsi:type="dcterms:W3CDTF">2015-03-17T12:16:01Z</dcterms:created>
  <dcterms:modified xsi:type="dcterms:W3CDTF">2015-05-13T18:33:10Z</dcterms:modified>
</cp:coreProperties>
</file>