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5820" windowWidth="19236" windowHeight="5880" tabRatio="743"/>
  </bookViews>
  <sheets>
    <sheet name="Settle Exh 1" sheetId="41" r:id="rId1"/>
    <sheet name="RS" sheetId="4" r:id="rId2"/>
    <sheet name="RSLMTOD" sheetId="5" r:id="rId3"/>
    <sheet name="RSTOD" sheetId="28" r:id="rId4"/>
    <sheet name="SGS" sheetId="1" r:id="rId5"/>
    <sheet name="SGSLMTOD" sheetId="3" r:id="rId6"/>
    <sheet name="SGSEXPTOD" sheetId="32" r:id="rId7"/>
    <sheet name="SGS-NM" sheetId="6" r:id="rId8"/>
    <sheet name="MGS RL" sheetId="18" r:id="rId9"/>
    <sheet name="MGS-SEC" sheetId="25" r:id="rId10"/>
    <sheet name="MGSLMTOD" sheetId="16" r:id="rId11"/>
    <sheet name="MGSTOD" sheetId="15" r:id="rId12"/>
    <sheet name="MGS-PRI" sheetId="14" r:id="rId13"/>
    <sheet name="MGS-SUB" sheetId="13" r:id="rId14"/>
    <sheet name="School Sec" sheetId="38" r:id="rId15"/>
    <sheet name="School Pri" sheetId="39" r:id="rId16"/>
    <sheet name="LGS-SEC" sheetId="12" r:id="rId17"/>
    <sheet name="LGSLMTOD" sheetId="11" r:id="rId18"/>
    <sheet name="LGS-PRI" sheetId="10" r:id="rId19"/>
    <sheet name="LGS-SUB" sheetId="9" r:id="rId20"/>
    <sheet name="LGS-TRAN" sheetId="31" r:id="rId21"/>
    <sheet name="QP-SEC" sheetId="27" r:id="rId22"/>
    <sheet name="QP-PRI" sheetId="8" r:id="rId23"/>
    <sheet name="QP-SUB" sheetId="24" r:id="rId24"/>
    <sheet name="QP-TRAN" sheetId="23" r:id="rId25"/>
    <sheet name="CIPTOD-SUB" sheetId="22" r:id="rId26"/>
    <sheet name="CIPTOD-TRAN" sheetId="21" r:id="rId27"/>
    <sheet name="MW" sheetId="19" r:id="rId28"/>
    <sheet name="OL" sheetId="2" r:id="rId29"/>
    <sheet name="SL" sheetId="20" r:id="rId30"/>
    <sheet name="SUMMARY" sheetId="7" r:id="rId31"/>
    <sheet name="ATR" sheetId="34" r:id="rId32"/>
  </sheets>
  <calcPr calcId="145621"/>
</workbook>
</file>

<file path=xl/calcChain.xml><?xml version="1.0" encoding="utf-8"?>
<calcChain xmlns="http://schemas.openxmlformats.org/spreadsheetml/2006/main">
  <c r="E24" i="41" l="1"/>
  <c r="D24" i="41" s="1"/>
  <c r="E22" i="41"/>
  <c r="E20" i="41"/>
  <c r="E18" i="41"/>
  <c r="E16" i="41"/>
  <c r="E14" i="41"/>
  <c r="E10" i="41"/>
  <c r="D8" i="41"/>
  <c r="E8" i="41"/>
  <c r="G40" i="7" l="1"/>
  <c r="G38" i="7"/>
  <c r="B14" i="41" l="1"/>
  <c r="F20" i="38" l="1"/>
  <c r="F18" i="38"/>
  <c r="F16" i="38"/>
  <c r="F32" i="38"/>
  <c r="F30" i="38"/>
  <c r="F20" i="39"/>
  <c r="F18" i="39"/>
  <c r="F16" i="39"/>
  <c r="D26" i="39"/>
  <c r="B22" i="10"/>
  <c r="B20" i="10"/>
  <c r="B18" i="10"/>
  <c r="B16" i="10"/>
  <c r="B13" i="10"/>
  <c r="B12" i="10"/>
  <c r="D26" i="38"/>
  <c r="B22" i="12"/>
  <c r="B20" i="12"/>
  <c r="B18" i="12"/>
  <c r="B16" i="12"/>
  <c r="B13" i="12"/>
  <c r="B12" i="12"/>
  <c r="F42" i="39"/>
  <c r="F36" i="39"/>
  <c r="A36" i="39"/>
  <c r="F34" i="39"/>
  <c r="A34" i="39"/>
  <c r="F32" i="39"/>
  <c r="A32" i="39"/>
  <c r="F30" i="39"/>
  <c r="A30" i="39"/>
  <c r="F28" i="39"/>
  <c r="E28" i="39"/>
  <c r="A28" i="39"/>
  <c r="A26" i="39"/>
  <c r="C24" i="39"/>
  <c r="D24" i="39" s="1"/>
  <c r="A24" i="39"/>
  <c r="E22" i="39"/>
  <c r="G20" i="39"/>
  <c r="E20" i="39"/>
  <c r="D20" i="39"/>
  <c r="E18" i="39"/>
  <c r="D18" i="39"/>
  <c r="E16" i="39"/>
  <c r="D16" i="39"/>
  <c r="B14" i="39"/>
  <c r="E14" i="39" s="1"/>
  <c r="E13" i="39"/>
  <c r="E12" i="39"/>
  <c r="G12" i="39" s="1"/>
  <c r="D12" i="39"/>
  <c r="G10" i="39"/>
  <c r="F10" i="39"/>
  <c r="E10" i="39"/>
  <c r="D10" i="39"/>
  <c r="C10" i="39"/>
  <c r="B10" i="39"/>
  <c r="G9" i="39"/>
  <c r="F9" i="39"/>
  <c r="E9" i="39"/>
  <c r="D9" i="39"/>
  <c r="C9" i="39"/>
  <c r="B9" i="39"/>
  <c r="E8" i="39"/>
  <c r="B8" i="39"/>
  <c r="A3" i="39"/>
  <c r="A2" i="39"/>
  <c r="A1" i="39"/>
  <c r="F42" i="38"/>
  <c r="F36" i="38"/>
  <c r="F34" i="38"/>
  <c r="A32" i="38"/>
  <c r="A30" i="38"/>
  <c r="F28" i="38"/>
  <c r="A28" i="38"/>
  <c r="A26" i="38"/>
  <c r="C24" i="38"/>
  <c r="A24" i="38"/>
  <c r="E22" i="38"/>
  <c r="E20" i="38"/>
  <c r="D20" i="38"/>
  <c r="E18" i="38"/>
  <c r="G18" i="38" s="1"/>
  <c r="D18" i="38"/>
  <c r="E16" i="38"/>
  <c r="G32" i="38" s="1"/>
  <c r="D16" i="38"/>
  <c r="B14" i="38"/>
  <c r="E13" i="38"/>
  <c r="E12" i="38"/>
  <c r="G12" i="38" s="1"/>
  <c r="D12" i="38"/>
  <c r="G10" i="38"/>
  <c r="F10" i="38"/>
  <c r="E10" i="38"/>
  <c r="D10" i="38"/>
  <c r="C10" i="38"/>
  <c r="B10" i="38"/>
  <c r="G9" i="38"/>
  <c r="F9" i="38"/>
  <c r="E9" i="38"/>
  <c r="D9" i="38"/>
  <c r="C9" i="38"/>
  <c r="B9" i="38"/>
  <c r="E8" i="38"/>
  <c r="B8" i="38"/>
  <c r="A3" i="38"/>
  <c r="A2" i="38"/>
  <c r="A1" i="38"/>
  <c r="G28" i="39" l="1"/>
  <c r="D26" i="10"/>
  <c r="D24" i="38"/>
  <c r="D26" i="12"/>
  <c r="G20" i="38"/>
  <c r="G18" i="39"/>
  <c r="G16" i="39"/>
  <c r="D38" i="38"/>
  <c r="B38" i="7" s="1"/>
  <c r="C14" i="41" s="1"/>
  <c r="G32" i="39"/>
  <c r="D38" i="39"/>
  <c r="B40" i="7" s="1"/>
  <c r="E28" i="38"/>
  <c r="G28" i="38" s="1"/>
  <c r="G42" i="39"/>
  <c r="G30" i="39"/>
  <c r="G16" i="38"/>
  <c r="E14" i="38"/>
  <c r="F24" i="21"/>
  <c r="F22" i="21"/>
  <c r="F18" i="21"/>
  <c r="F17" i="21"/>
  <c r="F12" i="21"/>
  <c r="F24" i="22"/>
  <c r="F22" i="22"/>
  <c r="F18" i="22"/>
  <c r="F17" i="22"/>
  <c r="F12" i="22"/>
  <c r="F14" i="6"/>
  <c r="F13" i="6"/>
  <c r="G42" i="38" l="1"/>
  <c r="G30" i="38"/>
  <c r="G66" i="7" l="1"/>
  <c r="G64" i="7"/>
  <c r="G62" i="7"/>
  <c r="G60" i="7"/>
  <c r="G58" i="7"/>
  <c r="G56" i="7"/>
  <c r="G54" i="7"/>
  <c r="G52" i="7"/>
  <c r="G50" i="7"/>
  <c r="G48" i="7"/>
  <c r="G46" i="7"/>
  <c r="G44" i="7"/>
  <c r="G42" i="7"/>
  <c r="G36" i="7"/>
  <c r="G34" i="7"/>
  <c r="G32" i="7"/>
  <c r="G30" i="7"/>
  <c r="G28" i="7"/>
  <c r="G26" i="7"/>
  <c r="G24" i="7"/>
  <c r="G22" i="7"/>
  <c r="G20" i="7"/>
  <c r="G18" i="7"/>
  <c r="G14" i="7"/>
  <c r="G12" i="7"/>
  <c r="G10" i="7"/>
  <c r="B16" i="41" l="1"/>
  <c r="B24" i="41"/>
  <c r="B18" i="41"/>
  <c r="B8" i="41"/>
  <c r="B22" i="41"/>
  <c r="B10" i="41"/>
  <c r="B12" i="41"/>
  <c r="B26" i="41" l="1"/>
  <c r="F47" i="20"/>
  <c r="F45" i="20"/>
  <c r="F66" i="2"/>
  <c r="F64" i="2"/>
  <c r="F33" i="19"/>
  <c r="F31" i="19"/>
  <c r="F40" i="21"/>
  <c r="F38" i="21"/>
  <c r="F40" i="22"/>
  <c r="F38" i="22"/>
  <c r="F39" i="23"/>
  <c r="F37" i="23"/>
  <c r="F39" i="24"/>
  <c r="F37" i="24"/>
  <c r="F42" i="8"/>
  <c r="F40" i="8"/>
  <c r="F39" i="27"/>
  <c r="F37" i="27"/>
  <c r="F36" i="31"/>
  <c r="F34" i="31"/>
  <c r="F36" i="9"/>
  <c r="F34" i="9"/>
  <c r="F36" i="10"/>
  <c r="F34" i="10"/>
  <c r="F34" i="11"/>
  <c r="F32" i="11"/>
  <c r="F36" i="12"/>
  <c r="F34" i="12"/>
  <c r="F38" i="13"/>
  <c r="F36" i="13"/>
  <c r="F39" i="14"/>
  <c r="F37" i="14"/>
  <c r="F32" i="15"/>
  <c r="F30" i="15"/>
  <c r="F32" i="16"/>
  <c r="F30" i="16"/>
  <c r="F38" i="25"/>
  <c r="F36" i="25"/>
  <c r="F30" i="18"/>
  <c r="F28" i="18"/>
  <c r="F32" i="6"/>
  <c r="F30" i="6"/>
  <c r="F33" i="32"/>
  <c r="F31" i="32"/>
  <c r="F32" i="3"/>
  <c r="F30" i="3"/>
  <c r="F35" i="28"/>
  <c r="F33" i="28"/>
  <c r="F38" i="5"/>
  <c r="F36" i="5"/>
  <c r="G45" i="14"/>
  <c r="G44" i="13"/>
  <c r="G42" i="9"/>
  <c r="G48" i="8"/>
  <c r="G45" i="24"/>
  <c r="G46" i="21"/>
  <c r="G39" i="19"/>
  <c r="F53" i="20"/>
  <c r="G53" i="20" s="1"/>
  <c r="F72" i="2"/>
  <c r="G72" i="2" s="1"/>
  <c r="F39" i="19"/>
  <c r="F46" i="21"/>
  <c r="F46" i="22"/>
  <c r="G46" i="22" s="1"/>
  <c r="F45" i="23"/>
  <c r="G45" i="23" s="1"/>
  <c r="F45" i="24"/>
  <c r="F48" i="8"/>
  <c r="F45" i="27"/>
  <c r="G45" i="27" s="1"/>
  <c r="F42" i="31"/>
  <c r="G42" i="31" s="1"/>
  <c r="F42" i="9"/>
  <c r="F42" i="10"/>
  <c r="F40" i="11"/>
  <c r="G40" i="11" s="1"/>
  <c r="F42" i="12"/>
  <c r="F44" i="13"/>
  <c r="F45" i="14"/>
  <c r="F38" i="15"/>
  <c r="G38" i="15" s="1"/>
  <c r="F38" i="16"/>
  <c r="G38" i="16" s="1"/>
  <c r="F44" i="25"/>
  <c r="G44" i="25" s="1"/>
  <c r="F36" i="18"/>
  <c r="G36" i="18" s="1"/>
  <c r="F38" i="6"/>
  <c r="G38" i="6" s="1"/>
  <c r="F39" i="32"/>
  <c r="G39" i="32" s="1"/>
  <c r="F38" i="3"/>
  <c r="G38" i="3" s="1"/>
  <c r="G38" i="1"/>
  <c r="G36" i="21"/>
  <c r="G36" i="22"/>
  <c r="G34" i="13"/>
  <c r="G35" i="14"/>
  <c r="G34" i="25"/>
  <c r="G22" i="5" l="1"/>
  <c r="E22" i="5"/>
  <c r="F22" i="5"/>
  <c r="F26" i="4" l="1"/>
  <c r="F22" i="15" s="1"/>
  <c r="F20" i="4"/>
  <c r="G19" i="28"/>
  <c r="E19" i="28"/>
  <c r="F19" i="28"/>
  <c r="G26" i="5"/>
  <c r="G24" i="4"/>
  <c r="G19" i="23"/>
  <c r="G19" i="24"/>
  <c r="G19" i="8"/>
  <c r="G19" i="27"/>
  <c r="G20" i="5"/>
  <c r="F22" i="3" l="1"/>
  <c r="F22" i="1"/>
  <c r="F20" i="18"/>
  <c r="F22" i="16"/>
  <c r="F23" i="32"/>
  <c r="F24" i="39"/>
  <c r="G24" i="39" s="1"/>
  <c r="F24" i="38"/>
  <c r="G24" i="38" s="1"/>
  <c r="F22" i="6"/>
  <c r="G43" i="20"/>
  <c r="A45" i="20"/>
  <c r="A43" i="20"/>
  <c r="G29" i="19"/>
  <c r="A31" i="19"/>
  <c r="A29" i="19"/>
  <c r="G34" i="21"/>
  <c r="F36" i="21"/>
  <c r="F34" i="21"/>
  <c r="A36" i="21"/>
  <c r="A34" i="21"/>
  <c r="A40" i="21"/>
  <c r="A38" i="21"/>
  <c r="F36" i="22"/>
  <c r="F34" i="22"/>
  <c r="A36" i="22"/>
  <c r="A38" i="22"/>
  <c r="F35" i="23"/>
  <c r="G35" i="23" s="1"/>
  <c r="F33" i="23"/>
  <c r="G33" i="23" s="1"/>
  <c r="A35" i="23"/>
  <c r="A33" i="23"/>
  <c r="A39" i="23"/>
  <c r="A37" i="23"/>
  <c r="F35" i="24"/>
  <c r="G35" i="24" s="1"/>
  <c r="F33" i="24"/>
  <c r="G33" i="24" s="1"/>
  <c r="A33" i="24"/>
  <c r="A39" i="24"/>
  <c r="A37" i="24"/>
  <c r="F38" i="8"/>
  <c r="G38" i="8" s="1"/>
  <c r="F36" i="8"/>
  <c r="G36" i="8" s="1"/>
  <c r="A38" i="8"/>
  <c r="A42" i="8"/>
  <c r="A40" i="8"/>
  <c r="G35" i="27"/>
  <c r="G33" i="27"/>
  <c r="A35" i="27"/>
  <c r="A35" i="24" s="1"/>
  <c r="A33" i="27"/>
  <c r="A34" i="22" s="1"/>
  <c r="A39" i="27"/>
  <c r="A37" i="27"/>
  <c r="G28" i="1"/>
  <c r="G30" i="31"/>
  <c r="F32" i="31"/>
  <c r="G32" i="31" s="1"/>
  <c r="F30" i="31"/>
  <c r="A32" i="31"/>
  <c r="A30" i="31"/>
  <c r="G30" i="9"/>
  <c r="F32" i="9"/>
  <c r="G32" i="9" s="1"/>
  <c r="F30" i="9"/>
  <c r="A32" i="9"/>
  <c r="A30" i="9"/>
  <c r="F32" i="10"/>
  <c r="F30" i="10"/>
  <c r="A32" i="10"/>
  <c r="A30" i="10"/>
  <c r="A34" i="10"/>
  <c r="A36" i="10"/>
  <c r="A32" i="12"/>
  <c r="A30" i="12"/>
  <c r="G30" i="11"/>
  <c r="A32" i="11"/>
  <c r="A30" i="11"/>
  <c r="G32" i="13"/>
  <c r="F34" i="13"/>
  <c r="F32" i="13"/>
  <c r="A34" i="13"/>
  <c r="A32" i="13"/>
  <c r="F35" i="14"/>
  <c r="F33" i="14"/>
  <c r="G33" i="14" s="1"/>
  <c r="A35" i="14"/>
  <c r="A33" i="14"/>
  <c r="A39" i="14"/>
  <c r="F28" i="15"/>
  <c r="G28" i="15" s="1"/>
  <c r="A30" i="15"/>
  <c r="A28" i="15"/>
  <c r="F28" i="16"/>
  <c r="G28" i="16" s="1"/>
  <c r="A30" i="16"/>
  <c r="A28" i="16"/>
  <c r="G32" i="25"/>
  <c r="A36" i="25"/>
  <c r="A34" i="38" s="1"/>
  <c r="G26" i="18"/>
  <c r="A28" i="18"/>
  <c r="A26" i="18"/>
  <c r="F29" i="32"/>
  <c r="G29" i="32" s="1"/>
  <c r="A31" i="32"/>
  <c r="A29" i="32"/>
  <c r="F28" i="6"/>
  <c r="G28" i="6" s="1"/>
  <c r="F28" i="3"/>
  <c r="G28" i="3" s="1"/>
  <c r="A30" i="6"/>
  <c r="A28" i="6"/>
  <c r="A30" i="3"/>
  <c r="A28" i="3"/>
  <c r="A30" i="1"/>
  <c r="A28" i="1"/>
  <c r="G62" i="2"/>
  <c r="A64" i="2"/>
  <c r="A62" i="2"/>
  <c r="F31" i="28"/>
  <c r="A33" i="28"/>
  <c r="A31" i="28"/>
  <c r="F34" i="5"/>
  <c r="E34" i="5"/>
  <c r="A36" i="5"/>
  <c r="A34" i="5"/>
  <c r="A34" i="12" l="1"/>
  <c r="A34" i="31" s="1"/>
  <c r="A37" i="14"/>
  <c r="E34" i="38"/>
  <c r="G34" i="5"/>
  <c r="A36" i="13"/>
  <c r="A34" i="9"/>
  <c r="E34" i="39"/>
  <c r="A36" i="8"/>
  <c r="F41" i="20"/>
  <c r="A41" i="20"/>
  <c r="B35" i="20"/>
  <c r="E35" i="20" s="1"/>
  <c r="E41" i="20" s="1"/>
  <c r="F27" i="19"/>
  <c r="A27" i="19"/>
  <c r="F32" i="21"/>
  <c r="A32" i="21"/>
  <c r="F32" i="22"/>
  <c r="A32" i="22"/>
  <c r="F31" i="23"/>
  <c r="A31" i="23"/>
  <c r="F31" i="24"/>
  <c r="A31" i="24"/>
  <c r="F34" i="8"/>
  <c r="A34" i="8"/>
  <c r="F31" i="27"/>
  <c r="A31" i="27"/>
  <c r="F28" i="31"/>
  <c r="A28" i="31"/>
  <c r="F28" i="9"/>
  <c r="A28" i="9"/>
  <c r="F28" i="10"/>
  <c r="A28" i="10"/>
  <c r="F28" i="11"/>
  <c r="A28" i="11"/>
  <c r="F28" i="12"/>
  <c r="A28" i="12"/>
  <c r="F30" i="13"/>
  <c r="A30" i="13"/>
  <c r="F31" i="14"/>
  <c r="A31" i="14"/>
  <c r="F26" i="15"/>
  <c r="A26" i="15"/>
  <c r="F26" i="16"/>
  <c r="A26" i="16"/>
  <c r="F30" i="25"/>
  <c r="A30" i="25"/>
  <c r="F24" i="18"/>
  <c r="A24" i="18"/>
  <c r="F27" i="32"/>
  <c r="A27" i="32"/>
  <c r="F26" i="6"/>
  <c r="A26" i="6"/>
  <c r="F26" i="3"/>
  <c r="A26" i="3"/>
  <c r="F26" i="1"/>
  <c r="A26" i="1"/>
  <c r="F29" i="28"/>
  <c r="A29" i="28"/>
  <c r="F32" i="5"/>
  <c r="A32" i="5"/>
  <c r="E36" i="39" l="1"/>
  <c r="G36" i="39" s="1"/>
  <c r="G34" i="39"/>
  <c r="G34" i="38"/>
  <c r="E36" i="38"/>
  <c r="G36" i="38" s="1"/>
  <c r="G41" i="20"/>
  <c r="D39" i="20"/>
  <c r="D60" i="2"/>
  <c r="D25" i="19"/>
  <c r="D30" i="21"/>
  <c r="D30" i="22"/>
  <c r="D29" i="23"/>
  <c r="D29" i="24"/>
  <c r="D32" i="8"/>
  <c r="D29" i="27"/>
  <c r="D26" i="31"/>
  <c r="D26" i="9"/>
  <c r="D26" i="11"/>
  <c r="D28" i="13"/>
  <c r="D29" i="14"/>
  <c r="D24" i="15"/>
  <c r="D24" i="16"/>
  <c r="D28" i="25"/>
  <c r="D22" i="18"/>
  <c r="D25" i="32"/>
  <c r="D24" i="6"/>
  <c r="D24" i="3"/>
  <c r="D24" i="1"/>
  <c r="D27" i="28"/>
  <c r="D30" i="5"/>
  <c r="D28" i="4"/>
  <c r="B39" i="34"/>
  <c r="A40" i="22"/>
  <c r="A29" i="23"/>
  <c r="A29" i="24"/>
  <c r="G24" i="8"/>
  <c r="A32" i="8"/>
  <c r="A29" i="27"/>
  <c r="A26" i="31"/>
  <c r="A26" i="9"/>
  <c r="A26" i="10"/>
  <c r="A26" i="12"/>
  <c r="A29" i="14"/>
  <c r="G38" i="38" l="1"/>
  <c r="C38" i="7" s="1"/>
  <c r="G38" i="39"/>
  <c r="C40" i="7" s="1"/>
  <c r="D40" i="7" s="1"/>
  <c r="E40" i="7" s="1"/>
  <c r="A25" i="19"/>
  <c r="A30" i="21"/>
  <c r="A30" i="22"/>
  <c r="A26" i="11"/>
  <c r="A28" i="13"/>
  <c r="A24" i="15"/>
  <c r="A24" i="16"/>
  <c r="A28" i="25"/>
  <c r="A22" i="18"/>
  <c r="A27" i="28"/>
  <c r="F14" i="41" l="1"/>
  <c r="D14" i="41" s="1"/>
  <c r="D38" i="7"/>
  <c r="E38" i="7" s="1"/>
  <c r="A25" i="32"/>
  <c r="A24" i="3"/>
  <c r="A24" i="6"/>
  <c r="A24" i="1"/>
  <c r="A39" i="20"/>
  <c r="A60" i="2"/>
  <c r="A30" i="5"/>
  <c r="G14" i="41" l="1"/>
  <c r="J14" i="41" s="1"/>
  <c r="B43" i="34"/>
  <c r="B26" i="34"/>
  <c r="B18" i="34"/>
  <c r="B10" i="34"/>
  <c r="E34" i="2"/>
  <c r="G34" i="2" s="1"/>
  <c r="E35" i="2"/>
  <c r="E33" i="2"/>
  <c r="D17" i="2"/>
  <c r="C18" i="28"/>
  <c r="E49" i="2"/>
  <c r="G49" i="2"/>
  <c r="D49" i="2"/>
  <c r="E48" i="2"/>
  <c r="G48" i="2"/>
  <c r="D48" i="2"/>
  <c r="G35" i="2"/>
  <c r="D35" i="2"/>
  <c r="D34" i="2"/>
  <c r="G33" i="2"/>
  <c r="D33" i="2"/>
  <c r="E17" i="2"/>
  <c r="G17" i="2"/>
  <c r="A33" i="32"/>
  <c r="A23" i="32"/>
  <c r="G10" i="32"/>
  <c r="F10" i="32"/>
  <c r="E10" i="32"/>
  <c r="D10" i="32"/>
  <c r="C10" i="32"/>
  <c r="B10" i="32"/>
  <c r="G9" i="32"/>
  <c r="F9" i="32"/>
  <c r="E9" i="32"/>
  <c r="D9" i="32"/>
  <c r="C9" i="32"/>
  <c r="B9" i="32"/>
  <c r="E8" i="32"/>
  <c r="B8" i="32"/>
  <c r="A3" i="32"/>
  <c r="A2" i="32"/>
  <c r="A1" i="32"/>
  <c r="A24" i="31"/>
  <c r="G10" i="31"/>
  <c r="F10" i="31"/>
  <c r="E10" i="31"/>
  <c r="D10" i="31"/>
  <c r="C10" i="31"/>
  <c r="B10" i="31"/>
  <c r="G9" i="31"/>
  <c r="F9" i="31"/>
  <c r="E9" i="31"/>
  <c r="D9" i="31"/>
  <c r="C9" i="31"/>
  <c r="B9" i="31"/>
  <c r="E8" i="31"/>
  <c r="B8" i="31"/>
  <c r="A3" i="31"/>
  <c r="A2" i="31"/>
  <c r="A1" i="31"/>
  <c r="C14" i="15"/>
  <c r="C13" i="15"/>
  <c r="C14" i="5"/>
  <c r="E33" i="20"/>
  <c r="E14" i="20"/>
  <c r="G14" i="20" s="1"/>
  <c r="E15" i="20"/>
  <c r="G15" i="20" s="1"/>
  <c r="E16" i="20"/>
  <c r="G16" i="20" s="1"/>
  <c r="E17" i="20"/>
  <c r="G17" i="20" s="1"/>
  <c r="E21" i="20"/>
  <c r="G21" i="20" s="1"/>
  <c r="E22" i="20"/>
  <c r="G22" i="20" s="1"/>
  <c r="E23" i="20"/>
  <c r="G23" i="20" s="1"/>
  <c r="E24" i="20"/>
  <c r="G24" i="20" s="1"/>
  <c r="E28" i="20"/>
  <c r="G28" i="20" s="1"/>
  <c r="E29" i="20"/>
  <c r="G29" i="20"/>
  <c r="E30" i="20"/>
  <c r="G30" i="20" s="1"/>
  <c r="E31" i="20"/>
  <c r="G31" i="20"/>
  <c r="E20" i="8"/>
  <c r="G20" i="8"/>
  <c r="F13" i="15"/>
  <c r="F14" i="15"/>
  <c r="E51" i="2"/>
  <c r="E14" i="2"/>
  <c r="G14" i="2" s="1"/>
  <c r="E15" i="2"/>
  <c r="G15" i="2" s="1"/>
  <c r="E16" i="2"/>
  <c r="G16" i="2" s="1"/>
  <c r="E18" i="2"/>
  <c r="G18" i="2" s="1"/>
  <c r="E21" i="2"/>
  <c r="G21" i="2" s="1"/>
  <c r="E22" i="2"/>
  <c r="G22" i="2" s="1"/>
  <c r="E26" i="2"/>
  <c r="G26" i="2" s="1"/>
  <c r="E27" i="2"/>
  <c r="G27" i="2"/>
  <c r="E30" i="2"/>
  <c r="G30" i="2"/>
  <c r="E39" i="2"/>
  <c r="G39" i="2" s="1"/>
  <c r="E40" i="2"/>
  <c r="G40" i="2" s="1"/>
  <c r="E43" i="2"/>
  <c r="G43" i="2" s="1"/>
  <c r="E44" i="2"/>
  <c r="G44" i="2" s="1"/>
  <c r="E45" i="2"/>
  <c r="G45" i="2" s="1"/>
  <c r="E54" i="2"/>
  <c r="G54" i="2" s="1"/>
  <c r="E55" i="2"/>
  <c r="G55" i="2" s="1"/>
  <c r="E56" i="2"/>
  <c r="G56" i="2" s="1"/>
  <c r="F14" i="28"/>
  <c r="F13" i="28"/>
  <c r="F18" i="28"/>
  <c r="E18" i="5"/>
  <c r="G18" i="5" s="1"/>
  <c r="D18" i="5"/>
  <c r="C13" i="28"/>
  <c r="D14" i="2"/>
  <c r="D15" i="2"/>
  <c r="D16" i="2"/>
  <c r="D18" i="2"/>
  <c r="D21" i="2"/>
  <c r="D22" i="2"/>
  <c r="D26" i="2"/>
  <c r="D27" i="2"/>
  <c r="D30" i="2"/>
  <c r="D39" i="2"/>
  <c r="D40" i="2"/>
  <c r="D43" i="2"/>
  <c r="D44" i="2"/>
  <c r="D45" i="2"/>
  <c r="D54" i="2"/>
  <c r="D55" i="2"/>
  <c r="D56" i="2"/>
  <c r="C13" i="6"/>
  <c r="C14" i="6"/>
  <c r="D20" i="8"/>
  <c r="D14" i="20"/>
  <c r="D15" i="20"/>
  <c r="D16" i="20"/>
  <c r="D17" i="20"/>
  <c r="D21" i="20"/>
  <c r="D22" i="20"/>
  <c r="D23" i="20"/>
  <c r="D24" i="20"/>
  <c r="D28" i="20"/>
  <c r="D29" i="20"/>
  <c r="D30" i="20"/>
  <c r="D31" i="20"/>
  <c r="A24" i="9"/>
  <c r="A1" i="28"/>
  <c r="A2" i="28"/>
  <c r="A3" i="28"/>
  <c r="B8" i="28"/>
  <c r="E8" i="28"/>
  <c r="B9" i="28"/>
  <c r="C9" i="28"/>
  <c r="D9" i="28"/>
  <c r="E9" i="28"/>
  <c r="F9" i="28"/>
  <c r="G9" i="28"/>
  <c r="B10" i="28"/>
  <c r="C10" i="28"/>
  <c r="D10" i="28"/>
  <c r="E10" i="28"/>
  <c r="F10" i="28"/>
  <c r="G10" i="28"/>
  <c r="A25" i="28"/>
  <c r="A35" i="28"/>
  <c r="A1" i="27"/>
  <c r="A2" i="27"/>
  <c r="A3" i="27"/>
  <c r="B8" i="27"/>
  <c r="E8" i="27"/>
  <c r="B9" i="27"/>
  <c r="C9" i="27"/>
  <c r="D9" i="27"/>
  <c r="E9" i="27"/>
  <c r="F9" i="27"/>
  <c r="G9" i="27"/>
  <c r="B10" i="27"/>
  <c r="C10" i="27"/>
  <c r="D10" i="27"/>
  <c r="E10" i="27"/>
  <c r="F10" i="27"/>
  <c r="G10" i="27"/>
  <c r="A27" i="27"/>
  <c r="A28" i="22"/>
  <c r="G10" i="22"/>
  <c r="F10" i="22"/>
  <c r="E10" i="22"/>
  <c r="D10" i="22"/>
  <c r="C10" i="22"/>
  <c r="B10" i="22"/>
  <c r="G9" i="22"/>
  <c r="F9" i="22"/>
  <c r="E9" i="22"/>
  <c r="D9" i="22"/>
  <c r="C9" i="22"/>
  <c r="B9" i="22"/>
  <c r="E8" i="22"/>
  <c r="B8" i="22"/>
  <c r="A3" i="22"/>
  <c r="A2" i="22"/>
  <c r="A1" i="22"/>
  <c r="A28" i="21"/>
  <c r="G10" i="21"/>
  <c r="F10" i="21"/>
  <c r="E10" i="21"/>
  <c r="D10" i="21"/>
  <c r="C10" i="21"/>
  <c r="B10" i="21"/>
  <c r="G9" i="21"/>
  <c r="F9" i="21"/>
  <c r="E9" i="21"/>
  <c r="D9" i="21"/>
  <c r="C9" i="21"/>
  <c r="B9" i="21"/>
  <c r="E8" i="21"/>
  <c r="B8" i="21"/>
  <c r="A3" i="21"/>
  <c r="A2" i="21"/>
  <c r="A1" i="21"/>
  <c r="A34" i="11"/>
  <c r="A22" i="11"/>
  <c r="G10" i="11"/>
  <c r="F10" i="11"/>
  <c r="E10" i="11"/>
  <c r="D10" i="11"/>
  <c r="C10" i="11"/>
  <c r="B10" i="11"/>
  <c r="G9" i="11"/>
  <c r="F9" i="11"/>
  <c r="E9" i="11"/>
  <c r="D9" i="11"/>
  <c r="C9" i="11"/>
  <c r="B9" i="11"/>
  <c r="E8" i="11"/>
  <c r="B8" i="11"/>
  <c r="A3" i="11"/>
  <c r="A2" i="11"/>
  <c r="A1" i="11"/>
  <c r="A24" i="10"/>
  <c r="G10" i="10"/>
  <c r="F10" i="10"/>
  <c r="E10" i="10"/>
  <c r="D10" i="10"/>
  <c r="C10" i="10"/>
  <c r="B10" i="10"/>
  <c r="G9" i="10"/>
  <c r="F9" i="10"/>
  <c r="E9" i="10"/>
  <c r="D9" i="10"/>
  <c r="C9" i="10"/>
  <c r="B9" i="10"/>
  <c r="E8" i="10"/>
  <c r="B8" i="10"/>
  <c r="A3" i="10"/>
  <c r="A2" i="10"/>
  <c r="A1" i="10"/>
  <c r="A24" i="12"/>
  <c r="G10" i="12"/>
  <c r="F10" i="12"/>
  <c r="E10" i="12"/>
  <c r="D10" i="12"/>
  <c r="C10" i="12"/>
  <c r="B10" i="12"/>
  <c r="G9" i="12"/>
  <c r="F9" i="12"/>
  <c r="E9" i="12"/>
  <c r="D9" i="12"/>
  <c r="C9" i="12"/>
  <c r="B9" i="12"/>
  <c r="E8" i="12"/>
  <c r="B8" i="12"/>
  <c r="A3" i="12"/>
  <c r="A2" i="12"/>
  <c r="A1" i="12"/>
  <c r="G10" i="9"/>
  <c r="F10" i="9"/>
  <c r="E10" i="9"/>
  <c r="D10" i="9"/>
  <c r="C10" i="9"/>
  <c r="B10" i="9"/>
  <c r="G9" i="9"/>
  <c r="F9" i="9"/>
  <c r="E9" i="9"/>
  <c r="D9" i="9"/>
  <c r="C9" i="9"/>
  <c r="B9" i="9"/>
  <c r="E8" i="9"/>
  <c r="B8" i="9"/>
  <c r="A3" i="9"/>
  <c r="A2" i="9"/>
  <c r="A1" i="9"/>
  <c r="A38" i="25"/>
  <c r="A26" i="25"/>
  <c r="G10" i="25"/>
  <c r="F10" i="25"/>
  <c r="E10" i="25"/>
  <c r="D10" i="25"/>
  <c r="C10" i="25"/>
  <c r="B10" i="25"/>
  <c r="G9" i="25"/>
  <c r="F9" i="25"/>
  <c r="E9" i="25"/>
  <c r="D9" i="25"/>
  <c r="C9" i="25"/>
  <c r="B9" i="25"/>
  <c r="E8" i="25"/>
  <c r="B8" i="25"/>
  <c r="A3" i="25"/>
  <c r="A2" i="25"/>
  <c r="A1" i="25"/>
  <c r="A32" i="16"/>
  <c r="A22" i="16"/>
  <c r="G10" i="16"/>
  <c r="F10" i="16"/>
  <c r="E10" i="16"/>
  <c r="D10" i="16"/>
  <c r="C10" i="16"/>
  <c r="B10" i="16"/>
  <c r="G9" i="16"/>
  <c r="F9" i="16"/>
  <c r="E9" i="16"/>
  <c r="D9" i="16"/>
  <c r="C9" i="16"/>
  <c r="B9" i="16"/>
  <c r="E8" i="16"/>
  <c r="B8" i="16"/>
  <c r="A3" i="16"/>
  <c r="A2" i="16"/>
  <c r="A1" i="16"/>
  <c r="A27" i="14"/>
  <c r="G10" i="14"/>
  <c r="F10" i="14"/>
  <c r="E10" i="14"/>
  <c r="D10" i="14"/>
  <c r="C10" i="14"/>
  <c r="B10" i="14"/>
  <c r="G9" i="14"/>
  <c r="F9" i="14"/>
  <c r="E9" i="14"/>
  <c r="D9" i="14"/>
  <c r="C9" i="14"/>
  <c r="B9" i="14"/>
  <c r="E8" i="14"/>
  <c r="B8" i="14"/>
  <c r="A3" i="14"/>
  <c r="A2" i="14"/>
  <c r="A1" i="14"/>
  <c r="A30" i="18"/>
  <c r="A20" i="18"/>
  <c r="G10" i="18"/>
  <c r="F10" i="18"/>
  <c r="E10" i="18"/>
  <c r="D10" i="18"/>
  <c r="C10" i="18"/>
  <c r="B10" i="18"/>
  <c r="G9" i="18"/>
  <c r="F9" i="18"/>
  <c r="E9" i="18"/>
  <c r="D9" i="18"/>
  <c r="C9" i="18"/>
  <c r="B9" i="18"/>
  <c r="E8" i="18"/>
  <c r="B8" i="18"/>
  <c r="A3" i="18"/>
  <c r="A2" i="18"/>
  <c r="A1" i="18"/>
  <c r="A38" i="13"/>
  <c r="A26" i="13"/>
  <c r="G10" i="13"/>
  <c r="F10" i="13"/>
  <c r="E10" i="13"/>
  <c r="D10" i="13"/>
  <c r="C10" i="13"/>
  <c r="B10" i="13"/>
  <c r="G9" i="13"/>
  <c r="F9" i="13"/>
  <c r="E9" i="13"/>
  <c r="D9" i="13"/>
  <c r="C9" i="13"/>
  <c r="B9" i="13"/>
  <c r="E8" i="13"/>
  <c r="B8" i="13"/>
  <c r="A3" i="13"/>
  <c r="A2" i="13"/>
  <c r="A1" i="13"/>
  <c r="A32" i="15"/>
  <c r="A22" i="15"/>
  <c r="G10" i="15"/>
  <c r="F10" i="15"/>
  <c r="E10" i="15"/>
  <c r="D10" i="15"/>
  <c r="C10" i="15"/>
  <c r="B10" i="15"/>
  <c r="G9" i="15"/>
  <c r="F9" i="15"/>
  <c r="E9" i="15"/>
  <c r="D9" i="15"/>
  <c r="C9" i="15"/>
  <c r="B9" i="15"/>
  <c r="E8" i="15"/>
  <c r="B8" i="15"/>
  <c r="A3" i="15"/>
  <c r="A2" i="15"/>
  <c r="A1" i="15"/>
  <c r="A33" i="19"/>
  <c r="A23" i="19"/>
  <c r="G10" i="19"/>
  <c r="F10" i="19"/>
  <c r="E10" i="19"/>
  <c r="D10" i="19"/>
  <c r="C10" i="19"/>
  <c r="B10" i="19"/>
  <c r="G9" i="19"/>
  <c r="F9" i="19"/>
  <c r="E9" i="19"/>
  <c r="D9" i="19"/>
  <c r="C9" i="19"/>
  <c r="B9" i="19"/>
  <c r="E8" i="19"/>
  <c r="B8" i="19"/>
  <c r="A3" i="19"/>
  <c r="A2" i="19"/>
  <c r="A1" i="19"/>
  <c r="A66" i="2"/>
  <c r="A58" i="2"/>
  <c r="G10" i="2"/>
  <c r="F10" i="2"/>
  <c r="E10" i="2"/>
  <c r="D10" i="2"/>
  <c r="C10" i="2"/>
  <c r="B10" i="2"/>
  <c r="G9" i="2"/>
  <c r="F9" i="2"/>
  <c r="E9" i="2"/>
  <c r="D9" i="2"/>
  <c r="C9" i="2"/>
  <c r="B9" i="2"/>
  <c r="E8" i="2"/>
  <c r="B8" i="2"/>
  <c r="A3" i="2"/>
  <c r="A2" i="2"/>
  <c r="A1" i="2"/>
  <c r="A30" i="8"/>
  <c r="G10" i="8"/>
  <c r="F10" i="8"/>
  <c r="E10" i="8"/>
  <c r="D10" i="8"/>
  <c r="C10" i="8"/>
  <c r="B10" i="8"/>
  <c r="G9" i="8"/>
  <c r="F9" i="8"/>
  <c r="E9" i="8"/>
  <c r="D9" i="8"/>
  <c r="C9" i="8"/>
  <c r="B9" i="8"/>
  <c r="E8" i="8"/>
  <c r="B8" i="8"/>
  <c r="A3" i="8"/>
  <c r="A2" i="8"/>
  <c r="A1" i="8"/>
  <c r="A27" i="24"/>
  <c r="G10" i="24"/>
  <c r="F10" i="24"/>
  <c r="E10" i="24"/>
  <c r="D10" i="24"/>
  <c r="C10" i="24"/>
  <c r="B10" i="24"/>
  <c r="G9" i="24"/>
  <c r="F9" i="24"/>
  <c r="E9" i="24"/>
  <c r="D9" i="24"/>
  <c r="C9" i="24"/>
  <c r="B9" i="24"/>
  <c r="E8" i="24"/>
  <c r="B8" i="24"/>
  <c r="A3" i="24"/>
  <c r="A2" i="24"/>
  <c r="A1" i="24"/>
  <c r="A27" i="23"/>
  <c r="G10" i="23"/>
  <c r="F10" i="23"/>
  <c r="E10" i="23"/>
  <c r="D10" i="23"/>
  <c r="C10" i="23"/>
  <c r="B10" i="23"/>
  <c r="G9" i="23"/>
  <c r="F9" i="23"/>
  <c r="E9" i="23"/>
  <c r="D9" i="23"/>
  <c r="C9" i="23"/>
  <c r="B9" i="23"/>
  <c r="E8" i="23"/>
  <c r="B8" i="23"/>
  <c r="A3" i="23"/>
  <c r="A2" i="23"/>
  <c r="A1" i="23"/>
  <c r="A38" i="5"/>
  <c r="A28" i="5"/>
  <c r="G10" i="5"/>
  <c r="F10" i="5"/>
  <c r="E10" i="5"/>
  <c r="D10" i="5"/>
  <c r="C10" i="5"/>
  <c r="B10" i="5"/>
  <c r="G9" i="5"/>
  <c r="F9" i="5"/>
  <c r="E9" i="5"/>
  <c r="D9" i="5"/>
  <c r="C9" i="5"/>
  <c r="B9" i="5"/>
  <c r="E8" i="5"/>
  <c r="B8" i="5"/>
  <c r="A3" i="5"/>
  <c r="A2" i="5"/>
  <c r="A1" i="5"/>
  <c r="A32" i="1"/>
  <c r="A22" i="1"/>
  <c r="A3" i="1"/>
  <c r="A2" i="1"/>
  <c r="A1" i="1"/>
  <c r="G10" i="1"/>
  <c r="F10" i="1"/>
  <c r="E10" i="1"/>
  <c r="D10" i="1"/>
  <c r="C10" i="1"/>
  <c r="G9" i="1"/>
  <c r="F9" i="1"/>
  <c r="E9" i="1"/>
  <c r="D9" i="1"/>
  <c r="C9" i="1"/>
  <c r="E8" i="1"/>
  <c r="B10" i="1"/>
  <c r="B9" i="1"/>
  <c r="B8" i="1"/>
  <c r="A32" i="6"/>
  <c r="A22" i="6"/>
  <c r="G10" i="6"/>
  <c r="F10" i="6"/>
  <c r="E10" i="6"/>
  <c r="D10" i="6"/>
  <c r="C10" i="6"/>
  <c r="B10" i="6"/>
  <c r="G9" i="6"/>
  <c r="F9" i="6"/>
  <c r="E9" i="6"/>
  <c r="D9" i="6"/>
  <c r="C9" i="6"/>
  <c r="B9" i="6"/>
  <c r="E8" i="6"/>
  <c r="B8" i="6"/>
  <c r="A3" i="6"/>
  <c r="A2" i="6"/>
  <c r="A1" i="6"/>
  <c r="A32" i="3"/>
  <c r="A22" i="3"/>
  <c r="G10" i="3"/>
  <c r="F10" i="3"/>
  <c r="E10" i="3"/>
  <c r="D10" i="3"/>
  <c r="C10" i="3"/>
  <c r="B10" i="3"/>
  <c r="G9" i="3"/>
  <c r="F9" i="3"/>
  <c r="E9" i="3"/>
  <c r="D9" i="3"/>
  <c r="C9" i="3"/>
  <c r="B9" i="3"/>
  <c r="E8" i="3"/>
  <c r="B8" i="3"/>
  <c r="A3" i="3"/>
  <c r="A2" i="3"/>
  <c r="A1" i="3"/>
  <c r="A47" i="20"/>
  <c r="A37" i="20"/>
  <c r="G10" i="20"/>
  <c r="F10" i="20"/>
  <c r="E10" i="20"/>
  <c r="D10" i="20"/>
  <c r="C10" i="20"/>
  <c r="B10" i="20"/>
  <c r="G9" i="20"/>
  <c r="F9" i="20"/>
  <c r="E9" i="20"/>
  <c r="D9" i="20"/>
  <c r="C9" i="20"/>
  <c r="B9" i="20"/>
  <c r="E8" i="20"/>
  <c r="B8" i="20"/>
  <c r="A3" i="20"/>
  <c r="A2" i="20"/>
  <c r="A1" i="20"/>
  <c r="A2" i="7"/>
  <c r="A1" i="7"/>
  <c r="B33" i="34"/>
  <c r="A36" i="38" l="1"/>
  <c r="A36" i="12"/>
  <c r="C14" i="28"/>
  <c r="B49" i="34"/>
  <c r="A36" i="9" l="1"/>
  <c r="A36" i="31"/>
  <c r="C28" i="34"/>
  <c r="C7" i="34"/>
  <c r="C20" i="34"/>
  <c r="C14" i="34"/>
  <c r="C45" i="34"/>
  <c r="D45" i="34" s="1"/>
  <c r="C37" i="34"/>
  <c r="D37" i="34" s="1"/>
  <c r="C31" i="34"/>
  <c r="D31" i="34" s="1"/>
  <c r="C12" i="34"/>
  <c r="D12" i="34" s="1"/>
  <c r="C29" i="34"/>
  <c r="D29" i="34" s="1"/>
  <c r="C23" i="34"/>
  <c r="D23" i="34" s="1"/>
  <c r="C17" i="34"/>
  <c r="D17" i="34" s="1"/>
  <c r="C9" i="34"/>
  <c r="D9" i="34" s="1"/>
  <c r="C42" i="34"/>
  <c r="D42" i="34" s="1"/>
  <c r="C36" i="34"/>
  <c r="D36" i="34" s="1"/>
  <c r="C30" i="34"/>
  <c r="D30" i="34" s="1"/>
  <c r="C22" i="34"/>
  <c r="D22" i="34" s="1"/>
  <c r="C16" i="34"/>
  <c r="D16" i="34" s="1"/>
  <c r="C8" i="34"/>
  <c r="D8" i="34" s="1"/>
  <c r="C41" i="34"/>
  <c r="C35" i="34"/>
  <c r="C25" i="34"/>
  <c r="D25" i="34" s="1"/>
  <c r="C21" i="34"/>
  <c r="D21" i="34" s="1"/>
  <c r="C15" i="34"/>
  <c r="D15" i="34" s="1"/>
  <c r="C47" i="34"/>
  <c r="D47" i="34" s="1"/>
  <c r="C38" i="34"/>
  <c r="D38" i="34" s="1"/>
  <c r="C32" i="34"/>
  <c r="D32" i="34" s="1"/>
  <c r="C24" i="34"/>
  <c r="D24" i="34" s="1"/>
  <c r="D41" i="34" l="1"/>
  <c r="C43" i="34"/>
  <c r="D43" i="34" s="1"/>
  <c r="D20" i="34"/>
  <c r="C26" i="34"/>
  <c r="D26" i="34" s="1"/>
  <c r="D7" i="34"/>
  <c r="C10" i="34"/>
  <c r="D28" i="34"/>
  <c r="C33" i="34"/>
  <c r="D33" i="34" s="1"/>
  <c r="D35" i="34"/>
  <c r="C39" i="34"/>
  <c r="D39" i="34" s="1"/>
  <c r="D14" i="34"/>
  <c r="C18" i="34"/>
  <c r="D18" i="34" s="1"/>
  <c r="C49" i="34" l="1"/>
  <c r="D10" i="34"/>
  <c r="D49" i="34" s="1"/>
  <c r="E26" i="21" l="1"/>
  <c r="E25" i="23"/>
  <c r="E21" i="28" l="1"/>
  <c r="E20" i="1"/>
  <c r="E20" i="16"/>
  <c r="E20" i="11"/>
  <c r="E22" i="9"/>
  <c r="E25" i="24"/>
  <c r="E26" i="22"/>
  <c r="E21" i="32" l="1"/>
  <c r="E22" i="31"/>
  <c r="E20" i="15"/>
  <c r="E20" i="3"/>
  <c r="E25" i="14"/>
  <c r="E21" i="19"/>
  <c r="E22" i="12"/>
  <c r="E24" i="25"/>
  <c r="E18" i="18"/>
  <c r="E22" i="10"/>
  <c r="E24" i="5"/>
  <c r="E28" i="8" l="1"/>
  <c r="E20" i="6"/>
  <c r="E22" i="4"/>
  <c r="C24" i="31" l="1"/>
  <c r="C25" i="28"/>
  <c r="C22" i="6"/>
  <c r="C26" i="25"/>
  <c r="C27" i="24"/>
  <c r="C27" i="27"/>
  <c r="C23" i="19"/>
  <c r="C20" i="18"/>
  <c r="C23" i="32"/>
  <c r="C22" i="1"/>
  <c r="C22" i="3"/>
  <c r="C24" i="12"/>
  <c r="C37" i="20"/>
  <c r="D37" i="20" s="1"/>
  <c r="C22" i="11"/>
  <c r="C27" i="23"/>
  <c r="C22" i="16"/>
  <c r="C24" i="9"/>
  <c r="C28" i="22"/>
  <c r="C30" i="8"/>
  <c r="C28" i="5"/>
  <c r="C24" i="10"/>
  <c r="C22" i="15"/>
  <c r="C26" i="13"/>
  <c r="C58" i="2"/>
  <c r="D58" i="2" s="1"/>
  <c r="C27" i="14"/>
  <c r="C28" i="21"/>
  <c r="D68" i="2" l="1"/>
  <c r="B16" i="7" s="1"/>
  <c r="D49" i="20"/>
  <c r="B64" i="7" s="1"/>
  <c r="F24" i="31"/>
  <c r="F28" i="22"/>
  <c r="F26" i="25"/>
  <c r="F27" i="27"/>
  <c r="F23" i="19"/>
  <c r="F25" i="28"/>
  <c r="F27" i="24"/>
  <c r="F58" i="2"/>
  <c r="G58" i="2" s="1"/>
  <c r="F26" i="13"/>
  <c r="F28" i="21"/>
  <c r="F24" i="12"/>
  <c r="F37" i="20"/>
  <c r="G37" i="20" s="1"/>
  <c r="F24" i="10"/>
  <c r="F28" i="5"/>
  <c r="F22" i="11"/>
  <c r="F24" i="9"/>
  <c r="F30" i="8"/>
  <c r="F27" i="23"/>
  <c r="F27" i="14"/>
  <c r="E45" i="20" l="1"/>
  <c r="E64" i="2"/>
  <c r="C20" i="41"/>
  <c r="C22" i="41"/>
  <c r="E24" i="13" l="1"/>
  <c r="E25" i="27" l="1"/>
  <c r="E21" i="5" l="1"/>
  <c r="G21" i="5" s="1"/>
  <c r="D21" i="5"/>
  <c r="E17" i="4" l="1"/>
  <c r="D26" i="4"/>
  <c r="G26" i="4" l="1"/>
  <c r="E32" i="4"/>
  <c r="G32" i="4" s="1"/>
  <c r="D24" i="22"/>
  <c r="E24" i="22"/>
  <c r="E32" i="22" l="1"/>
  <c r="G32" i="22" s="1"/>
  <c r="G24" i="22"/>
  <c r="E15" i="14" l="1"/>
  <c r="E20" i="21"/>
  <c r="E13" i="19"/>
  <c r="E20" i="22"/>
  <c r="E15" i="13"/>
  <c r="E16" i="14"/>
  <c r="E15" i="25"/>
  <c r="E26" i="8" l="1"/>
  <c r="D26" i="8"/>
  <c r="E14" i="25"/>
  <c r="G14" i="25" s="1"/>
  <c r="D14" i="25"/>
  <c r="D18" i="11"/>
  <c r="E18" i="11"/>
  <c r="E18" i="3"/>
  <c r="D18" i="3"/>
  <c r="D18" i="15"/>
  <c r="E18" i="15"/>
  <c r="D18" i="16"/>
  <c r="E18" i="16"/>
  <c r="E20" i="10"/>
  <c r="D20" i="10"/>
  <c r="E22" i="13"/>
  <c r="D22" i="13"/>
  <c r="D18" i="1"/>
  <c r="E18" i="1"/>
  <c r="E20" i="9"/>
  <c r="D20" i="9"/>
  <c r="E23" i="23"/>
  <c r="D23" i="23"/>
  <c r="B19" i="28"/>
  <c r="D19" i="28" s="1"/>
  <c r="E18" i="28"/>
  <c r="D18" i="28"/>
  <c r="E23" i="24"/>
  <c r="D23" i="24"/>
  <c r="D23" i="14"/>
  <c r="E23" i="14"/>
  <c r="E18" i="6"/>
  <c r="D18" i="6"/>
  <c r="D20" i="31"/>
  <c r="E20" i="31"/>
  <c r="E19" i="32"/>
  <c r="D19" i="32"/>
  <c r="E20" i="12"/>
  <c r="D20" i="12"/>
  <c r="E23" i="27"/>
  <c r="D23" i="27"/>
  <c r="D19" i="25"/>
  <c r="E19" i="25"/>
  <c r="G19" i="25" s="1"/>
  <c r="E13" i="25"/>
  <c r="D13" i="25"/>
  <c r="B16" i="25"/>
  <c r="D26" i="25" s="1"/>
  <c r="B14" i="18"/>
  <c r="D12" i="18"/>
  <c r="E12" i="18"/>
  <c r="G12" i="18" s="1"/>
  <c r="E16" i="18"/>
  <c r="D16" i="18"/>
  <c r="E19" i="19"/>
  <c r="D19" i="19"/>
  <c r="E24" i="21"/>
  <c r="D24" i="21"/>
  <c r="D22" i="8" l="1"/>
  <c r="E22" i="8"/>
  <c r="G22" i="8" s="1"/>
  <c r="B16" i="15"/>
  <c r="E13" i="15"/>
  <c r="G13" i="15" s="1"/>
  <c r="D13" i="15"/>
  <c r="E14" i="14"/>
  <c r="G14" i="14" s="1"/>
  <c r="D14" i="14"/>
  <c r="D14" i="3"/>
  <c r="E14" i="3"/>
  <c r="G14" i="3" s="1"/>
  <c r="E12" i="22"/>
  <c r="G12" i="22" s="1"/>
  <c r="D12" i="22"/>
  <c r="B14" i="22"/>
  <c r="D13" i="11"/>
  <c r="B16" i="11"/>
  <c r="E13" i="11"/>
  <c r="G13" i="11" s="1"/>
  <c r="E18" i="9"/>
  <c r="G18" i="9" s="1"/>
  <c r="D18" i="9"/>
  <c r="D21" i="24"/>
  <c r="E21" i="24"/>
  <c r="G21" i="24" s="1"/>
  <c r="B14" i="21"/>
  <c r="D12" i="21"/>
  <c r="E12" i="21"/>
  <c r="G12" i="21" s="1"/>
  <c r="E17" i="23"/>
  <c r="G17" i="23" s="1"/>
  <c r="D17" i="23"/>
  <c r="E14" i="1"/>
  <c r="G14" i="1" s="1"/>
  <c r="D14" i="1"/>
  <c r="E17" i="22"/>
  <c r="G17" i="22" s="1"/>
  <c r="D17" i="22"/>
  <c r="B15" i="19"/>
  <c r="E12" i="19"/>
  <c r="G12" i="19" s="1"/>
  <c r="D12" i="19"/>
  <c r="E13" i="6"/>
  <c r="G13" i="6" s="1"/>
  <c r="B16" i="6"/>
  <c r="D13" i="6"/>
  <c r="E18" i="27"/>
  <c r="D18" i="27"/>
  <c r="G19" i="19"/>
  <c r="E27" i="19"/>
  <c r="G27" i="19" s="1"/>
  <c r="G13" i="25"/>
  <c r="E16" i="25"/>
  <c r="G26" i="25" s="1"/>
  <c r="E31" i="27"/>
  <c r="G31" i="27" s="1"/>
  <c r="G23" i="27"/>
  <c r="G19" i="32"/>
  <c r="E27" i="32"/>
  <c r="G27" i="32" s="1"/>
  <c r="G18" i="6"/>
  <c r="E26" i="6"/>
  <c r="G26" i="6" s="1"/>
  <c r="E31" i="24"/>
  <c r="G31" i="24" s="1"/>
  <c r="G23" i="24"/>
  <c r="E26" i="1"/>
  <c r="G26" i="1" s="1"/>
  <c r="G18" i="1"/>
  <c r="E26" i="16"/>
  <c r="G26" i="16" s="1"/>
  <c r="G18" i="16"/>
  <c r="E22" i="22"/>
  <c r="G22" i="22" s="1"/>
  <c r="D22" i="22"/>
  <c r="D21" i="23"/>
  <c r="E21" i="23"/>
  <c r="G21" i="23" s="1"/>
  <c r="E14" i="28"/>
  <c r="G14" i="28" s="1"/>
  <c r="D14" i="28"/>
  <c r="E16" i="12"/>
  <c r="D16" i="12"/>
  <c r="E18" i="24"/>
  <c r="D18" i="24"/>
  <c r="D12" i="12"/>
  <c r="E12" i="12"/>
  <c r="G12" i="12" s="1"/>
  <c r="D18" i="22"/>
  <c r="E18" i="22"/>
  <c r="G18" i="22" s="1"/>
  <c r="E14" i="11"/>
  <c r="G14" i="11" s="1"/>
  <c r="D14" i="11"/>
  <c r="E18" i="8"/>
  <c r="D18" i="8"/>
  <c r="E16" i="10"/>
  <c r="D16" i="10"/>
  <c r="E17" i="27"/>
  <c r="G17" i="27" s="1"/>
  <c r="D17" i="27"/>
  <c r="E16" i="9"/>
  <c r="G16" i="9" s="1"/>
  <c r="D16" i="9"/>
  <c r="E14" i="15"/>
  <c r="G14" i="15" s="1"/>
  <c r="D14" i="15"/>
  <c r="D14" i="13"/>
  <c r="E14" i="13"/>
  <c r="G14" i="13" s="1"/>
  <c r="E17" i="19"/>
  <c r="G17" i="19" s="1"/>
  <c r="D17" i="19"/>
  <c r="E14" i="18"/>
  <c r="G20" i="18" s="1"/>
  <c r="D20" i="18"/>
  <c r="G20" i="31"/>
  <c r="E28" i="31"/>
  <c r="G28" i="31" s="1"/>
  <c r="G23" i="14"/>
  <c r="E31" i="14"/>
  <c r="G31" i="14" s="1"/>
  <c r="G23" i="23"/>
  <c r="E31" i="23"/>
  <c r="G31" i="23" s="1"/>
  <c r="G22" i="13"/>
  <c r="E30" i="13"/>
  <c r="G30" i="13" s="1"/>
  <c r="G18" i="3"/>
  <c r="E26" i="3"/>
  <c r="G26" i="3" s="1"/>
  <c r="E19" i="13"/>
  <c r="G19" i="13" s="1"/>
  <c r="D19" i="13"/>
  <c r="E18" i="10"/>
  <c r="G18" i="10" s="1"/>
  <c r="D18" i="10"/>
  <c r="E14" i="16"/>
  <c r="G14" i="16" s="1"/>
  <c r="D14" i="16"/>
  <c r="E19" i="21"/>
  <c r="G19" i="21" s="1"/>
  <c r="D19" i="21"/>
  <c r="D17" i="8"/>
  <c r="E17" i="8"/>
  <c r="G17" i="8" s="1"/>
  <c r="E21" i="14"/>
  <c r="G21" i="14" s="1"/>
  <c r="D21" i="14"/>
  <c r="D22" i="21"/>
  <c r="E22" i="21"/>
  <c r="G22" i="21" s="1"/>
  <c r="E12" i="27"/>
  <c r="G12" i="27" s="1"/>
  <c r="D12" i="27"/>
  <c r="B14" i="27"/>
  <c r="D18" i="31"/>
  <c r="E18" i="31"/>
  <c r="G18" i="31" s="1"/>
  <c r="D18" i="12"/>
  <c r="E18" i="12"/>
  <c r="G18" i="12" s="1"/>
  <c r="B16" i="28"/>
  <c r="E13" i="28"/>
  <c r="G13" i="28" s="1"/>
  <c r="D13" i="28"/>
  <c r="D17" i="24"/>
  <c r="E17" i="24"/>
  <c r="G17" i="24" s="1"/>
  <c r="G24" i="21"/>
  <c r="E32" i="21"/>
  <c r="G32" i="21" s="1"/>
  <c r="E24" i="18"/>
  <c r="G24" i="18" s="1"/>
  <c r="G16" i="18"/>
  <c r="E28" i="12"/>
  <c r="G28" i="12" s="1"/>
  <c r="G20" i="12"/>
  <c r="G18" i="28"/>
  <c r="E29" i="28"/>
  <c r="G29" i="28" s="1"/>
  <c r="E22" i="25"/>
  <c r="D22" i="25"/>
  <c r="G18" i="15"/>
  <c r="E26" i="15"/>
  <c r="G26" i="15" s="1"/>
  <c r="E28" i="11"/>
  <c r="G28" i="11" s="1"/>
  <c r="G18" i="11"/>
  <c r="E12" i="10"/>
  <c r="G12" i="10" s="1"/>
  <c r="D12" i="10"/>
  <c r="E13" i="3"/>
  <c r="G13" i="3" s="1"/>
  <c r="B16" i="3"/>
  <c r="D13" i="3"/>
  <c r="D20" i="14"/>
  <c r="E20" i="14"/>
  <c r="G20" i="14" s="1"/>
  <c r="E14" i="6"/>
  <c r="G14" i="6" s="1"/>
  <c r="D14" i="6"/>
  <c r="D12" i="9"/>
  <c r="E12" i="9"/>
  <c r="G12" i="9" s="1"/>
  <c r="E17" i="21"/>
  <c r="G17" i="21" s="1"/>
  <c r="D17" i="21"/>
  <c r="E19" i="22"/>
  <c r="G19" i="22" s="1"/>
  <c r="D19" i="22"/>
  <c r="D21" i="27"/>
  <c r="E21" i="27"/>
  <c r="G21" i="27" s="1"/>
  <c r="B16" i="16"/>
  <c r="D13" i="16"/>
  <c r="E13" i="16"/>
  <c r="G13" i="16" s="1"/>
  <c r="D18" i="21"/>
  <c r="E18" i="21"/>
  <c r="G18" i="21" s="1"/>
  <c r="B16" i="1"/>
  <c r="E13" i="1"/>
  <c r="G13" i="1" s="1"/>
  <c r="D13" i="1"/>
  <c r="D18" i="23"/>
  <c r="E18" i="23"/>
  <c r="D20" i="13"/>
  <c r="E20" i="13"/>
  <c r="G20" i="13" s="1"/>
  <c r="G20" i="9"/>
  <c r="E28" i="9"/>
  <c r="G28" i="9" s="1"/>
  <c r="E28" i="10"/>
  <c r="G28" i="10" s="1"/>
  <c r="G20" i="10"/>
  <c r="G26" i="8"/>
  <c r="E34" i="8"/>
  <c r="G34" i="8" s="1"/>
  <c r="E13" i="12"/>
  <c r="E13" i="10"/>
  <c r="E13" i="9"/>
  <c r="E28" i="18" l="1"/>
  <c r="D32" i="18"/>
  <c r="B26" i="7" s="1"/>
  <c r="G16" i="10"/>
  <c r="G32" i="10"/>
  <c r="G16" i="12"/>
  <c r="G32" i="12"/>
  <c r="E14" i="12"/>
  <c r="E12" i="24"/>
  <c r="G12" i="24" s="1"/>
  <c r="D12" i="24"/>
  <c r="D12" i="31"/>
  <c r="E12" i="31"/>
  <c r="G12" i="31" s="1"/>
  <c r="D15" i="32"/>
  <c r="E15" i="32"/>
  <c r="G15" i="32" s="1"/>
  <c r="D16" i="31"/>
  <c r="E16" i="31"/>
  <c r="G16" i="31" s="1"/>
  <c r="E16" i="1"/>
  <c r="D22" i="1"/>
  <c r="E20" i="25"/>
  <c r="G20" i="25" s="1"/>
  <c r="D20" i="25"/>
  <c r="G22" i="25"/>
  <c r="E30" i="25"/>
  <c r="G30" i="25" s="1"/>
  <c r="E14" i="21"/>
  <c r="G28" i="21" s="1"/>
  <c r="E38" i="21" s="1"/>
  <c r="D28" i="21"/>
  <c r="E14" i="22"/>
  <c r="D28" i="22"/>
  <c r="B17" i="14"/>
  <c r="D27" i="14" s="1"/>
  <c r="D13" i="14"/>
  <c r="E13" i="14"/>
  <c r="D14" i="32"/>
  <c r="E14" i="32"/>
  <c r="G14" i="32" s="1"/>
  <c r="E14" i="5"/>
  <c r="G14" i="5" s="1"/>
  <c r="D14" i="5"/>
  <c r="E12" i="23"/>
  <c r="G12" i="23" s="1"/>
  <c r="D12" i="23"/>
  <c r="B16" i="13"/>
  <c r="D26" i="13" s="1"/>
  <c r="E13" i="13"/>
  <c r="D13" i="13"/>
  <c r="E12" i="8"/>
  <c r="G12" i="8" s="1"/>
  <c r="D12" i="8"/>
  <c r="E16" i="16"/>
  <c r="G22" i="16" s="1"/>
  <c r="D22" i="16"/>
  <c r="D34" i="16" s="1"/>
  <c r="B30" i="7" s="1"/>
  <c r="E16" i="28"/>
  <c r="D25" i="28"/>
  <c r="B14" i="12"/>
  <c r="E16" i="15"/>
  <c r="G22" i="15" s="1"/>
  <c r="E30" i="15" s="1"/>
  <c r="D22" i="15"/>
  <c r="D34" i="15" s="1"/>
  <c r="B32" i="7" s="1"/>
  <c r="E15" i="4"/>
  <c r="G15" i="4" s="1"/>
  <c r="D15" i="4"/>
  <c r="B14" i="9"/>
  <c r="E16" i="3"/>
  <c r="G22" i="3" s="1"/>
  <c r="D22" i="3"/>
  <c r="B14" i="10"/>
  <c r="E14" i="27"/>
  <c r="G27" i="27" s="1"/>
  <c r="D27" i="27"/>
  <c r="E16" i="11"/>
  <c r="G22" i="11" s="1"/>
  <c r="D22" i="11"/>
  <c r="D13" i="5"/>
  <c r="B16" i="5"/>
  <c r="E13" i="5"/>
  <c r="G13" i="5" s="1"/>
  <c r="E13" i="32"/>
  <c r="G13" i="32" s="1"/>
  <c r="B17" i="32"/>
  <c r="D13" i="32"/>
  <c r="E16" i="6"/>
  <c r="G22" i="6" s="1"/>
  <c r="D22" i="6"/>
  <c r="D34" i="6" s="1"/>
  <c r="B24" i="7" s="1"/>
  <c r="E15" i="19"/>
  <c r="G23" i="19" s="1"/>
  <c r="D23" i="19"/>
  <c r="D36" i="11"/>
  <c r="B44" i="7" s="1"/>
  <c r="E13" i="23"/>
  <c r="E13" i="31"/>
  <c r="E30" i="6" l="1"/>
  <c r="E32" i="11"/>
  <c r="D35" i="19"/>
  <c r="B66" i="7" s="1"/>
  <c r="E37" i="27"/>
  <c r="E30" i="3"/>
  <c r="D34" i="1"/>
  <c r="B18" i="7" s="1"/>
  <c r="E30" i="16"/>
  <c r="D42" i="21"/>
  <c r="B62" i="7" s="1"/>
  <c r="D37" i="28"/>
  <c r="B14" i="7" s="1"/>
  <c r="E31" i="19"/>
  <c r="G24" i="12"/>
  <c r="G42" i="12"/>
  <c r="G30" i="12"/>
  <c r="E36" i="25"/>
  <c r="D41" i="27"/>
  <c r="B52" i="7" s="1"/>
  <c r="G28" i="22"/>
  <c r="G34" i="22"/>
  <c r="D42" i="22"/>
  <c r="B60" i="7" s="1"/>
  <c r="B14" i="31"/>
  <c r="D24" i="31" s="1"/>
  <c r="D38" i="31" s="1"/>
  <c r="D24" i="12"/>
  <c r="G22" i="1"/>
  <c r="G25" i="28"/>
  <c r="E31" i="28"/>
  <c r="G31" i="28" s="1"/>
  <c r="D34" i="3"/>
  <c r="B20" i="7" s="1"/>
  <c r="D19" i="4"/>
  <c r="B20" i="4"/>
  <c r="E19" i="4"/>
  <c r="E14" i="10"/>
  <c r="D24" i="10"/>
  <c r="D38" i="10" s="1"/>
  <c r="D40" i="13"/>
  <c r="B36" i="7" s="1"/>
  <c r="D41" i="14"/>
  <c r="B34" i="7" s="1"/>
  <c r="E14" i="31"/>
  <c r="G24" i="31" s="1"/>
  <c r="E13" i="4"/>
  <c r="G13" i="4" s="1"/>
  <c r="D13" i="4"/>
  <c r="E16" i="5"/>
  <c r="G28" i="5" s="1"/>
  <c r="D28" i="5"/>
  <c r="D40" i="5" s="1"/>
  <c r="G13" i="13"/>
  <c r="E16" i="13"/>
  <c r="G26" i="13" s="1"/>
  <c r="B14" i="23"/>
  <c r="E17" i="32"/>
  <c r="G23" i="32" s="1"/>
  <c r="D23" i="32"/>
  <c r="D20" i="5"/>
  <c r="B22" i="5"/>
  <c r="D22" i="5" s="1"/>
  <c r="E20" i="5"/>
  <c r="E14" i="9"/>
  <c r="G24" i="9" s="1"/>
  <c r="D24" i="9"/>
  <c r="D38" i="9" s="1"/>
  <c r="G13" i="14"/>
  <c r="E17" i="14"/>
  <c r="G27" i="14" s="1"/>
  <c r="D40" i="25"/>
  <c r="B28" i="7" s="1"/>
  <c r="E37" i="14" l="1"/>
  <c r="E36" i="13"/>
  <c r="D35" i="32"/>
  <c r="B22" i="7" s="1"/>
  <c r="C10" i="41" s="1"/>
  <c r="E33" i="28"/>
  <c r="G33" i="28" s="1"/>
  <c r="E35" i="28"/>
  <c r="G35" i="28" s="1"/>
  <c r="E30" i="1"/>
  <c r="E34" i="31"/>
  <c r="E38" i="22"/>
  <c r="E34" i="9"/>
  <c r="D20" i="4"/>
  <c r="E20" i="4"/>
  <c r="G20" i="4" s="1"/>
  <c r="E31" i="32"/>
  <c r="C24" i="41"/>
  <c r="C12" i="41"/>
  <c r="G24" i="10"/>
  <c r="G42" i="10"/>
  <c r="G30" i="10"/>
  <c r="D38" i="12"/>
  <c r="B42" i="7" s="1"/>
  <c r="E34" i="12"/>
  <c r="B50" i="7"/>
  <c r="B12" i="7"/>
  <c r="D38" i="4"/>
  <c r="B10" i="7" s="1"/>
  <c r="E13" i="24"/>
  <c r="B14" i="24"/>
  <c r="B48" i="7"/>
  <c r="E13" i="8"/>
  <c r="B14" i="8"/>
  <c r="B46" i="7"/>
  <c r="G19" i="4"/>
  <c r="E30" i="4"/>
  <c r="G30" i="4" s="1"/>
  <c r="E32" i="5"/>
  <c r="G32" i="5" s="1"/>
  <c r="D27" i="23"/>
  <c r="D41" i="23" s="1"/>
  <c r="E14" i="23"/>
  <c r="G27" i="23" s="1"/>
  <c r="E34" i="4" l="1"/>
  <c r="E36" i="4" s="1"/>
  <c r="G36" i="4" s="1"/>
  <c r="G37" i="28"/>
  <c r="C14" i="7" s="1"/>
  <c r="E36" i="5"/>
  <c r="G38" i="22"/>
  <c r="E40" i="22"/>
  <c r="G40" i="22" s="1"/>
  <c r="E37" i="23"/>
  <c r="E36" i="9"/>
  <c r="G36" i="9" s="1"/>
  <c r="G34" i="9"/>
  <c r="C16" i="41"/>
  <c r="C8" i="41"/>
  <c r="E34" i="10"/>
  <c r="D14" i="7"/>
  <c r="E14" i="24"/>
  <c r="G27" i="24" s="1"/>
  <c r="D27" i="24"/>
  <c r="D41" i="24" s="1"/>
  <c r="E14" i="8"/>
  <c r="G30" i="8" s="1"/>
  <c r="D30" i="8"/>
  <c r="D44" i="8" s="1"/>
  <c r="B58" i="7"/>
  <c r="G34" i="4" l="1"/>
  <c r="E40" i="8"/>
  <c r="G38" i="9"/>
  <c r="C48" i="7" s="1"/>
  <c r="D48" i="7" s="1"/>
  <c r="E48" i="7" s="1"/>
  <c r="G42" i="22"/>
  <c r="C60" i="7" s="1"/>
  <c r="D60" i="7" s="1"/>
  <c r="G36" i="5"/>
  <c r="E38" i="5"/>
  <c r="G38" i="5" s="1"/>
  <c r="E37" i="24"/>
  <c r="E60" i="7"/>
  <c r="E14" i="7"/>
  <c r="G38" i="4"/>
  <c r="C10" i="7" s="1"/>
  <c r="B54" i="7"/>
  <c r="B56" i="7"/>
  <c r="G40" i="5" l="1"/>
  <c r="C12" i="7" s="1"/>
  <c r="D12" i="7" s="1"/>
  <c r="E12" i="7" s="1"/>
  <c r="C18" i="41"/>
  <c r="C26" i="41" s="1"/>
  <c r="B68" i="7"/>
  <c r="D10" i="7"/>
  <c r="F8" i="41" l="1"/>
  <c r="E10" i="7"/>
  <c r="G8" i="41" l="1"/>
  <c r="J8" i="41" s="1"/>
  <c r="G30" i="1"/>
  <c r="E32" i="1"/>
  <c r="G32" i="1" s="1"/>
  <c r="G34" i="1" l="1"/>
  <c r="C18" i="7" s="1"/>
  <c r="G30" i="3"/>
  <c r="E32" i="3"/>
  <c r="G32" i="3" s="1"/>
  <c r="D18" i="7" l="1"/>
  <c r="E18" i="7" s="1"/>
  <c r="G34" i="3"/>
  <c r="C20" i="7" s="1"/>
  <c r="D20" i="7" s="1"/>
  <c r="E20" i="7" s="1"/>
  <c r="G31" i="32"/>
  <c r="E33" i="32"/>
  <c r="G33" i="32" s="1"/>
  <c r="G35" i="32" l="1"/>
  <c r="C22" i="7" s="1"/>
  <c r="D22" i="7" l="1"/>
  <c r="E22" i="7" s="1"/>
  <c r="G30" i="6"/>
  <c r="E32" i="6"/>
  <c r="G32" i="6" s="1"/>
  <c r="G34" i="6" l="1"/>
  <c r="C24" i="7" s="1"/>
  <c r="F10" i="41" s="1"/>
  <c r="G28" i="18"/>
  <c r="E30" i="18"/>
  <c r="G30" i="18" s="1"/>
  <c r="G36" i="25"/>
  <c r="E38" i="25"/>
  <c r="G38" i="25" s="1"/>
  <c r="G10" i="41" l="1"/>
  <c r="J10" i="41" s="1"/>
  <c r="D24" i="7"/>
  <c r="E24" i="7" s="1"/>
  <c r="G32" i="18"/>
  <c r="G40" i="25"/>
  <c r="C28" i="7" s="1"/>
  <c r="D28" i="7" l="1"/>
  <c r="E28" i="7" s="1"/>
  <c r="C26" i="7"/>
  <c r="G30" i="16"/>
  <c r="E32" i="16"/>
  <c r="G32" i="16" s="1"/>
  <c r="G30" i="15"/>
  <c r="E32" i="15"/>
  <c r="G32" i="15" s="1"/>
  <c r="D26" i="7" l="1"/>
  <c r="E26" i="7" s="1"/>
  <c r="G34" i="16"/>
  <c r="C30" i="7" s="1"/>
  <c r="D30" i="7" s="1"/>
  <c r="E30" i="7" s="1"/>
  <c r="G34" i="15"/>
  <c r="C32" i="7" s="1"/>
  <c r="D32" i="7" s="1"/>
  <c r="E32" i="7" s="1"/>
  <c r="G37" i="14"/>
  <c r="E12" i="41" s="1"/>
  <c r="E39" i="14"/>
  <c r="G39" i="14" s="1"/>
  <c r="G41" i="14" l="1"/>
  <c r="C34" i="7" s="1"/>
  <c r="D34" i="7" l="1"/>
  <c r="E34" i="7" s="1"/>
  <c r="G36" i="13"/>
  <c r="E38" i="13"/>
  <c r="G38" i="13" s="1"/>
  <c r="G40" i="13" l="1"/>
  <c r="C36" i="7" s="1"/>
  <c r="F12" i="41" s="1"/>
  <c r="D12" i="41" s="1"/>
  <c r="G34" i="12"/>
  <c r="E36" i="12"/>
  <c r="G36" i="12" s="1"/>
  <c r="G12" i="41" l="1"/>
  <c r="J12" i="41" s="1"/>
  <c r="D36" i="7"/>
  <c r="E36" i="7" s="1"/>
  <c r="G38" i="12"/>
  <c r="C42" i="7" s="1"/>
  <c r="G32" i="11"/>
  <c r="E34" i="11"/>
  <c r="G34" i="11" s="1"/>
  <c r="D42" i="7" l="1"/>
  <c r="G36" i="11"/>
  <c r="C44" i="7" s="1"/>
  <c r="G34" i="10"/>
  <c r="E36" i="10"/>
  <c r="G36" i="10" s="1"/>
  <c r="E42" i="7" l="1"/>
  <c r="D44" i="7"/>
  <c r="E44" i="7" s="1"/>
  <c r="G38" i="10"/>
  <c r="C46" i="7" s="1"/>
  <c r="G34" i="31"/>
  <c r="E36" i="31"/>
  <c r="G36" i="31" s="1"/>
  <c r="D46" i="7" l="1"/>
  <c r="G38" i="31"/>
  <c r="C50" i="7" s="1"/>
  <c r="F16" i="41" l="1"/>
  <c r="D16" i="41" s="1"/>
  <c r="E46" i="7"/>
  <c r="D50" i="7"/>
  <c r="E50" i="7" s="1"/>
  <c r="G37" i="27"/>
  <c r="E39" i="27"/>
  <c r="G39" i="27" s="1"/>
  <c r="G16" i="41" l="1"/>
  <c r="J16" i="41" s="1"/>
  <c r="G41" i="27"/>
  <c r="C52" i="7" s="1"/>
  <c r="G40" i="8"/>
  <c r="E42" i="8"/>
  <c r="G42" i="8" s="1"/>
  <c r="D52" i="7" l="1"/>
  <c r="G44" i="8"/>
  <c r="C54" i="7" s="1"/>
  <c r="D54" i="7" s="1"/>
  <c r="G37" i="24"/>
  <c r="E39" i="24"/>
  <c r="G39" i="24" s="1"/>
  <c r="E54" i="7" l="1"/>
  <c r="E52" i="7"/>
  <c r="G41" i="24"/>
  <c r="C56" i="7" s="1"/>
  <c r="D56" i="7" s="1"/>
  <c r="G37" i="23"/>
  <c r="E39" i="23"/>
  <c r="G39" i="23" s="1"/>
  <c r="E56" i="7" l="1"/>
  <c r="G41" i="23"/>
  <c r="C58" i="7" s="1"/>
  <c r="D58" i="7" l="1"/>
  <c r="G38" i="21"/>
  <c r="E40" i="21"/>
  <c r="G40" i="21" s="1"/>
  <c r="E58" i="7" l="1"/>
  <c r="G42" i="21"/>
  <c r="C62" i="7" s="1"/>
  <c r="G31" i="19"/>
  <c r="E33" i="19"/>
  <c r="G33" i="19" s="1"/>
  <c r="F18" i="41" l="1"/>
  <c r="D18" i="41" s="1"/>
  <c r="D62" i="7"/>
  <c r="G35" i="19"/>
  <c r="C66" i="7" s="1"/>
  <c r="F24" i="41" s="1"/>
  <c r="G64" i="2"/>
  <c r="E66" i="2"/>
  <c r="G66" i="2" s="1"/>
  <c r="G24" i="41" l="1"/>
  <c r="J24" i="41" s="1"/>
  <c r="G18" i="41"/>
  <c r="E62" i="7"/>
  <c r="D66" i="7"/>
  <c r="G68" i="2"/>
  <c r="C16" i="7" s="1"/>
  <c r="F20" i="41" s="1"/>
  <c r="D20" i="41" s="1"/>
  <c r="G45" i="20"/>
  <c r="E47" i="20"/>
  <c r="G47" i="20" s="1"/>
  <c r="G20" i="41" l="1"/>
  <c r="J20" i="41" s="1"/>
  <c r="E66" i="7"/>
  <c r="J18" i="41"/>
  <c r="D16" i="7"/>
  <c r="G49" i="20"/>
  <c r="C64" i="7" s="1"/>
  <c r="F22" i="41" s="1"/>
  <c r="D22" i="41" s="1"/>
  <c r="E16" i="7" l="1"/>
  <c r="G22" i="41"/>
  <c r="J22" i="41" s="1"/>
  <c r="F26" i="41"/>
  <c r="C68" i="7"/>
  <c r="D64" i="7"/>
  <c r="G26" i="41" l="1"/>
  <c r="J26" i="41" s="1"/>
  <c r="E64" i="7"/>
  <c r="D68" i="7"/>
  <c r="E68" i="7" l="1"/>
  <c r="E26" i="41"/>
  <c r="D10" i="41"/>
  <c r="D26" i="41" s="1"/>
</calcChain>
</file>

<file path=xl/sharedStrings.xml><?xml version="1.0" encoding="utf-8"?>
<sst xmlns="http://schemas.openxmlformats.org/spreadsheetml/2006/main" count="500" uniqueCount="217">
  <si>
    <t>SMALL GENERAL SERVICE (211, 212)</t>
  </si>
  <si>
    <t xml:space="preserve">Current </t>
  </si>
  <si>
    <t>Proposed</t>
  </si>
  <si>
    <t xml:space="preserve">Billing </t>
  </si>
  <si>
    <t>Current</t>
  </si>
  <si>
    <t>Units</t>
  </si>
  <si>
    <t>Rate</t>
  </si>
  <si>
    <t>Revenue</t>
  </si>
  <si>
    <t>Billing kWh</t>
  </si>
  <si>
    <t xml:space="preserve">  First 500 kWh</t>
  </si>
  <si>
    <t xml:space="preserve">  Over 500 kWh</t>
  </si>
  <si>
    <t>Metered kWh</t>
  </si>
  <si>
    <t>Customer Charge</t>
  </si>
  <si>
    <t>Number of Customers</t>
  </si>
  <si>
    <t>Total</t>
  </si>
  <si>
    <t>Storage Water Heating</t>
  </si>
  <si>
    <t>Employee Discount</t>
  </si>
  <si>
    <t xml:space="preserve">Fuel </t>
  </si>
  <si>
    <t>Environmental Surcharge</t>
  </si>
  <si>
    <t>KENTUCKY POWER BILLING ANALYSIS</t>
  </si>
  <si>
    <t>RESIDENTIAL SERVICE (011, 012, 013, 014, 015, 017, 022, 054)</t>
  </si>
  <si>
    <t xml:space="preserve">  On-peak kWh</t>
  </si>
  <si>
    <t xml:space="preserve">  Off-peak kWh</t>
  </si>
  <si>
    <t>C&amp;LM Credit</t>
  </si>
  <si>
    <t>Overhead Lighting Service</t>
  </si>
  <si>
    <t>High Pressure Sodium</t>
  </si>
  <si>
    <t xml:space="preserve">  100 watts, 9,500 Lumens (094)</t>
  </si>
  <si>
    <t xml:space="preserve">  150 watts, 16,000 Lumens (113)</t>
  </si>
  <si>
    <t xml:space="preserve">  200 watts, 22,000 Lumens (097)</t>
  </si>
  <si>
    <t xml:space="preserve">  400 watts, 50,000 Lumens (098)</t>
  </si>
  <si>
    <t>Mercury Vapor</t>
  </si>
  <si>
    <t xml:space="preserve">  175 watts, 7,000 Lumens (093)</t>
  </si>
  <si>
    <t xml:space="preserve">  400 watts, 20,000 Lumens (095)</t>
  </si>
  <si>
    <t>Post Top Lighting Service</t>
  </si>
  <si>
    <t xml:space="preserve">  100 watts, 9,500 Lumens (111)</t>
  </si>
  <si>
    <t xml:space="preserve">  150 watts, 16,000 Lumens (122)</t>
  </si>
  <si>
    <t xml:space="preserve">  175 watts, 7,000 Lumens (099)</t>
  </si>
  <si>
    <t>Flood Lighting Service</t>
  </si>
  <si>
    <t xml:space="preserve">  200 watts, 22,000 Lumens (107)</t>
  </si>
  <si>
    <t xml:space="preserve">  400 watts, 50,000 Lumens (109)</t>
  </si>
  <si>
    <t xml:space="preserve">  250 watts, 20,500 Lumens (110)</t>
  </si>
  <si>
    <t xml:space="preserve">  400 watts, 36,000 Lumens (116)</t>
  </si>
  <si>
    <t xml:space="preserve">  1000 watts, 110,000 Lumens (131)</t>
  </si>
  <si>
    <t>Facilities Charge</t>
  </si>
  <si>
    <t xml:space="preserve">  Pole</t>
  </si>
  <si>
    <t xml:space="preserve">  Span</t>
  </si>
  <si>
    <t xml:space="preserve">  Lateral</t>
  </si>
  <si>
    <t xml:space="preserve">  On-Peak</t>
  </si>
  <si>
    <t xml:space="preserve">  Off-Peak</t>
  </si>
  <si>
    <t xml:space="preserve">Total </t>
  </si>
  <si>
    <t>SMALL GENERAL SERVICE - NON METERED (204, 213)</t>
  </si>
  <si>
    <t>MEDIUM GENERAL SERVICE - RECREATIONAL LIGHTING (214)</t>
  </si>
  <si>
    <t>All kWh</t>
  </si>
  <si>
    <t xml:space="preserve">  First 200 kWh per kW</t>
  </si>
  <si>
    <t xml:space="preserve">  Over 200 kWh per kW</t>
  </si>
  <si>
    <t xml:space="preserve">  Minimum kWh</t>
  </si>
  <si>
    <t>Billing kW</t>
  </si>
  <si>
    <t xml:space="preserve"> Standard</t>
  </si>
  <si>
    <t xml:space="preserve"> Mining Minimum</t>
  </si>
  <si>
    <t>MEDIUM GENERAL SERVICE TIME-OF-DAY (229)</t>
  </si>
  <si>
    <t>MEDIUM GENERAL SERVICE - PRIMARY (217, 220)</t>
  </si>
  <si>
    <t>MEDIUM GENERAL SERVICE - SUBTRANSMISSION (236)</t>
  </si>
  <si>
    <t>LARGE GENERAL SERVICE - SECONDARY (240, 242)</t>
  </si>
  <si>
    <t>LARGE GENERAL SERVICE - PRIMARY (244, 246)</t>
  </si>
  <si>
    <t>LARGE GENERAL SERVICE - SUBTRANSMISSION (248)</t>
  </si>
  <si>
    <t xml:space="preserve">  Off-Peak Excess</t>
  </si>
  <si>
    <t>Billing KVAR</t>
  </si>
  <si>
    <t>QUANTITY POWER - SUBTRANSMISSION (359)</t>
  </si>
  <si>
    <t>QUANTITY POWER - TRANSMISSION (360)</t>
  </si>
  <si>
    <t>COMMERCIAL AND INDUSTRIAL POWER TIME-OF-DAY - SUBTRANSMISSION (371)</t>
  </si>
  <si>
    <t xml:space="preserve">  Off-Peak </t>
  </si>
  <si>
    <t xml:space="preserve">  Minimum</t>
  </si>
  <si>
    <t xml:space="preserve">Number of Customers </t>
  </si>
  <si>
    <t>COMMERCIAL AND INDUSTRIAL POWER TIME-OF-DAY - TRANSMISSION (372)</t>
  </si>
  <si>
    <t>STREET LIGHTING (528)</t>
  </si>
  <si>
    <t>OH Service on Distribution Poles</t>
  </si>
  <si>
    <t xml:space="preserve">  100 watts, 9,500 Lumens </t>
  </si>
  <si>
    <t xml:space="preserve">  150 watts, 16,000 Lumens </t>
  </si>
  <si>
    <t xml:space="preserve">  200 watts, 22,000 Lumens </t>
  </si>
  <si>
    <t xml:space="preserve">  400 watts, 50,000 Lumens </t>
  </si>
  <si>
    <t>Service on New Wood Distribution Poles</t>
  </si>
  <si>
    <t>Service on New Metal or Concrete Poles</t>
  </si>
  <si>
    <t>MUNICIPAL WATERWORKS (540)</t>
  </si>
  <si>
    <t>Minimum kWh</t>
  </si>
  <si>
    <t>Minimum kW</t>
  </si>
  <si>
    <t>Tariff</t>
  </si>
  <si>
    <t>RS Total</t>
  </si>
  <si>
    <t>RSLMTOD Total</t>
  </si>
  <si>
    <t>OL Total</t>
  </si>
  <si>
    <t>SGS Metered Total</t>
  </si>
  <si>
    <t>SGS NM Total</t>
  </si>
  <si>
    <t>MGS RL (214)</t>
  </si>
  <si>
    <t>MGSLMTOD (223)</t>
  </si>
  <si>
    <t>MGSTOD (229)</t>
  </si>
  <si>
    <t>MGS Pri Total</t>
  </si>
  <si>
    <t>MGS Sub (236)</t>
  </si>
  <si>
    <t>LGS Sec Total</t>
  </si>
  <si>
    <t>LGSLMTOD (251)</t>
  </si>
  <si>
    <t>LGS Pri Total</t>
  </si>
  <si>
    <t>LGS Sub (248)</t>
  </si>
  <si>
    <t>QP Sub (359)</t>
  </si>
  <si>
    <t>QP Tran (360)</t>
  </si>
  <si>
    <t>CIP Sub (371)</t>
  </si>
  <si>
    <t>CIP Tran (372)</t>
  </si>
  <si>
    <t>SL (528)</t>
  </si>
  <si>
    <t>MW (540)</t>
  </si>
  <si>
    <t>Difference</t>
  </si>
  <si>
    <t>%</t>
  </si>
  <si>
    <t>QP Sec (356)</t>
  </si>
  <si>
    <t>QP Pri (358)</t>
  </si>
  <si>
    <t>QUANTITY POWER - SECONDARY (356)</t>
  </si>
  <si>
    <t xml:space="preserve">  All kWh</t>
  </si>
  <si>
    <t>RESIDENTIAL LOAD MANAGEMENT TIME-OF-DAY SERVICE (028, 030, 032, 034)</t>
  </si>
  <si>
    <t>RESIDENTIAL TIME-OF-DAY SERVICE (036)</t>
  </si>
  <si>
    <t>RSTOD Total</t>
  </si>
  <si>
    <t>MEDIUM GENERAL SERVICE - SECONDARY (215, 216, 218)</t>
  </si>
  <si>
    <t xml:space="preserve">  Metered Voltage Adj.</t>
  </si>
  <si>
    <t>Excess kVA</t>
  </si>
  <si>
    <t>Metered Voltage Adj.</t>
  </si>
  <si>
    <t>LARGE GENERAL SERVICE LOAD MANAGEMENT TIME-OF-DAY (251)</t>
  </si>
  <si>
    <t xml:space="preserve">  Alternate Feed</t>
  </si>
  <si>
    <t xml:space="preserve">  Maximum</t>
  </si>
  <si>
    <t>MGS Sec Total</t>
  </si>
  <si>
    <t>SGSLMTOD (225)</t>
  </si>
  <si>
    <t>SMALL GENERAL SERVICE LOAD MANAGEMENT TIME-OF-DAY (225)</t>
  </si>
  <si>
    <t>MEDIUM GENERAL SERVICE LOAD MANAGEMENT TIME-OF-DAY (223)</t>
  </si>
  <si>
    <t>QUANTITY POWER - PRIMARY (358)</t>
  </si>
  <si>
    <t xml:space="preserve">  On-Peak - Summer</t>
  </si>
  <si>
    <t xml:space="preserve">  On-Peak - Winter</t>
  </si>
  <si>
    <t>SGSEXPTOD (227)</t>
  </si>
  <si>
    <t>SMALL GENERAL SERVICE LOAD MANAGEMENT EXPERIMENTAL TIME-OF-DAY (227)</t>
  </si>
  <si>
    <t>LARGE GENERAL SERVICE - TRANSMISSION (250)</t>
  </si>
  <si>
    <t xml:space="preserve">  250 watts, 28,000 Lumens (120)</t>
  </si>
  <si>
    <t>OUTDOOR LIGHTING (093, 094, 095, 097, 098, 099, 107, 109, 110, 111, 113, 116, 120, 122, 131)</t>
  </si>
  <si>
    <t>High Pressure Sodium - Floodlight, existing pole</t>
  </si>
  <si>
    <t>Metal Halide - Floodlight, existing pole</t>
  </si>
  <si>
    <t>Metal Halide - Mongoose Light, existing pole</t>
  </si>
  <si>
    <t xml:space="preserve">  250 watts, 28,000 Lumens (103)</t>
  </si>
  <si>
    <t>High Pressure Sodium - PT - UG Circuit</t>
  </si>
  <si>
    <t>High Pressure Sodium - Shoebox with Decorative Pole</t>
  </si>
  <si>
    <t>Mercury Vapor - PT - UG Circuit</t>
  </si>
  <si>
    <t xml:space="preserve">  100 watts, 9,500 Lumens (121)</t>
  </si>
  <si>
    <t xml:space="preserve">  400 watts, 50,000 Lumens (126)</t>
  </si>
  <si>
    <t xml:space="preserve">  250 watts, 20,500 Lumens (130)</t>
  </si>
  <si>
    <t xml:space="preserve">  400 watts, 36,000 Lumens (136)</t>
  </si>
  <si>
    <t>LGS Tran (250)</t>
  </si>
  <si>
    <t>Tariff Sheet</t>
  </si>
  <si>
    <t>RS</t>
  </si>
  <si>
    <t>Total Residential</t>
  </si>
  <si>
    <t>MGS</t>
  </si>
  <si>
    <t>LGS</t>
  </si>
  <si>
    <t>SL</t>
  </si>
  <si>
    <t>RS TOD</t>
  </si>
  <si>
    <t>RS LM TOD</t>
  </si>
  <si>
    <t>SGS Metered</t>
  </si>
  <si>
    <t>SGS LM TOD</t>
  </si>
  <si>
    <t>SGS EXP TOD</t>
  </si>
  <si>
    <t>SGS NM</t>
  </si>
  <si>
    <t>Total SGS</t>
  </si>
  <si>
    <t>QP</t>
  </si>
  <si>
    <t>MW</t>
  </si>
  <si>
    <t>CIP TOD</t>
  </si>
  <si>
    <t>MGS SEC</t>
  </si>
  <si>
    <t>MGS LM TOD</t>
  </si>
  <si>
    <t>MGS TOD</t>
  </si>
  <si>
    <t>MGS PRI</t>
  </si>
  <si>
    <t>MGS SUB</t>
  </si>
  <si>
    <t>LGS SEC</t>
  </si>
  <si>
    <t>LGS LM TOD</t>
  </si>
  <si>
    <t>LGS PRI</t>
  </si>
  <si>
    <t>LGS SUB</t>
  </si>
  <si>
    <t>LGS TRAN</t>
  </si>
  <si>
    <t>QP SEC</t>
  </si>
  <si>
    <t>QP PRI</t>
  </si>
  <si>
    <t>QP SUB</t>
  </si>
  <si>
    <t>QP TRAN</t>
  </si>
  <si>
    <t>CIP TOD SUB</t>
  </si>
  <si>
    <t>CIP TOD TRAN</t>
  </si>
  <si>
    <t>Adjusted</t>
  </si>
  <si>
    <t>TEST YEAR ENDED SEPTEMBER 30, 2014</t>
  </si>
  <si>
    <t>Asset Transfer Rider</t>
  </si>
  <si>
    <t>ALLOCATION OF ASSET TRANSFER RIDER OVER/UNDER COLLECTION</t>
  </si>
  <si>
    <t>Asset Transfer</t>
  </si>
  <si>
    <t>Rider</t>
  </si>
  <si>
    <t>Over/Under</t>
  </si>
  <si>
    <t>MGS AF</t>
  </si>
  <si>
    <t>Economic Development Rider</t>
  </si>
  <si>
    <t>HEAP Charge</t>
  </si>
  <si>
    <t>Big Sandy Retirement Rider</t>
  </si>
  <si>
    <t>Big Sandy 1 Operations Rider</t>
  </si>
  <si>
    <t>Big Sandy 1 Operations Rider - Energy</t>
  </si>
  <si>
    <t>Big Sandy 1 Operations Rider - Demand</t>
  </si>
  <si>
    <t>PROFORMA SUMMARY</t>
  </si>
  <si>
    <t>Embedded (Base) Fuel</t>
  </si>
  <si>
    <t>Number of</t>
  </si>
  <si>
    <t>Customers</t>
  </si>
  <si>
    <t>Residential</t>
  </si>
  <si>
    <t>OL</t>
  </si>
  <si>
    <t>SGS</t>
  </si>
  <si>
    <t>IGS</t>
  </si>
  <si>
    <t>Increase</t>
  </si>
  <si>
    <t>Settlement</t>
  </si>
  <si>
    <t>Separate Meter Charge</t>
  </si>
  <si>
    <t>SCHOOL SERVICE - SECONDARY</t>
  </si>
  <si>
    <t>SCHOOL SERVICE - PRIMARY</t>
  </si>
  <si>
    <t>SCHOOL Sec</t>
  </si>
  <si>
    <t>SCHOOL Pri</t>
  </si>
  <si>
    <t>Schools</t>
  </si>
  <si>
    <t>Base</t>
  </si>
  <si>
    <t>Net</t>
  </si>
  <si>
    <t>ROR %</t>
  </si>
  <si>
    <t>*</t>
  </si>
  <si>
    <t>**</t>
  </si>
  <si>
    <t>* Schools part of LGS class in cost-of-service study, separate rate of return is not available</t>
  </si>
  <si>
    <t>** Customers included in count for tariff of main (non-lighting) account</t>
  </si>
  <si>
    <t>SETTLEMENT</t>
  </si>
  <si>
    <t>Exhibit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</si>
</sst>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&quot;$&quot;#,##0.00000"/>
    <numFmt numFmtId="165" formatCode="&quot;$&quot;#,##0.00"/>
    <numFmt numFmtId="166" formatCode="&quot;$&quot;#,##0.0000000_);\(&quot;$&quot;#,##0.0000000\)"/>
    <numFmt numFmtId="167" formatCode="&quot;$&quot;#,##0"/>
    <numFmt numFmtId="168" formatCode="_(* #,##0_);_(* \(#,##0\);_(* &quot;-&quot;??_);_(@_)"/>
    <numFmt numFmtId="169" formatCode="&quot;$&quot;#,##0.00000_);\(&quot;$&quot;#,##0.00000\)"/>
    <numFmt numFmtId="170" formatCode="0.0000%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5EA4"/>
      <name val="Arial"/>
      <family val="2"/>
    </font>
    <font>
      <sz val="10"/>
      <color rgb="FF0070C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9" fillId="0" borderId="1">
      <alignment horizontal="center"/>
    </xf>
    <xf numFmtId="3" fontId="8" fillId="0" borderId="0" applyFont="0" applyFill="0" applyBorder="0" applyAlignment="0" applyProtection="0"/>
    <xf numFmtId="0" fontId="8" fillId="2" borderId="0" applyNumberFormat="0" applyFont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7" fontId="0" fillId="0" borderId="0" xfId="0" applyNumberFormat="1"/>
    <xf numFmtId="7" fontId="0" fillId="0" borderId="0" xfId="0" applyNumberFormat="1"/>
    <xf numFmtId="166" fontId="0" fillId="0" borderId="0" xfId="0" applyNumberFormat="1" applyAlignment="1">
      <alignment horizontal="center"/>
    </xf>
    <xf numFmtId="5" fontId="0" fillId="0" borderId="0" xfId="0" applyNumberFormat="1"/>
    <xf numFmtId="0" fontId="2" fillId="0" borderId="0" xfId="0" applyFont="1"/>
    <xf numFmtId="10" fontId="0" fillId="0" borderId="0" xfId="3" applyNumberFormat="1" applyFont="1"/>
    <xf numFmtId="166" fontId="0" fillId="0" borderId="0" xfId="0" applyNumberFormat="1" applyAlignment="1"/>
    <xf numFmtId="5" fontId="0" fillId="0" borderId="0" xfId="0" applyNumberFormat="1" applyFill="1"/>
    <xf numFmtId="169" fontId="0" fillId="0" borderId="0" xfId="0" applyNumberFormat="1" applyAlignment="1"/>
    <xf numFmtId="169" fontId="0" fillId="0" borderId="0" xfId="0" applyNumberFormat="1"/>
    <xf numFmtId="0" fontId="0" fillId="0" borderId="2" xfId="0" applyBorder="1"/>
    <xf numFmtId="5" fontId="0" fillId="0" borderId="2" xfId="0" applyNumberFormat="1" applyBorder="1"/>
    <xf numFmtId="0" fontId="11" fillId="0" borderId="0" xfId="0" applyFont="1"/>
    <xf numFmtId="5" fontId="11" fillId="0" borderId="0" xfId="0" applyNumberFormat="1" applyFont="1"/>
    <xf numFmtId="0" fontId="0" fillId="0" borderId="0" xfId="0" applyFill="1"/>
    <xf numFmtId="10" fontId="0" fillId="0" borderId="2" xfId="3" applyNumberFormat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168" fontId="0" fillId="0" borderId="0" xfId="1" applyNumberFormat="1" applyFont="1"/>
    <xf numFmtId="43" fontId="13" fillId="0" borderId="0" xfId="1" applyFont="1" applyAlignment="1"/>
    <xf numFmtId="7" fontId="12" fillId="0" borderId="0" xfId="0" applyNumberFormat="1" applyFont="1" applyAlignment="1"/>
    <xf numFmtId="0" fontId="4" fillId="0" borderId="0" xfId="0" applyFont="1"/>
    <xf numFmtId="0" fontId="5" fillId="0" borderId="0" xfId="0" applyFont="1"/>
    <xf numFmtId="5" fontId="4" fillId="0" borderId="0" xfId="0" applyNumberFormat="1" applyFont="1"/>
    <xf numFmtId="10" fontId="4" fillId="0" borderId="0" xfId="3" applyNumberFormat="1" applyFont="1"/>
    <xf numFmtId="0" fontId="6" fillId="0" borderId="0" xfId="0" applyFont="1"/>
    <xf numFmtId="167" fontId="6" fillId="0" borderId="0" xfId="0" applyNumberFormat="1" applyFont="1"/>
    <xf numFmtId="167" fontId="0" fillId="0" borderId="0" xfId="0" applyNumberFormat="1"/>
    <xf numFmtId="16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167" fontId="6" fillId="0" borderId="0" xfId="0" applyNumberFormat="1" applyFont="1" applyBorder="1"/>
    <xf numFmtId="0" fontId="0" fillId="0" borderId="0" xfId="0" applyFont="1"/>
    <xf numFmtId="0" fontId="10" fillId="0" borderId="0" xfId="0" applyFont="1"/>
    <xf numFmtId="5" fontId="11" fillId="0" borderId="2" xfId="0" applyNumberFormat="1" applyFont="1" applyBorder="1"/>
    <xf numFmtId="168" fontId="0" fillId="0" borderId="2" xfId="1" applyNumberFormat="1" applyFont="1" applyBorder="1"/>
    <xf numFmtId="168" fontId="6" fillId="0" borderId="0" xfId="1" applyNumberFormat="1" applyFont="1"/>
    <xf numFmtId="168" fontId="0" fillId="0" borderId="0" xfId="1" applyNumberFormat="1" applyFont="1" applyBorder="1"/>
    <xf numFmtId="5" fontId="12" fillId="0" borderId="0" xfId="0" applyNumberFormat="1" applyFont="1"/>
    <xf numFmtId="0" fontId="1" fillId="0" borderId="0" xfId="0" applyFont="1"/>
    <xf numFmtId="37" fontId="0" fillId="0" borderId="0" xfId="1" applyNumberFormat="1" applyFont="1"/>
    <xf numFmtId="37" fontId="1" fillId="0" borderId="0" xfId="0" applyNumberFormat="1" applyFont="1"/>
    <xf numFmtId="169" fontId="1" fillId="0" borderId="0" xfId="0" applyNumberFormat="1" applyFont="1" applyAlignment="1"/>
    <xf numFmtId="5" fontId="1" fillId="0" borderId="0" xfId="0" applyNumberFormat="1" applyFont="1"/>
    <xf numFmtId="164" fontId="1" fillId="0" borderId="0" xfId="0" applyNumberFormat="1" applyFont="1"/>
    <xf numFmtId="7" fontId="1" fillId="0" borderId="0" xfId="0" applyNumberFormat="1" applyFont="1" applyAlignment="1"/>
    <xf numFmtId="166" fontId="1" fillId="0" borderId="0" xfId="0" applyNumberFormat="1" applyFont="1" applyFill="1" applyAlignment="1"/>
    <xf numFmtId="169" fontId="14" fillId="0" borderId="0" xfId="0" applyNumberFormat="1" applyFont="1" applyAlignment="1"/>
    <xf numFmtId="164" fontId="14" fillId="0" borderId="0" xfId="0" applyNumberFormat="1" applyFont="1"/>
    <xf numFmtId="0" fontId="14" fillId="0" borderId="0" xfId="0" applyFont="1"/>
    <xf numFmtId="7" fontId="14" fillId="0" borderId="0" xfId="0" applyNumberFormat="1" applyFont="1" applyAlignment="1"/>
    <xf numFmtId="166" fontId="14" fillId="0" borderId="0" xfId="0" applyNumberFormat="1" applyFont="1" applyFill="1" applyAlignment="1"/>
    <xf numFmtId="37" fontId="14" fillId="0" borderId="0" xfId="0" applyNumberFormat="1" applyFont="1"/>
    <xf numFmtId="166" fontId="14" fillId="0" borderId="0" xfId="0" applyNumberFormat="1" applyFont="1" applyAlignment="1"/>
    <xf numFmtId="43" fontId="14" fillId="0" borderId="0" xfId="1" applyFont="1"/>
    <xf numFmtId="39" fontId="14" fillId="0" borderId="0" xfId="0" applyNumberFormat="1" applyFont="1"/>
    <xf numFmtId="166" fontId="1" fillId="0" borderId="0" xfId="0" applyNumberFormat="1" applyFont="1" applyAlignment="1"/>
    <xf numFmtId="7" fontId="1" fillId="0" borderId="0" xfId="0" applyNumberFormat="1" applyFont="1"/>
    <xf numFmtId="169" fontId="14" fillId="0" borderId="0" xfId="0" applyNumberFormat="1" applyFont="1"/>
    <xf numFmtId="7" fontId="14" fillId="0" borderId="0" xfId="0" applyNumberFormat="1" applyFont="1"/>
    <xf numFmtId="169" fontId="1" fillId="0" borderId="0" xfId="0" applyNumberFormat="1" applyFont="1"/>
    <xf numFmtId="165" fontId="1" fillId="0" borderId="0" xfId="0" applyNumberFormat="1" applyFont="1"/>
    <xf numFmtId="165" fontId="14" fillId="0" borderId="0" xfId="0" applyNumberFormat="1" applyFont="1"/>
    <xf numFmtId="37" fontId="14" fillId="0" borderId="0" xfId="0" applyNumberFormat="1" applyFont="1" applyAlignment="1"/>
    <xf numFmtId="37" fontId="1" fillId="0" borderId="0" xfId="0" applyNumberFormat="1" applyFont="1" applyAlignment="1"/>
    <xf numFmtId="168" fontId="14" fillId="0" borderId="0" xfId="1" applyNumberFormat="1" applyFont="1"/>
    <xf numFmtId="168" fontId="14" fillId="0" borderId="0" xfId="0" applyNumberFormat="1" applyFont="1"/>
    <xf numFmtId="5" fontId="0" fillId="0" borderId="0" xfId="1" applyNumberFormat="1" applyFont="1"/>
    <xf numFmtId="168" fontId="0" fillId="0" borderId="0" xfId="1" applyNumberFormat="1" applyFont="1" applyFill="1"/>
    <xf numFmtId="164" fontId="14" fillId="0" borderId="0" xfId="0" applyNumberFormat="1" applyFont="1" applyFill="1"/>
    <xf numFmtId="43" fontId="0" fillId="0" borderId="0" xfId="1" applyFont="1" applyFill="1"/>
    <xf numFmtId="170" fontId="14" fillId="0" borderId="0" xfId="3" applyNumberFormat="1" applyFont="1" applyAlignment="1"/>
    <xf numFmtId="3" fontId="0" fillId="0" borderId="0" xfId="0" applyNumberFormat="1"/>
    <xf numFmtId="3" fontId="0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0" fillId="0" borderId="0" xfId="0" applyNumberFormat="1" applyFill="1"/>
    <xf numFmtId="0" fontId="15" fillId="0" borderId="0" xfId="0" applyFont="1"/>
    <xf numFmtId="3" fontId="15" fillId="0" borderId="0" xfId="0" applyNumberFormat="1" applyFont="1"/>
    <xf numFmtId="0" fontId="15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5" fontId="15" fillId="0" borderId="0" xfId="0" applyNumberFormat="1" applyFont="1"/>
    <xf numFmtId="10" fontId="15" fillId="0" borderId="0" xfId="3" applyNumberFormat="1" applyFont="1"/>
    <xf numFmtId="168" fontId="15" fillId="0" borderId="0" xfId="1" applyNumberFormat="1" applyFont="1"/>
    <xf numFmtId="0" fontId="15" fillId="0" borderId="2" xfId="0" applyFont="1" applyBorder="1"/>
    <xf numFmtId="5" fontId="15" fillId="0" borderId="2" xfId="0" applyNumberFormat="1" applyFont="1" applyBorder="1"/>
    <xf numFmtId="10" fontId="15" fillId="0" borderId="2" xfId="3" applyNumberFormat="1" applyFont="1" applyBorder="1"/>
    <xf numFmtId="168" fontId="15" fillId="0" borderId="2" xfId="1" applyNumberFormat="1" applyFont="1" applyBorder="1"/>
    <xf numFmtId="168" fontId="15" fillId="0" borderId="0" xfId="0" applyNumberFormat="1" applyFont="1"/>
    <xf numFmtId="0" fontId="16" fillId="0" borderId="0" xfId="0" applyFont="1" applyAlignment="1">
      <alignment horizontal="right"/>
    </xf>
    <xf numFmtId="168" fontId="15" fillId="0" borderId="0" xfId="1" applyNumberFormat="1" applyFont="1" applyAlignment="1">
      <alignment horizontal="right"/>
    </xf>
    <xf numFmtId="10" fontId="15" fillId="0" borderId="0" xfId="3" applyNumberFormat="1" applyFont="1" applyAlignment="1">
      <alignment horizontal="left"/>
    </xf>
    <xf numFmtId="10" fontId="15" fillId="0" borderId="3" xfId="3" applyNumberFormat="1" applyFont="1" applyBorder="1" applyAlignment="1">
      <alignment vertical="center"/>
    </xf>
    <xf numFmtId="10" fontId="15" fillId="0" borderId="0" xfId="3" applyNumberFormat="1" applyFont="1" applyBorder="1" applyAlignment="1">
      <alignment horizontal="left" vertical="center"/>
    </xf>
  </cellXfs>
  <cellStyles count="10">
    <cellStyle name="Comma" xfId="1" builtinId="3"/>
    <cellStyle name="Comma 2" xfId="2"/>
    <cellStyle name="Normal" xfId="0" builtinId="0"/>
    <cellStyle name="Percent" xfId="3" builtinId="5"/>
    <cellStyle name="PSChar" xfId="4"/>
    <cellStyle name="PSDate" xfId="5"/>
    <cellStyle name="PSDec" xfId="6"/>
    <cellStyle name="PSHeading" xfId="7"/>
    <cellStyle name="PSInt" xfId="8"/>
    <cellStyle name="PSSpacer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4" Type="http://schemas.openxmlformats.org/officeDocument/2006/relationships/styles" Target="styles.xml" />
  <Relationship Id="rId33" Type="http://schemas.openxmlformats.org/officeDocument/2006/relationships/theme" Target="theme/theme1.xml" />
  <Relationship Id="rId3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1" Type="http://schemas.openxmlformats.org/officeDocument/2006/relationships/worksheet" Target="worksheets/sheet11.xml" />
  <Relationship Id="rId12" Type="http://schemas.openxmlformats.org/officeDocument/2006/relationships/worksheet" Target="worksheets/sheet12.xml" />
  <Relationship Id="rId13" Type="http://schemas.openxmlformats.org/officeDocument/2006/relationships/worksheet" Target="worksheets/sheet13.xml" />
  <Relationship Id="rId14" Type="http://schemas.openxmlformats.org/officeDocument/2006/relationships/worksheet" Target="worksheets/sheet14.xml" />
  <Relationship Id="rId15" Type="http://schemas.openxmlformats.org/officeDocument/2006/relationships/worksheet" Target="worksheets/sheet15.xml" />
  <Relationship Id="rId16" Type="http://schemas.openxmlformats.org/officeDocument/2006/relationships/worksheet" Target="worksheets/sheet16.xml" />
  <Relationship Id="rId17" Type="http://schemas.openxmlformats.org/officeDocument/2006/relationships/worksheet" Target="worksheets/sheet17.xml" />
  <Relationship Id="rId18" Type="http://schemas.openxmlformats.org/officeDocument/2006/relationships/worksheet" Target="worksheets/sheet18.xml" />
  <Relationship Id="rId19" Type="http://schemas.openxmlformats.org/officeDocument/2006/relationships/worksheet" Target="worksheets/sheet19.xml" />
  <Relationship Id="rId20" Type="http://schemas.openxmlformats.org/officeDocument/2006/relationships/worksheet" Target="worksheets/sheet20.xml" />
  <Relationship Id="rId21" Type="http://schemas.openxmlformats.org/officeDocument/2006/relationships/worksheet" Target="worksheets/sheet21.xml" />
  <Relationship Id="rId22" Type="http://schemas.openxmlformats.org/officeDocument/2006/relationships/worksheet" Target="worksheets/sheet22.xml" />
  <Relationship Id="rId23" Type="http://schemas.openxmlformats.org/officeDocument/2006/relationships/worksheet" Target="worksheets/sheet23.xml" />
  <Relationship Id="rId24" Type="http://schemas.openxmlformats.org/officeDocument/2006/relationships/worksheet" Target="worksheets/sheet24.xml" />
  <Relationship Id="rId25" Type="http://schemas.openxmlformats.org/officeDocument/2006/relationships/worksheet" Target="worksheets/sheet25.xml" />
  <Relationship Id="rId26" Type="http://schemas.openxmlformats.org/officeDocument/2006/relationships/worksheet" Target="worksheets/sheet26.xml" />
  <Relationship Id="rId27" Type="http://schemas.openxmlformats.org/officeDocument/2006/relationships/worksheet" Target="worksheets/sheet27.xml" />
  <Relationship Id="rId28" Type="http://schemas.openxmlformats.org/officeDocument/2006/relationships/worksheet" Target="worksheets/sheet28.xml" />
  <Relationship Id="rId29" Type="http://schemas.openxmlformats.org/officeDocument/2006/relationships/worksheet" Target="worksheets/sheet29.xml" />
  <Relationship Id="rId30" Type="http://schemas.openxmlformats.org/officeDocument/2006/relationships/worksheet" Target="worksheets/sheet30.xml" />
  <Relationship Id="rId31" Type="http://schemas.openxmlformats.org/officeDocument/2006/relationships/worksheet" Target="worksheets/sheet31.xml" />
  <Relationship Id="rId32" Type="http://schemas.openxmlformats.org/officeDocument/2006/relationships/worksheet" Target="worksheets/sheet32.xml" />
  <Relationship Id="rId36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1.bin" />
</Relationships>
</file>

<file path=xl/worksheets/_rels/sheet2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2.bin" />
</Relationships>
</file>

<file path=xl/worksheets/_rels/sheet2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3.bin" />
</Relationships>
</file>

<file path=xl/worksheets/_rels/sheet2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4.bin" />
</Relationships>
</file>

<file path=xl/worksheets/_rels/sheet2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5.bin" />
</Relationships>
</file>

<file path=xl/worksheets/_rels/sheet2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6.bin" />
</Relationships>
</file>

<file path=xl/worksheets/_rels/sheet2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7.bin" />
</Relationships>
</file>

<file path=xl/worksheets/_rels/sheet2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8.bin" />
</Relationships>
</file>

<file path=xl/worksheets/_rels/sheet2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9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3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0.bin" />
</Relationships>
</file>

<file path=xl/worksheets/_rels/sheet3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1.bin" />
</Relationships>
</file>

<file path=xl/worksheets/_rels/sheet3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2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J1" sqref="J1"/>
    </sheetView>
  </sheetViews>
  <sheetFormatPr defaultColWidth="9.109375" defaultRowHeight="15.6" x14ac:dyDescent="0.3"/>
  <cols>
    <col min="1" max="1" width="11.44140625" style="83" bestFit="1" customWidth="1"/>
    <col min="2" max="2" width="10.88671875" style="83" bestFit="1" customWidth="1"/>
    <col min="3" max="4" width="14.44140625" style="83" bestFit="1" customWidth="1"/>
    <col min="5" max="5" width="13.33203125" style="83" bestFit="1" customWidth="1"/>
    <col min="6" max="6" width="14.44140625" style="83" bestFit="1" customWidth="1"/>
    <col min="7" max="7" width="13.33203125" style="83" bestFit="1" customWidth="1"/>
    <col min="8" max="8" width="11" style="83" bestFit="1" customWidth="1"/>
    <col min="9" max="9" width="2.109375" style="83" bestFit="1" customWidth="1"/>
    <col min="10" max="10" width="8.88671875" style="83" customWidth="1"/>
    <col min="11" max="11" width="9.109375" style="83"/>
    <col min="12" max="12" width="9.6640625" style="83" bestFit="1" customWidth="1"/>
    <col min="13" max="16384" width="9.109375" style="83"/>
  </cols>
  <sheetData>
    <row r="1" spans="1:10" x14ac:dyDescent="0.3">
      <c r="J1" s="97" t="s">
        <v>216</v>
      </c>
    </row>
    <row r="4" spans="1:10" x14ac:dyDescent="0.3">
      <c r="C4" s="85"/>
      <c r="D4" s="85" t="s">
        <v>201</v>
      </c>
      <c r="E4" s="85" t="s">
        <v>201</v>
      </c>
      <c r="F4" s="85" t="s">
        <v>201</v>
      </c>
      <c r="G4" s="85" t="s">
        <v>209</v>
      </c>
      <c r="H4" s="85"/>
      <c r="I4" s="85"/>
      <c r="J4" s="85"/>
    </row>
    <row r="5" spans="1:10" x14ac:dyDescent="0.3">
      <c r="B5" s="86" t="s">
        <v>194</v>
      </c>
      <c r="C5" s="85" t="s">
        <v>4</v>
      </c>
      <c r="D5" s="85" t="s">
        <v>208</v>
      </c>
      <c r="E5" s="85" t="s">
        <v>183</v>
      </c>
      <c r="F5" s="85" t="s">
        <v>14</v>
      </c>
      <c r="G5" s="85" t="s">
        <v>201</v>
      </c>
      <c r="H5" s="85" t="s">
        <v>201</v>
      </c>
      <c r="I5" s="85"/>
      <c r="J5" s="85" t="s">
        <v>107</v>
      </c>
    </row>
    <row r="6" spans="1:10" x14ac:dyDescent="0.3">
      <c r="A6" s="87" t="s">
        <v>85</v>
      </c>
      <c r="B6" s="88" t="s">
        <v>195</v>
      </c>
      <c r="C6" s="87" t="s">
        <v>7</v>
      </c>
      <c r="D6" s="87" t="s">
        <v>7</v>
      </c>
      <c r="E6" s="87" t="s">
        <v>7</v>
      </c>
      <c r="F6" s="87" t="s">
        <v>7</v>
      </c>
      <c r="G6" s="87" t="s">
        <v>200</v>
      </c>
      <c r="H6" s="87" t="s">
        <v>210</v>
      </c>
      <c r="I6" s="87"/>
      <c r="J6" s="87" t="s">
        <v>200</v>
      </c>
    </row>
    <row r="7" spans="1:10" x14ac:dyDescent="0.3">
      <c r="A7" s="87"/>
      <c r="B7" s="84"/>
    </row>
    <row r="8" spans="1:10" x14ac:dyDescent="0.3">
      <c r="A8" s="83" t="s">
        <v>196</v>
      </c>
      <c r="B8" s="91">
        <f>SUM(SUMMARY!G10:G14)</f>
        <v>138300</v>
      </c>
      <c r="C8" s="89">
        <f>SUM(SUMMARY!B10:B14)</f>
        <v>230140566.55006018</v>
      </c>
      <c r="D8" s="89">
        <f>F8-E8</f>
        <v>224394155.50083008</v>
      </c>
      <c r="E8" s="89">
        <f>SUM(RS!G30:G36,RSLMTOD!G32:G38,RSTOD!G29:G35)</f>
        <v>28515689.664624151</v>
      </c>
      <c r="F8" s="89">
        <f>SUM(SUMMARY!C10:C14)</f>
        <v>252909845.16545424</v>
      </c>
      <c r="G8" s="89">
        <f>F8-C8</f>
        <v>22769278.615394056</v>
      </c>
      <c r="H8" s="90">
        <v>4.2500000000000003E-2</v>
      </c>
      <c r="I8" s="90"/>
      <c r="J8" s="90">
        <f>IF(C8&gt;0,G8/C8,0)</f>
        <v>9.8936397683896726E-2</v>
      </c>
    </row>
    <row r="9" spans="1:10" ht="4.5" customHeight="1" x14ac:dyDescent="0.3">
      <c r="B9" s="91"/>
      <c r="J9" s="90"/>
    </row>
    <row r="10" spans="1:10" x14ac:dyDescent="0.3">
      <c r="A10" s="83" t="s">
        <v>198</v>
      </c>
      <c r="B10" s="91">
        <f>SUM(SUMMARY!G18:G24)</f>
        <v>23823</v>
      </c>
      <c r="C10" s="89">
        <f>SUM(SUMMARY!B18:B24)</f>
        <v>19611845.67277623</v>
      </c>
      <c r="D10" s="89">
        <f>F10-E10</f>
        <v>18711832.944156226</v>
      </c>
      <c r="E10" s="89">
        <f>SUM(SGS!G26:G32,SGSLMTOD!G26:G32,SGSEXPTOD!G27:G33,'SGS-NM'!G26:G32)</f>
        <v>2634305.2825191203</v>
      </c>
      <c r="F10" s="89">
        <f>SUM(SUMMARY!C18:C24)</f>
        <v>21346138.226675346</v>
      </c>
      <c r="G10" s="89">
        <f>F10-C10</f>
        <v>1734292.5538991168</v>
      </c>
      <c r="H10" s="90">
        <v>0.1331</v>
      </c>
      <c r="I10" s="90"/>
      <c r="J10" s="90">
        <f>IF(C10&gt;0,G10/C10,0)</f>
        <v>8.8430868916459932E-2</v>
      </c>
    </row>
    <row r="11" spans="1:10" ht="4.5" customHeight="1" x14ac:dyDescent="0.3">
      <c r="B11" s="91"/>
      <c r="J11" s="90"/>
    </row>
    <row r="12" spans="1:10" x14ac:dyDescent="0.3">
      <c r="A12" s="83" t="s">
        <v>149</v>
      </c>
      <c r="B12" s="91">
        <f>SUM(SUMMARY!G26:G36)</f>
        <v>7297</v>
      </c>
      <c r="C12" s="89">
        <f>SUM(SUMMARY!B26:B36)</f>
        <v>59677591.828649312</v>
      </c>
      <c r="D12" s="89">
        <f>F12-E12</f>
        <v>57105497.993209325</v>
      </c>
      <c r="E12" s="89">
        <f>SUM('MGS RL'!G24:G30,'MGS-SEC'!G30:G38,MGSLMTOD!G26:G32,MGSTOD!G26:G32,'MGS-PRI'!G31:G39,'MGS-SUB'!G30:G38)</f>
        <v>7857058.7525551552</v>
      </c>
      <c r="F12" s="89">
        <f>SUM(SUMMARY!C26:C36)</f>
        <v>64962556.745764479</v>
      </c>
      <c r="G12" s="89">
        <f>F12-C12</f>
        <v>5284964.9171151668</v>
      </c>
      <c r="H12" s="90">
        <v>0.14149999999999999</v>
      </c>
      <c r="I12" s="90"/>
      <c r="J12" s="90">
        <f>IF(C12&gt;0,G12/C12,0)</f>
        <v>8.8558615640687149E-2</v>
      </c>
    </row>
    <row r="13" spans="1:10" ht="4.5" customHeight="1" x14ac:dyDescent="0.3">
      <c r="B13" s="91"/>
      <c r="J13" s="90"/>
    </row>
    <row r="14" spans="1:10" x14ac:dyDescent="0.3">
      <c r="A14" s="83" t="s">
        <v>207</v>
      </c>
      <c r="B14" s="91">
        <f>SUM(SUMMARY!G38:G40)</f>
        <v>183</v>
      </c>
      <c r="C14" s="89">
        <f>SUM(SUMMARY!B38:B40)</f>
        <v>13648403.456801748</v>
      </c>
      <c r="D14" s="89">
        <f>F14-E14</f>
        <v>12598231.459537722</v>
      </c>
      <c r="E14" s="89">
        <f>SUM('School Sec'!G28:G36,'School Pri'!G28:G36)</f>
        <v>1749853.0749967152</v>
      </c>
      <c r="F14" s="89">
        <f>SUM(SUMMARY!C38:C40)</f>
        <v>14348084.534534438</v>
      </c>
      <c r="G14" s="89">
        <f>F14-C14</f>
        <v>699681.07773268968</v>
      </c>
      <c r="H14" s="100">
        <v>0.10639999999999999</v>
      </c>
      <c r="I14" s="101" t="s">
        <v>211</v>
      </c>
      <c r="J14" s="90">
        <f>IF(C14&gt;0,G14/C14,0)</f>
        <v>5.1264683077931743E-2</v>
      </c>
    </row>
    <row r="15" spans="1:10" ht="4.5" customHeight="1" x14ac:dyDescent="0.3">
      <c r="B15" s="91"/>
      <c r="H15" s="100"/>
      <c r="I15" s="101"/>
      <c r="J15" s="99" t="s">
        <v>212</v>
      </c>
    </row>
    <row r="16" spans="1:10" x14ac:dyDescent="0.3">
      <c r="A16" s="83" t="s">
        <v>150</v>
      </c>
      <c r="B16" s="91">
        <f>SUM(SUMMARY!G42:G50)</f>
        <v>673</v>
      </c>
      <c r="C16" s="89">
        <f>SUM(SUMMARY!B42:B50)</f>
        <v>56921243.947001182</v>
      </c>
      <c r="D16" s="89">
        <f>F16-E16</f>
        <v>54650948.155385219</v>
      </c>
      <c r="E16" s="89">
        <f>SUM('LGS-SEC'!G28:G36,LGSLMTOD!G28:G34,'LGS-PRI'!G28:G36,'LGS-SUB'!G28:G36,'LGS-TRAN'!G28:G36)</f>
        <v>7309445.4747229805</v>
      </c>
      <c r="F16" s="89">
        <f>SUM(SUMMARY!C42:C50)</f>
        <v>61960393.6301082</v>
      </c>
      <c r="G16" s="89">
        <f>F16-C16</f>
        <v>5039149.6831070185</v>
      </c>
      <c r="H16" s="100"/>
      <c r="I16" s="101"/>
      <c r="J16" s="90">
        <f>IF(C16&gt;0,G16/C16,0)</f>
        <v>8.8528453239688887E-2</v>
      </c>
    </row>
    <row r="17" spans="1:10" ht="4.5" customHeight="1" x14ac:dyDescent="0.3">
      <c r="B17" s="91"/>
      <c r="J17" s="90"/>
    </row>
    <row r="18" spans="1:10" x14ac:dyDescent="0.3">
      <c r="A18" s="83" t="s">
        <v>199</v>
      </c>
      <c r="B18" s="91">
        <f>SUM(SUMMARY!G52:G62)</f>
        <v>88</v>
      </c>
      <c r="C18" s="89">
        <f>SUM(SUMMARY!B52:B62)</f>
        <v>171550109.19501889</v>
      </c>
      <c r="D18" s="89">
        <f>F18-E18</f>
        <v>161500720.48901886</v>
      </c>
      <c r="E18" s="89">
        <f>SUM('QP-SEC'!G31:G39,'QP-PRI'!G34:G42,'QP-SUB'!G31:G39,'QP-TRAN'!G31:G39,'CIPTOD-SUB'!G32:G40,'CIPTOD-TRAN'!G32:G40)</f>
        <v>19197129.233955573</v>
      </c>
      <c r="F18" s="89">
        <f>SUM(SUMMARY!C52:C62)</f>
        <v>180697849.72297442</v>
      </c>
      <c r="G18" s="89">
        <f>F18-C18</f>
        <v>9147740.5279555321</v>
      </c>
      <c r="H18" s="90">
        <v>7.6999999999999999E-2</v>
      </c>
      <c r="I18" s="90"/>
      <c r="J18" s="90">
        <f>IF(C18&gt;0,G18/C18,0)</f>
        <v>5.3324014603548527E-2</v>
      </c>
    </row>
    <row r="19" spans="1:10" ht="4.5" customHeight="1" x14ac:dyDescent="0.3">
      <c r="B19" s="91"/>
      <c r="J19" s="90"/>
    </row>
    <row r="20" spans="1:10" x14ac:dyDescent="0.3">
      <c r="A20" s="83" t="s">
        <v>197</v>
      </c>
      <c r="B20" s="98" t="s">
        <v>212</v>
      </c>
      <c r="C20" s="89">
        <f>SUMMARY!B16</f>
        <v>7256320.1293600164</v>
      </c>
      <c r="D20" s="89">
        <f>F20-E20</f>
        <v>6905966.9033600185</v>
      </c>
      <c r="E20" s="89">
        <f>SUM(OL!G62:G66)</f>
        <v>920785.08343597734</v>
      </c>
      <c r="F20" s="89">
        <f>SUMMARY!C16</f>
        <v>7826751.9867959954</v>
      </c>
      <c r="G20" s="89">
        <f>F20-C20</f>
        <v>570431.85743597895</v>
      </c>
      <c r="H20" s="90">
        <v>0.10440000000000001</v>
      </c>
      <c r="I20" s="90"/>
      <c r="J20" s="90">
        <f>IF(C20&gt;0,G20/C20,0)</f>
        <v>7.8611727055417163E-2</v>
      </c>
    </row>
    <row r="21" spans="1:10" ht="4.5" customHeight="1" x14ac:dyDescent="0.3">
      <c r="B21" s="91"/>
      <c r="J21" s="90"/>
    </row>
    <row r="22" spans="1:10" x14ac:dyDescent="0.3">
      <c r="A22" s="83" t="s">
        <v>151</v>
      </c>
      <c r="B22" s="91">
        <f>SUMMARY!G64</f>
        <v>56</v>
      </c>
      <c r="C22" s="89">
        <f>SUMMARY!B64</f>
        <v>1422708.5094667622</v>
      </c>
      <c r="D22" s="89">
        <f>F22-E22</f>
        <v>1357690.0618667619</v>
      </c>
      <c r="E22" s="89">
        <f>SUM(SL!G41:G47)</f>
        <v>178894.14192914148</v>
      </c>
      <c r="F22" s="89">
        <f>SUMMARY!C64</f>
        <v>1536584.2037959034</v>
      </c>
      <c r="G22" s="89">
        <f>F22-C22</f>
        <v>113875.69432914117</v>
      </c>
      <c r="H22" s="90">
        <v>0.15570000000000001</v>
      </c>
      <c r="I22" s="90"/>
      <c r="J22" s="90">
        <f>IF(C22&gt;0,G22/C22,0)</f>
        <v>8.0041479734891244E-2</v>
      </c>
    </row>
    <row r="23" spans="1:10" ht="4.5" customHeight="1" x14ac:dyDescent="0.3">
      <c r="B23" s="91"/>
      <c r="J23" s="90"/>
    </row>
    <row r="24" spans="1:10" x14ac:dyDescent="0.3">
      <c r="A24" s="92" t="s">
        <v>160</v>
      </c>
      <c r="B24" s="95">
        <f>SUMMARY!G66</f>
        <v>11</v>
      </c>
      <c r="C24" s="93">
        <f>SUMMARY!B66</f>
        <v>364283.56187718216</v>
      </c>
      <c r="D24" s="93">
        <f>F24-E24</f>
        <v>348257.45957718208</v>
      </c>
      <c r="E24" s="93">
        <f>SUM(MW!G27:G33)</f>
        <v>45354.058973898573</v>
      </c>
      <c r="F24" s="93">
        <f>SUMMARY!C66</f>
        <v>393611.51855108066</v>
      </c>
      <c r="G24" s="93">
        <f>F24-C24</f>
        <v>29327.956673898501</v>
      </c>
      <c r="H24" s="94">
        <v>0.12989999999999999</v>
      </c>
      <c r="I24" s="94"/>
      <c r="J24" s="94">
        <f>IF(C24&gt;0,G24/C24,0)</f>
        <v>8.0508592050569636E-2</v>
      </c>
    </row>
    <row r="25" spans="1:10" ht="4.5" customHeight="1" x14ac:dyDescent="0.3"/>
    <row r="26" spans="1:10" x14ac:dyDescent="0.3">
      <c r="A26" s="83" t="s">
        <v>14</v>
      </c>
      <c r="B26" s="96">
        <f t="shared" ref="B26:G26" si="0">SUM(B8:B24)</f>
        <v>170431</v>
      </c>
      <c r="C26" s="89">
        <f t="shared" si="0"/>
        <v>560593072.8510114</v>
      </c>
      <c r="D26" s="89">
        <f t="shared" si="0"/>
        <v>537573300.96694148</v>
      </c>
      <c r="E26" s="89">
        <f t="shared" si="0"/>
        <v>68408514.767712712</v>
      </c>
      <c r="F26" s="89">
        <f t="shared" si="0"/>
        <v>605981815.73465419</v>
      </c>
      <c r="G26" s="89">
        <f t="shared" si="0"/>
        <v>45388742.883642599</v>
      </c>
      <c r="H26" s="90">
        <v>6.9599999999999995E-2</v>
      </c>
      <c r="I26" s="90"/>
      <c r="J26" s="90">
        <f>IF(C26&gt;0,G26/C26,0)</f>
        <v>8.0965579279830932E-2</v>
      </c>
    </row>
    <row r="27" spans="1:10" x14ac:dyDescent="0.3">
      <c r="J27"/>
    </row>
    <row r="28" spans="1:10" x14ac:dyDescent="0.3">
      <c r="A28" s="83" t="s">
        <v>213</v>
      </c>
    </row>
    <row r="29" spans="1:10" x14ac:dyDescent="0.3">
      <c r="A29" s="83" t="s">
        <v>214</v>
      </c>
    </row>
  </sheetData>
  <mergeCells count="2">
    <mergeCell ref="H14:H16"/>
    <mergeCell ref="I14:I16"/>
  </mergeCells>
  <printOptions horizontalCentered="1"/>
  <pageMargins left="0.5" right="0.5" top="0.5" bottom="0.5" header="0.3" footer="0.3"/>
  <pageSetup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4"/>
  <sheetViews>
    <sheetView workbookViewId="0">
      <selection activeCell="D30" sqref="D30:D38"/>
    </sheetView>
  </sheetViews>
  <sheetFormatPr defaultRowHeight="13.2" x14ac:dyDescent="0.25"/>
  <cols>
    <col min="1" max="1" width="21.109375" customWidth="1"/>
    <col min="2" max="2" width="15" customWidth="1"/>
    <col min="3" max="3" width="14.109375" customWidth="1"/>
    <col min="4" max="4" width="15.109375" customWidth="1"/>
    <col min="5" max="5" width="16.33203125" style="21" customWidth="1"/>
    <col min="6" max="6" width="12.33203125" style="21" customWidth="1"/>
    <col min="7" max="7" width="15.664062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115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4" t="s">
        <v>8</v>
      </c>
    </row>
    <row r="13" spans="1:7" x14ac:dyDescent="0.25">
      <c r="A13" t="s">
        <v>53</v>
      </c>
      <c r="B13" s="59">
        <v>333938968</v>
      </c>
      <c r="C13" s="67">
        <v>9.8619999999999999E-2</v>
      </c>
      <c r="D13" s="8">
        <f>+B13*C13</f>
        <v>32933061.024160001</v>
      </c>
      <c r="E13" s="25">
        <f>B13</f>
        <v>333938968</v>
      </c>
      <c r="F13" s="65">
        <v>0.10313</v>
      </c>
      <c r="G13" s="8">
        <f>+E13*F13</f>
        <v>34439125.769840002</v>
      </c>
    </row>
    <row r="14" spans="1:7" x14ac:dyDescent="0.25">
      <c r="A14" t="s">
        <v>54</v>
      </c>
      <c r="B14" s="59">
        <v>162854869</v>
      </c>
      <c r="C14" s="67">
        <v>8.4599999999999995E-2</v>
      </c>
      <c r="D14" s="8">
        <f>+B14*C14</f>
        <v>13777521.917399999</v>
      </c>
      <c r="E14" s="25">
        <f>B14</f>
        <v>162854869</v>
      </c>
      <c r="F14" s="65">
        <v>8.8510000000000005E-2</v>
      </c>
      <c r="G14" s="8">
        <f>+E14*F14</f>
        <v>14414284.455190001</v>
      </c>
    </row>
    <row r="15" spans="1:7" x14ac:dyDescent="0.25">
      <c r="A15" t="s">
        <v>55</v>
      </c>
      <c r="B15" s="59">
        <v>0</v>
      </c>
      <c r="C15" s="64"/>
      <c r="D15" s="8"/>
      <c r="E15" s="25">
        <f>B15</f>
        <v>0</v>
      </c>
      <c r="F15" s="66"/>
      <c r="G15" s="8"/>
    </row>
    <row r="16" spans="1:7" x14ac:dyDescent="0.25">
      <c r="A16" t="s">
        <v>11</v>
      </c>
      <c r="B16" s="5">
        <f>SUM(B13:B15)</f>
        <v>496793837</v>
      </c>
      <c r="C16" s="64"/>
      <c r="D16" s="8"/>
      <c r="E16" s="25">
        <f>SUM(E13:E15)</f>
        <v>496793837</v>
      </c>
      <c r="F16" s="66"/>
      <c r="G16" s="8"/>
    </row>
    <row r="17" spans="1:7" x14ac:dyDescent="0.25">
      <c r="C17" s="64"/>
      <c r="D17" s="8"/>
      <c r="E17" s="25"/>
      <c r="F17" s="66"/>
      <c r="G17" s="8"/>
    </row>
    <row r="18" spans="1:7" x14ac:dyDescent="0.25">
      <c r="A18" t="s">
        <v>56</v>
      </c>
      <c r="C18" s="64"/>
      <c r="D18" s="8"/>
      <c r="E18" s="25"/>
      <c r="F18" s="66"/>
      <c r="G18" s="8"/>
    </row>
    <row r="19" spans="1:7" x14ac:dyDescent="0.25">
      <c r="A19" t="s">
        <v>57</v>
      </c>
      <c r="B19" s="59">
        <v>2076023</v>
      </c>
      <c r="C19" s="64">
        <v>1.64</v>
      </c>
      <c r="D19" s="8">
        <f>+B19*C19</f>
        <v>3404677.7199999997</v>
      </c>
      <c r="E19" s="25">
        <f>B19</f>
        <v>2076023</v>
      </c>
      <c r="F19" s="66">
        <v>1.91</v>
      </c>
      <c r="G19" s="8">
        <f>+E19*F19</f>
        <v>3965203.9299999997</v>
      </c>
    </row>
    <row r="20" spans="1:7" x14ac:dyDescent="0.25">
      <c r="A20" t="s">
        <v>58</v>
      </c>
      <c r="B20" s="59">
        <v>0</v>
      </c>
      <c r="C20" s="64">
        <v>6.84</v>
      </c>
      <c r="D20" s="8">
        <f>+B20*C20</f>
        <v>0</v>
      </c>
      <c r="E20" s="25">
        <f>B20</f>
        <v>0</v>
      </c>
      <c r="F20" s="66">
        <v>7.95</v>
      </c>
      <c r="G20" s="8">
        <f>+E20*F20</f>
        <v>0</v>
      </c>
    </row>
    <row r="21" spans="1:7" x14ac:dyDescent="0.25">
      <c r="B21" s="56"/>
      <c r="C21" s="64"/>
      <c r="D21" s="8"/>
      <c r="E21" s="25"/>
      <c r="F21" s="66"/>
      <c r="G21" s="8"/>
    </row>
    <row r="22" spans="1:7" x14ac:dyDescent="0.25">
      <c r="A22" t="s">
        <v>12</v>
      </c>
      <c r="B22" s="59">
        <v>84018</v>
      </c>
      <c r="C22" s="64">
        <v>13.5</v>
      </c>
      <c r="D22" s="8">
        <f>+B22*C22</f>
        <v>1134243</v>
      </c>
      <c r="E22" s="25">
        <f>B22</f>
        <v>84018</v>
      </c>
      <c r="F22" s="66">
        <v>17.5</v>
      </c>
      <c r="G22" s="8">
        <f>+E22*F22</f>
        <v>1470315</v>
      </c>
    </row>
    <row r="23" spans="1:7" x14ac:dyDescent="0.25">
      <c r="B23" s="56"/>
      <c r="C23" s="6"/>
      <c r="D23" s="8"/>
      <c r="E23" s="25"/>
      <c r="F23" s="66"/>
      <c r="G23" s="8"/>
    </row>
    <row r="24" spans="1:7" x14ac:dyDescent="0.25">
      <c r="A24" t="s">
        <v>13</v>
      </c>
      <c r="B24" s="59">
        <v>84048</v>
      </c>
      <c r="C24" s="6"/>
      <c r="D24" s="8"/>
      <c r="E24" s="25">
        <f>B24</f>
        <v>84048</v>
      </c>
      <c r="F24" s="66"/>
      <c r="G24" s="8"/>
    </row>
    <row r="25" spans="1:7" x14ac:dyDescent="0.25">
      <c r="C25" s="6"/>
      <c r="D25" s="8"/>
      <c r="E25" s="25"/>
      <c r="F25" s="66"/>
      <c r="G25" s="8"/>
    </row>
    <row r="26" spans="1:7" x14ac:dyDescent="0.25">
      <c r="A26" t="str">
        <f>+RS!A$26</f>
        <v xml:space="preserve">Fuel </v>
      </c>
      <c r="C26" s="11">
        <f>+RS!C26</f>
        <v>2.0411219651722302E-3</v>
      </c>
      <c r="D26" s="8">
        <f>+B16*C26</f>
        <v>1014016.8128628926</v>
      </c>
      <c r="F26" s="60">
        <f>+RS!F26</f>
        <v>2.0411219651722302E-3</v>
      </c>
      <c r="G26" s="8">
        <f>+E16*F26</f>
        <v>1014016.8128628926</v>
      </c>
    </row>
    <row r="27" spans="1:7" x14ac:dyDescent="0.25">
      <c r="C27" s="7"/>
      <c r="D27" s="8"/>
      <c r="F27" s="22"/>
      <c r="G27" s="8"/>
    </row>
    <row r="28" spans="1:7" x14ac:dyDescent="0.25">
      <c r="A28" t="str">
        <f>+RS!A$28</f>
        <v>Asset Transfer Rider</v>
      </c>
      <c r="D28" s="45">
        <f>+ATR!D21</f>
        <v>5593599.9500000002</v>
      </c>
      <c r="G28" s="45"/>
    </row>
    <row r="29" spans="1:7" x14ac:dyDescent="0.25">
      <c r="D29" s="45"/>
      <c r="G29" s="45"/>
    </row>
    <row r="30" spans="1:7" x14ac:dyDescent="0.25">
      <c r="A30" t="str">
        <f>RS!A30</f>
        <v>Economic Development Rider</v>
      </c>
      <c r="D30" s="45"/>
      <c r="E30" s="25">
        <f>E22</f>
        <v>84018</v>
      </c>
      <c r="F30" s="66">
        <f>RS!F30</f>
        <v>0.15</v>
      </c>
      <c r="G30" s="45">
        <f>E30*F30</f>
        <v>12602.699999999999</v>
      </c>
    </row>
    <row r="31" spans="1:7" x14ac:dyDescent="0.25">
      <c r="D31" s="45"/>
      <c r="E31" s="25"/>
      <c r="F31" s="66"/>
      <c r="G31" s="45"/>
    </row>
    <row r="32" spans="1:7" x14ac:dyDescent="0.25">
      <c r="A32" s="46" t="s">
        <v>190</v>
      </c>
      <c r="D32" s="45"/>
      <c r="E32" s="25"/>
      <c r="F32" s="65">
        <v>1.41E-3</v>
      </c>
      <c r="G32" s="45">
        <f>+F32*E16</f>
        <v>700479.31016999995</v>
      </c>
    </row>
    <row r="33" spans="1:7" x14ac:dyDescent="0.25">
      <c r="D33" s="45"/>
      <c r="E33" s="25"/>
      <c r="F33" s="66"/>
      <c r="G33" s="45"/>
    </row>
    <row r="34" spans="1:7" x14ac:dyDescent="0.25">
      <c r="A34" s="46" t="s">
        <v>191</v>
      </c>
      <c r="D34" s="45"/>
      <c r="E34" s="25"/>
      <c r="F34" s="66">
        <v>0.34</v>
      </c>
      <c r="G34" s="45">
        <f>+F34*(E19+E20)</f>
        <v>705847.82000000007</v>
      </c>
    </row>
    <row r="35" spans="1:7" x14ac:dyDescent="0.25">
      <c r="D35" s="45"/>
      <c r="E35" s="25"/>
      <c r="F35" s="66"/>
      <c r="G35" s="45"/>
    </row>
    <row r="36" spans="1:7" x14ac:dyDescent="0.25">
      <c r="A36" t="str">
        <f>RS!A34</f>
        <v>Big Sandy Retirement Rider</v>
      </c>
      <c r="D36" s="45"/>
      <c r="E36" s="74">
        <f>SUM(G12:G35)-G26-G44</f>
        <v>41598914.014400005</v>
      </c>
      <c r="F36" s="78">
        <f>SGS!$F$30</f>
        <v>4.9917999999999997E-2</v>
      </c>
      <c r="G36" s="45">
        <f>E36*F36</f>
        <v>2076534.5897708193</v>
      </c>
    </row>
    <row r="37" spans="1:7" x14ac:dyDescent="0.25">
      <c r="D37" s="45"/>
      <c r="E37" s="25"/>
      <c r="F37" s="57"/>
      <c r="G37" s="45"/>
    </row>
    <row r="38" spans="1:7" x14ac:dyDescent="0.25">
      <c r="A38" t="str">
        <f>+RS!A$36</f>
        <v>Environmental Surcharge</v>
      </c>
      <c r="D38" s="45"/>
      <c r="E38" s="74">
        <f>E36</f>
        <v>41598914.014400005</v>
      </c>
      <c r="F38" s="78">
        <f>SGS!$F$32</f>
        <v>9.8901000000000003E-2</v>
      </c>
      <c r="G38" s="45">
        <f>E38*F38</f>
        <v>4114174.1949381749</v>
      </c>
    </row>
    <row r="40" spans="1:7" x14ac:dyDescent="0.25">
      <c r="A40" t="s">
        <v>14</v>
      </c>
      <c r="D40" s="8">
        <f>SUM(D12:D38)</f>
        <v>57857120.424422897</v>
      </c>
      <c r="G40" s="8">
        <f>SUM(G12:G38)</f>
        <v>62912584.582771897</v>
      </c>
    </row>
    <row r="41" spans="1:7" x14ac:dyDescent="0.25">
      <c r="G41" s="25"/>
    </row>
    <row r="44" spans="1:7" x14ac:dyDescent="0.25">
      <c r="A44" s="46" t="s">
        <v>193</v>
      </c>
      <c r="F44" s="60">
        <f>SGS!$F$38</f>
        <v>2.8400000000000002E-2</v>
      </c>
      <c r="G44" s="8">
        <f>+E16*F44</f>
        <v>14108944.970800001</v>
      </c>
    </row>
  </sheetData>
  <phoneticPr fontId="0" type="noConversion"/>
  <pageMargins left="0.75" right="0.75" top="1" bottom="1" header="0.5" footer="0.5"/>
  <pageSetup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38"/>
  <sheetViews>
    <sheetView workbookViewId="0">
      <selection activeCell="D26" sqref="D26:D32"/>
    </sheetView>
  </sheetViews>
  <sheetFormatPr defaultRowHeight="13.2" x14ac:dyDescent="0.25"/>
  <cols>
    <col min="1" max="1" width="21.6640625" customWidth="1"/>
    <col min="2" max="2" width="11.33203125" customWidth="1"/>
    <col min="3" max="4" width="11.88671875" customWidth="1"/>
    <col min="5" max="5" width="16.33203125" style="21" customWidth="1"/>
    <col min="6" max="6" width="14" style="21" customWidth="1"/>
    <col min="7" max="7" width="13.664062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125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4" t="s">
        <v>8</v>
      </c>
    </row>
    <row r="13" spans="1:7" x14ac:dyDescent="0.25">
      <c r="A13" t="s">
        <v>21</v>
      </c>
      <c r="B13" s="59">
        <v>425019</v>
      </c>
      <c r="C13" s="67">
        <v>0.14801</v>
      </c>
      <c r="D13" s="8">
        <f>+B13*C13</f>
        <v>62907.062190000004</v>
      </c>
      <c r="E13" s="25">
        <f>+B13</f>
        <v>425019</v>
      </c>
      <c r="F13" s="65">
        <v>0.16070000000000001</v>
      </c>
      <c r="G13" s="8">
        <f>+E13*F13</f>
        <v>68300.5533</v>
      </c>
    </row>
    <row r="14" spans="1:7" x14ac:dyDescent="0.25">
      <c r="A14" t="s">
        <v>22</v>
      </c>
      <c r="B14" s="59">
        <v>629992</v>
      </c>
      <c r="C14" s="67">
        <v>5.1299999999999998E-2</v>
      </c>
      <c r="D14" s="8">
        <f>+B14*C14</f>
        <v>32318.589599999999</v>
      </c>
      <c r="E14" s="25">
        <f>+B14</f>
        <v>629992</v>
      </c>
      <c r="F14" s="65">
        <v>5.4559999999999997E-2</v>
      </c>
      <c r="G14" s="8">
        <f>+E14*F14</f>
        <v>34372.363519999999</v>
      </c>
    </row>
    <row r="15" spans="1:7" x14ac:dyDescent="0.25">
      <c r="B15" s="5"/>
      <c r="C15" s="46"/>
      <c r="D15" s="8"/>
      <c r="E15" s="25"/>
      <c r="F15" s="56"/>
      <c r="G15" s="8"/>
    </row>
    <row r="16" spans="1:7" x14ac:dyDescent="0.25">
      <c r="A16" t="s">
        <v>11</v>
      </c>
      <c r="B16" s="5">
        <f>SUM(B13:B14)</f>
        <v>1055011</v>
      </c>
      <c r="C16" s="46"/>
      <c r="D16" s="8"/>
      <c r="E16" s="25">
        <f>+B16</f>
        <v>1055011</v>
      </c>
      <c r="F16" s="56"/>
      <c r="G16" s="8"/>
    </row>
    <row r="17" spans="1:7" x14ac:dyDescent="0.25">
      <c r="B17" s="5"/>
      <c r="C17" s="46"/>
      <c r="D17" s="8"/>
      <c r="E17" s="25"/>
      <c r="F17" s="56"/>
      <c r="G17" s="8"/>
    </row>
    <row r="18" spans="1:7" x14ac:dyDescent="0.25">
      <c r="A18" t="s">
        <v>12</v>
      </c>
      <c r="B18" s="59">
        <v>552</v>
      </c>
      <c r="C18" s="64">
        <v>3</v>
      </c>
      <c r="D18" s="8">
        <f>+B18*C18</f>
        <v>1656</v>
      </c>
      <c r="E18" s="25">
        <f>+B18</f>
        <v>552</v>
      </c>
      <c r="F18" s="66">
        <v>3.75</v>
      </c>
      <c r="G18" s="8">
        <f>+E18*F18</f>
        <v>2070</v>
      </c>
    </row>
    <row r="19" spans="1:7" x14ac:dyDescent="0.25">
      <c r="B19" s="59"/>
      <c r="C19" s="46"/>
      <c r="D19" s="8"/>
      <c r="E19" s="25"/>
      <c r="F19" s="56"/>
      <c r="G19" s="8"/>
    </row>
    <row r="20" spans="1:7" x14ac:dyDescent="0.25">
      <c r="A20" t="s">
        <v>13</v>
      </c>
      <c r="B20" s="59">
        <v>552</v>
      </c>
      <c r="C20" s="46"/>
      <c r="D20" s="8"/>
      <c r="E20" s="25">
        <f>+B20</f>
        <v>552</v>
      </c>
      <c r="F20" s="56"/>
      <c r="G20" s="8"/>
    </row>
    <row r="21" spans="1:7" x14ac:dyDescent="0.25">
      <c r="C21" s="46"/>
      <c r="D21" s="8"/>
      <c r="E21" s="25"/>
      <c r="F21" s="56"/>
      <c r="G21" s="8"/>
    </row>
    <row r="22" spans="1:7" x14ac:dyDescent="0.25">
      <c r="A22" t="str">
        <f>+RS!A$26</f>
        <v xml:space="preserve">Fuel </v>
      </c>
      <c r="C22" s="63">
        <f>+RS!C26</f>
        <v>2.0411219651722302E-3</v>
      </c>
      <c r="D22" s="8">
        <f>+B16*C22</f>
        <v>2153.4061255983197</v>
      </c>
      <c r="F22" s="60">
        <f>+RS!F26</f>
        <v>2.0411219651722302E-3</v>
      </c>
      <c r="G22" s="8">
        <f>+E16*F22</f>
        <v>2153.4061255983197</v>
      </c>
    </row>
    <row r="23" spans="1:7" x14ac:dyDescent="0.25">
      <c r="C23" s="46"/>
      <c r="D23" s="8"/>
      <c r="F23" s="56"/>
      <c r="G23" s="8"/>
    </row>
    <row r="24" spans="1:7" x14ac:dyDescent="0.25">
      <c r="A24" t="str">
        <f>+RS!A$28</f>
        <v>Asset Transfer Rider</v>
      </c>
      <c r="D24" s="45">
        <f>+ATR!D22</f>
        <v>10924.1</v>
      </c>
      <c r="G24" s="45"/>
    </row>
    <row r="25" spans="1:7" x14ac:dyDescent="0.25">
      <c r="D25" s="45"/>
      <c r="G25" s="45"/>
    </row>
    <row r="26" spans="1:7" x14ac:dyDescent="0.25">
      <c r="A26" t="str">
        <f>RS!A30</f>
        <v>Economic Development Rider</v>
      </c>
      <c r="D26" s="45"/>
      <c r="E26" s="25">
        <f>E18</f>
        <v>552</v>
      </c>
      <c r="F26" s="66">
        <f>RS!F30</f>
        <v>0.15</v>
      </c>
      <c r="G26" s="45">
        <f>E26*F26</f>
        <v>82.8</v>
      </c>
    </row>
    <row r="27" spans="1:7" x14ac:dyDescent="0.25">
      <c r="D27" s="45"/>
      <c r="E27" s="25"/>
      <c r="F27" s="66"/>
      <c r="G27" s="45"/>
    </row>
    <row r="28" spans="1:7" x14ac:dyDescent="0.25">
      <c r="A28" t="str">
        <f>RS!A32</f>
        <v>Big Sandy 1 Operations Rider</v>
      </c>
      <c r="D28" s="45"/>
      <c r="E28" s="25"/>
      <c r="F28" s="65">
        <f>+'MGS RL'!F26</f>
        <v>2.8300000000000001E-3</v>
      </c>
      <c r="G28" s="45">
        <f>+F28*E16</f>
        <v>2985.6811299999999</v>
      </c>
    </row>
    <row r="29" spans="1:7" x14ac:dyDescent="0.25">
      <c r="D29" s="45"/>
      <c r="E29" s="25"/>
      <c r="F29" s="66"/>
      <c r="G29" s="45"/>
    </row>
    <row r="30" spans="1:7" x14ac:dyDescent="0.25">
      <c r="A30" t="str">
        <f>RS!A34</f>
        <v>Big Sandy Retirement Rider</v>
      </c>
      <c r="D30" s="45"/>
      <c r="E30" s="74">
        <f>SUM(G12:G29)-G22-G38</f>
        <v>77849.085549999989</v>
      </c>
      <c r="F30" s="78">
        <f>SGS!$F$30</f>
        <v>4.9917999999999997E-2</v>
      </c>
      <c r="G30" s="45">
        <f>E30*F30</f>
        <v>3886.0706524848993</v>
      </c>
    </row>
    <row r="31" spans="1:7" x14ac:dyDescent="0.25">
      <c r="D31" s="45"/>
      <c r="E31" s="25"/>
      <c r="F31" s="57"/>
      <c r="G31" s="45"/>
    </row>
    <row r="32" spans="1:7" x14ac:dyDescent="0.25">
      <c r="A32" t="str">
        <f>+RS!A$36</f>
        <v>Environmental Surcharge</v>
      </c>
      <c r="D32" s="45"/>
      <c r="E32" s="74">
        <f>E30</f>
        <v>77849.085549999989</v>
      </c>
      <c r="F32" s="78">
        <f>SGS!$F$32</f>
        <v>9.8901000000000003E-2</v>
      </c>
      <c r="G32" s="45">
        <f>E32*F32</f>
        <v>7699.3524099805491</v>
      </c>
    </row>
    <row r="33" spans="1:7" x14ac:dyDescent="0.25">
      <c r="D33" s="8"/>
      <c r="G33" s="8"/>
    </row>
    <row r="34" spans="1:7" x14ac:dyDescent="0.25">
      <c r="A34" t="s">
        <v>14</v>
      </c>
      <c r="D34" s="8">
        <f>SUM(D13:D24)</f>
        <v>109959.15791559833</v>
      </c>
      <c r="G34" s="8">
        <f>SUM(G13:G33)</f>
        <v>121550.22713806377</v>
      </c>
    </row>
    <row r="35" spans="1:7" x14ac:dyDescent="0.25">
      <c r="G35" s="25"/>
    </row>
    <row r="38" spans="1:7" x14ac:dyDescent="0.25">
      <c r="A38" s="46" t="s">
        <v>193</v>
      </c>
      <c r="F38" s="60">
        <f>SGS!$F$38</f>
        <v>2.8400000000000002E-2</v>
      </c>
      <c r="G38" s="8">
        <f>+E16*F38</f>
        <v>29962.312400000003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38"/>
  <sheetViews>
    <sheetView workbookViewId="0">
      <selection activeCell="D26" sqref="D26:D32"/>
    </sheetView>
  </sheetViews>
  <sheetFormatPr defaultRowHeight="13.2" x14ac:dyDescent="0.25"/>
  <cols>
    <col min="1" max="1" width="21.5546875" customWidth="1"/>
    <col min="2" max="2" width="12.44140625" customWidth="1"/>
    <col min="3" max="3" width="12.88671875" customWidth="1"/>
    <col min="4" max="4" width="12" customWidth="1"/>
    <col min="5" max="5" width="16.33203125" style="21" customWidth="1"/>
    <col min="6" max="6" width="13.5546875" style="21" customWidth="1"/>
    <col min="7" max="7" width="13.10937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59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4" t="s">
        <v>8</v>
      </c>
    </row>
    <row r="13" spans="1:7" x14ac:dyDescent="0.25">
      <c r="A13" t="s">
        <v>21</v>
      </c>
      <c r="B13" s="59">
        <v>1411570</v>
      </c>
      <c r="C13" s="67">
        <f>MGSLMTOD!C13</f>
        <v>0.14801</v>
      </c>
      <c r="D13" s="8">
        <f>+B13*C13</f>
        <v>208926.47570000001</v>
      </c>
      <c r="E13" s="25">
        <f>+B13</f>
        <v>1411570</v>
      </c>
      <c r="F13" s="65">
        <f>MGSLMTOD!F13</f>
        <v>0.16070000000000001</v>
      </c>
      <c r="G13" s="8">
        <f>+E13*F13</f>
        <v>226839.299</v>
      </c>
    </row>
    <row r="14" spans="1:7" x14ac:dyDescent="0.25">
      <c r="A14" t="s">
        <v>22</v>
      </c>
      <c r="B14" s="59">
        <v>2454995</v>
      </c>
      <c r="C14" s="67">
        <f>MGSLMTOD!C14</f>
        <v>5.1299999999999998E-2</v>
      </c>
      <c r="D14" s="8">
        <f>+B14*C14</f>
        <v>125941.2435</v>
      </c>
      <c r="E14" s="25">
        <f>+B14</f>
        <v>2454995</v>
      </c>
      <c r="F14" s="65">
        <f>MGSLMTOD!F14</f>
        <v>5.4559999999999997E-2</v>
      </c>
      <c r="G14" s="8">
        <f>+E14*F14</f>
        <v>133944.52719999998</v>
      </c>
    </row>
    <row r="15" spans="1:7" x14ac:dyDescent="0.25">
      <c r="C15" s="46"/>
      <c r="D15" s="8"/>
      <c r="E15" s="25"/>
      <c r="F15" s="56"/>
      <c r="G15" s="8"/>
    </row>
    <row r="16" spans="1:7" x14ac:dyDescent="0.25">
      <c r="A16" t="s">
        <v>11</v>
      </c>
      <c r="B16" s="5">
        <f>SUM(B13:B14)</f>
        <v>3866565</v>
      </c>
      <c r="C16" s="46"/>
      <c r="D16" s="8"/>
      <c r="E16" s="25">
        <f>+B16</f>
        <v>3866565</v>
      </c>
      <c r="F16" s="56"/>
      <c r="G16" s="8"/>
    </row>
    <row r="17" spans="1:7" x14ac:dyDescent="0.25">
      <c r="C17" s="46"/>
      <c r="D17" s="8"/>
      <c r="E17" s="25"/>
      <c r="F17" s="56"/>
      <c r="G17" s="8"/>
    </row>
    <row r="18" spans="1:7" x14ac:dyDescent="0.25">
      <c r="A18" t="s">
        <v>12</v>
      </c>
      <c r="B18" s="59">
        <v>912</v>
      </c>
      <c r="C18" s="64">
        <v>14.3</v>
      </c>
      <c r="D18" s="8">
        <f>+B18*C18</f>
        <v>13041.6</v>
      </c>
      <c r="E18" s="25">
        <f>+B18</f>
        <v>912</v>
      </c>
      <c r="F18" s="66">
        <v>17.5</v>
      </c>
      <c r="G18" s="8">
        <f>+E18*F18</f>
        <v>15960</v>
      </c>
    </row>
    <row r="19" spans="1:7" x14ac:dyDescent="0.25">
      <c r="B19" s="56"/>
      <c r="C19" s="46"/>
      <c r="D19" s="8"/>
      <c r="E19" s="25"/>
      <c r="F19" s="56"/>
      <c r="G19" s="8"/>
    </row>
    <row r="20" spans="1:7" x14ac:dyDescent="0.25">
      <c r="A20" t="s">
        <v>13</v>
      </c>
      <c r="B20" s="59">
        <v>912</v>
      </c>
      <c r="C20" s="46"/>
      <c r="D20" s="8"/>
      <c r="E20" s="25">
        <f>+B20</f>
        <v>912</v>
      </c>
      <c r="F20" s="56"/>
      <c r="G20" s="8"/>
    </row>
    <row r="21" spans="1:7" x14ac:dyDescent="0.25">
      <c r="B21" s="17"/>
      <c r="C21" s="46"/>
      <c r="D21" s="8"/>
      <c r="E21" s="25"/>
      <c r="F21" s="56"/>
      <c r="G21" s="8"/>
    </row>
    <row r="22" spans="1:7" x14ac:dyDescent="0.25">
      <c r="A22" t="str">
        <f>+RS!A$26</f>
        <v xml:space="preserve">Fuel </v>
      </c>
      <c r="C22" s="63">
        <f>+RS!C26</f>
        <v>2.0411219651722302E-3</v>
      </c>
      <c r="D22" s="8">
        <f>+B16*C22</f>
        <v>7892.1307512661642</v>
      </c>
      <c r="F22" s="60">
        <f>+RS!F26</f>
        <v>2.0411219651722302E-3</v>
      </c>
      <c r="G22" s="8">
        <f>+E16*F22</f>
        <v>7892.1307512661642</v>
      </c>
    </row>
    <row r="23" spans="1:7" x14ac:dyDescent="0.25">
      <c r="D23" s="8"/>
      <c r="G23" s="8"/>
    </row>
    <row r="24" spans="1:7" x14ac:dyDescent="0.25">
      <c r="A24" t="str">
        <f>+RS!A$28</f>
        <v>Asset Transfer Rider</v>
      </c>
      <c r="D24" s="45">
        <f>+ATR!D23</f>
        <v>36904.160000000003</v>
      </c>
      <c r="G24" s="45"/>
    </row>
    <row r="25" spans="1:7" x14ac:dyDescent="0.25">
      <c r="D25" s="45"/>
      <c r="G25" s="45"/>
    </row>
    <row r="26" spans="1:7" x14ac:dyDescent="0.25">
      <c r="A26" t="str">
        <f>RS!A30</f>
        <v>Economic Development Rider</v>
      </c>
      <c r="D26" s="45"/>
      <c r="E26" s="25">
        <f>E18</f>
        <v>912</v>
      </c>
      <c r="F26" s="66">
        <f>RS!F30</f>
        <v>0.15</v>
      </c>
      <c r="G26" s="45">
        <f>E26*F26</f>
        <v>136.79999999999998</v>
      </c>
    </row>
    <row r="27" spans="1:7" x14ac:dyDescent="0.25">
      <c r="D27" s="45"/>
      <c r="E27" s="25"/>
      <c r="F27" s="66"/>
      <c r="G27" s="45"/>
    </row>
    <row r="28" spans="1:7" x14ac:dyDescent="0.25">
      <c r="A28" t="str">
        <f>RS!A32</f>
        <v>Big Sandy 1 Operations Rider</v>
      </c>
      <c r="D28" s="45"/>
      <c r="E28" s="25"/>
      <c r="F28" s="65">
        <f>+'MGS RL'!F26</f>
        <v>2.8300000000000001E-3</v>
      </c>
      <c r="G28" s="45">
        <f>+F28*E16</f>
        <v>10942.37895</v>
      </c>
    </row>
    <row r="29" spans="1:7" x14ac:dyDescent="0.25">
      <c r="D29" s="45"/>
      <c r="E29" s="25"/>
      <c r="F29" s="66"/>
      <c r="G29" s="45"/>
    </row>
    <row r="30" spans="1:7" x14ac:dyDescent="0.25">
      <c r="A30" t="str">
        <f>RS!A34</f>
        <v>Big Sandy Retirement Rider</v>
      </c>
      <c r="D30" s="45"/>
      <c r="E30" s="74">
        <f>SUM(G12:G29)-G22-G38</f>
        <v>278012.55914999999</v>
      </c>
      <c r="F30" s="78">
        <f>SGS!$F$30</f>
        <v>4.9917999999999997E-2</v>
      </c>
      <c r="G30" s="45">
        <f>E30*F30</f>
        <v>13877.830927649698</v>
      </c>
    </row>
    <row r="31" spans="1:7" x14ac:dyDescent="0.25">
      <c r="D31" s="45"/>
      <c r="E31" s="25"/>
      <c r="F31" s="57"/>
      <c r="G31" s="45"/>
    </row>
    <row r="32" spans="1:7" x14ac:dyDescent="0.25">
      <c r="A32" t="str">
        <f>+RS!A$36</f>
        <v>Environmental Surcharge</v>
      </c>
      <c r="D32" s="45"/>
      <c r="E32" s="74">
        <f>E30</f>
        <v>278012.55914999999</v>
      </c>
      <c r="F32" s="78">
        <f>SGS!$F$32</f>
        <v>9.8901000000000003E-2</v>
      </c>
      <c r="G32" s="45">
        <f>E32*F32</f>
        <v>27495.720112494149</v>
      </c>
    </row>
    <row r="33" spans="1:7" x14ac:dyDescent="0.25">
      <c r="D33" s="8"/>
      <c r="G33" s="8"/>
    </row>
    <row r="34" spans="1:7" x14ac:dyDescent="0.25">
      <c r="A34" t="s">
        <v>14</v>
      </c>
      <c r="D34" s="8">
        <f>SUM(D13:D24)</f>
        <v>392705.60995126609</v>
      </c>
      <c r="G34" s="8">
        <f>SUM(G13:G33)</f>
        <v>437088.68694140995</v>
      </c>
    </row>
    <row r="38" spans="1:7" x14ac:dyDescent="0.25">
      <c r="A38" s="46" t="s">
        <v>193</v>
      </c>
      <c r="F38" s="60">
        <f>SGS!$F$38</f>
        <v>2.8400000000000002E-2</v>
      </c>
      <c r="G38" s="8">
        <f>+E16*F38</f>
        <v>109810.44600000001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5"/>
  <sheetViews>
    <sheetView workbookViewId="0">
      <selection activeCell="D39" sqref="D39"/>
    </sheetView>
  </sheetViews>
  <sheetFormatPr defaultRowHeight="13.2" x14ac:dyDescent="0.25"/>
  <cols>
    <col min="1" max="1" width="22.5546875" customWidth="1"/>
    <col min="2" max="2" width="13.5546875" customWidth="1"/>
    <col min="3" max="3" width="11.6640625" customWidth="1"/>
    <col min="4" max="4" width="13.88671875" customWidth="1"/>
    <col min="5" max="5" width="16.33203125" style="21" customWidth="1"/>
    <col min="6" max="6" width="12.6640625" style="21" customWidth="1"/>
    <col min="7" max="7" width="13.3320312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60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4" t="s">
        <v>8</v>
      </c>
    </row>
    <row r="13" spans="1:7" x14ac:dyDescent="0.25">
      <c r="A13" t="s">
        <v>53</v>
      </c>
      <c r="B13" s="59">
        <v>5716583</v>
      </c>
      <c r="C13" s="49">
        <v>9.0539999999999995E-2</v>
      </c>
      <c r="D13" s="8">
        <f>+B13*C13</f>
        <v>517579.42481999996</v>
      </c>
      <c r="E13" s="25">
        <f>B13</f>
        <v>5716583</v>
      </c>
      <c r="F13" s="54">
        <v>9.4719999999999999E-2</v>
      </c>
      <c r="G13" s="8">
        <f>+E13*F13</f>
        <v>541474.74176</v>
      </c>
    </row>
    <row r="14" spans="1:7" x14ac:dyDescent="0.25">
      <c r="A14" t="s">
        <v>54</v>
      </c>
      <c r="B14" s="59">
        <v>3592839</v>
      </c>
      <c r="C14" s="49">
        <v>8.0979999999999996E-2</v>
      </c>
      <c r="D14" s="8">
        <f>+B14*C14</f>
        <v>290948.10222</v>
      </c>
      <c r="E14" s="25">
        <f>B14</f>
        <v>3592839</v>
      </c>
      <c r="F14" s="54">
        <v>8.4750000000000006E-2</v>
      </c>
      <c r="G14" s="8">
        <f>+E14*F14</f>
        <v>304493.10525000002</v>
      </c>
    </row>
    <row r="15" spans="1:7" x14ac:dyDescent="0.25">
      <c r="A15" t="s">
        <v>55</v>
      </c>
      <c r="B15" s="59">
        <v>47677</v>
      </c>
      <c r="C15" s="52"/>
      <c r="D15" s="8"/>
      <c r="E15" s="25">
        <f>B15</f>
        <v>47677</v>
      </c>
      <c r="F15" s="57"/>
      <c r="G15" s="8"/>
    </row>
    <row r="16" spans="1:7" x14ac:dyDescent="0.25">
      <c r="A16" t="s">
        <v>116</v>
      </c>
      <c r="B16" s="59">
        <v>0</v>
      </c>
      <c r="C16" s="52"/>
      <c r="D16" s="8"/>
      <c r="E16" s="25">
        <f>B16</f>
        <v>0</v>
      </c>
      <c r="F16" s="57"/>
      <c r="G16" s="8"/>
    </row>
    <row r="17" spans="1:7" x14ac:dyDescent="0.25">
      <c r="A17" t="s">
        <v>11</v>
      </c>
      <c r="B17" s="5">
        <f>SUM(B13:B16)</f>
        <v>9357099</v>
      </c>
      <c r="C17" s="52"/>
      <c r="D17" s="8"/>
      <c r="E17" s="25">
        <f>SUM(E13:E16)</f>
        <v>9357099</v>
      </c>
      <c r="F17" s="57"/>
      <c r="G17" s="8"/>
    </row>
    <row r="18" spans="1:7" x14ac:dyDescent="0.25">
      <c r="C18" s="52"/>
      <c r="D18" s="8"/>
      <c r="E18" s="25"/>
      <c r="F18" s="57"/>
      <c r="G18" s="8"/>
    </row>
    <row r="19" spans="1:7" x14ac:dyDescent="0.25">
      <c r="A19" t="s">
        <v>56</v>
      </c>
      <c r="C19" s="52"/>
      <c r="D19" s="8"/>
      <c r="E19" s="25"/>
      <c r="F19" s="57"/>
      <c r="G19" s="8"/>
    </row>
    <row r="20" spans="1:7" x14ac:dyDescent="0.25">
      <c r="A20" t="s">
        <v>57</v>
      </c>
      <c r="B20" s="59">
        <v>38082</v>
      </c>
      <c r="C20" s="52">
        <v>1.59</v>
      </c>
      <c r="D20" s="8">
        <f>+B20*C20</f>
        <v>60550.380000000005</v>
      </c>
      <c r="E20" s="25">
        <f>B20</f>
        <v>38082</v>
      </c>
      <c r="F20" s="57">
        <v>1.87</v>
      </c>
      <c r="G20" s="8">
        <f>+E20*F20</f>
        <v>71213.340000000011</v>
      </c>
    </row>
    <row r="21" spans="1:7" x14ac:dyDescent="0.25">
      <c r="A21" t="s">
        <v>58</v>
      </c>
      <c r="B21" s="59">
        <v>2671</v>
      </c>
      <c r="C21" s="52">
        <v>6.84</v>
      </c>
      <c r="D21" s="8">
        <f>+B21*C21</f>
        <v>18269.64</v>
      </c>
      <c r="E21" s="25">
        <f>B21</f>
        <v>2671</v>
      </c>
      <c r="F21" s="57">
        <v>7.95</v>
      </c>
      <c r="G21" s="8">
        <f>+E21*F21</f>
        <v>21234.45</v>
      </c>
    </row>
    <row r="22" spans="1:7" x14ac:dyDescent="0.25">
      <c r="B22" s="56"/>
      <c r="C22" s="52"/>
      <c r="D22" s="8"/>
      <c r="E22" s="25"/>
      <c r="F22" s="57"/>
      <c r="G22" s="8"/>
    </row>
    <row r="23" spans="1:7" x14ac:dyDescent="0.25">
      <c r="A23" t="s">
        <v>12</v>
      </c>
      <c r="B23" s="59">
        <v>1009</v>
      </c>
      <c r="C23" s="52">
        <v>25</v>
      </c>
      <c r="D23" s="8">
        <f>+B23*C23</f>
        <v>25225</v>
      </c>
      <c r="E23" s="25">
        <f>B23</f>
        <v>1009</v>
      </c>
      <c r="F23" s="57">
        <v>50</v>
      </c>
      <c r="G23" s="8">
        <f>+E23*F23</f>
        <v>50450</v>
      </c>
    </row>
    <row r="24" spans="1:7" x14ac:dyDescent="0.25">
      <c r="B24" s="56"/>
      <c r="C24" s="52"/>
      <c r="D24" s="8"/>
      <c r="E24" s="25"/>
      <c r="F24" s="57"/>
      <c r="G24" s="8"/>
    </row>
    <row r="25" spans="1:7" x14ac:dyDescent="0.25">
      <c r="A25" t="s">
        <v>13</v>
      </c>
      <c r="B25" s="59">
        <v>1008</v>
      </c>
      <c r="C25" s="52"/>
      <c r="D25" s="8"/>
      <c r="E25" s="25">
        <f>B25</f>
        <v>1008</v>
      </c>
      <c r="F25" s="57"/>
      <c r="G25" s="8"/>
    </row>
    <row r="26" spans="1:7" x14ac:dyDescent="0.25">
      <c r="C26" s="52"/>
      <c r="D26" s="8"/>
      <c r="F26" s="57"/>
      <c r="G26" s="8"/>
    </row>
    <row r="27" spans="1:7" x14ac:dyDescent="0.25">
      <c r="A27" t="str">
        <f>+RS!A$26</f>
        <v xml:space="preserve">Fuel </v>
      </c>
      <c r="C27" s="63">
        <f>+RS!C26</f>
        <v>2.0411219651722302E-3</v>
      </c>
      <c r="D27" s="8">
        <f>+B17*C27</f>
        <v>19098.980299191109</v>
      </c>
      <c r="F27" s="60">
        <f>+RS!F26</f>
        <v>2.0411219651722302E-3</v>
      </c>
      <c r="G27" s="8">
        <f>+E17*F27</f>
        <v>19098.980299191109</v>
      </c>
    </row>
    <row r="28" spans="1:7" x14ac:dyDescent="0.25">
      <c r="D28" s="8"/>
      <c r="G28" s="8"/>
    </row>
    <row r="29" spans="1:7" x14ac:dyDescent="0.25">
      <c r="A29" s="46" t="str">
        <f>+RS!A28</f>
        <v>Asset Transfer Rider</v>
      </c>
      <c r="D29" s="45">
        <f>+ATR!D24</f>
        <v>92512.16</v>
      </c>
      <c r="G29" s="45"/>
    </row>
    <row r="30" spans="1:7" x14ac:dyDescent="0.25">
      <c r="A30" s="46"/>
      <c r="D30" s="45"/>
      <c r="G30" s="45"/>
    </row>
    <row r="31" spans="1:7" x14ac:dyDescent="0.25">
      <c r="A31" s="46" t="str">
        <f>RS!A30</f>
        <v>Economic Development Rider</v>
      </c>
      <c r="D31" s="45"/>
      <c r="E31" s="25">
        <f>E23</f>
        <v>1009</v>
      </c>
      <c r="F31" s="57">
        <f>RS!F30</f>
        <v>0.15</v>
      </c>
      <c r="G31" s="45">
        <f>E31*F31</f>
        <v>151.35</v>
      </c>
    </row>
    <row r="32" spans="1:7" x14ac:dyDescent="0.25">
      <c r="A32" s="46"/>
      <c r="D32" s="45"/>
      <c r="E32" s="25"/>
      <c r="F32" s="57"/>
      <c r="G32" s="45"/>
    </row>
    <row r="33" spans="1:7" x14ac:dyDescent="0.25">
      <c r="A33" s="46" t="str">
        <f>+'MGS-SEC'!A32</f>
        <v>Big Sandy 1 Operations Rider - Energy</v>
      </c>
      <c r="D33" s="45"/>
      <c r="E33" s="25"/>
      <c r="F33" s="54">
        <f>+'MGS-SEC'!F32</f>
        <v>1.41E-3</v>
      </c>
      <c r="G33" s="45">
        <f>+F33*E17</f>
        <v>13193.50959</v>
      </c>
    </row>
    <row r="34" spans="1:7" x14ac:dyDescent="0.25">
      <c r="A34" s="46"/>
      <c r="D34" s="45"/>
      <c r="E34" s="25"/>
      <c r="F34" s="57"/>
      <c r="G34" s="45"/>
    </row>
    <row r="35" spans="1:7" x14ac:dyDescent="0.25">
      <c r="A35" s="46" t="str">
        <f>+'MGS-SEC'!A34</f>
        <v>Big Sandy 1 Operations Rider - Demand</v>
      </c>
      <c r="D35" s="45"/>
      <c r="E35" s="25"/>
      <c r="F35" s="57">
        <f>+'MGS-SEC'!F34</f>
        <v>0.34</v>
      </c>
      <c r="G35" s="45">
        <f>+F35*(E20+E21)</f>
        <v>13856.02</v>
      </c>
    </row>
    <row r="36" spans="1:7" x14ac:dyDescent="0.25">
      <c r="A36" s="46"/>
      <c r="D36" s="45"/>
      <c r="E36" s="25"/>
      <c r="F36" s="57"/>
      <c r="G36" s="45"/>
    </row>
    <row r="37" spans="1:7" x14ac:dyDescent="0.25">
      <c r="A37" s="46" t="str">
        <f>+'MGS-SEC'!A36</f>
        <v>Big Sandy Retirement Rider</v>
      </c>
      <c r="D37" s="45"/>
      <c r="E37" s="74">
        <f>SUM(G13:G36)-G27-G45</f>
        <v>750324.90500000003</v>
      </c>
      <c r="F37" s="78">
        <f>SGS!$F$30</f>
        <v>4.9917999999999997E-2</v>
      </c>
      <c r="G37" s="45">
        <f>E37*F37</f>
        <v>37454.718607789997</v>
      </c>
    </row>
    <row r="38" spans="1:7" x14ac:dyDescent="0.25">
      <c r="A38" s="46"/>
      <c r="D38" s="45"/>
      <c r="E38" s="25"/>
      <c r="F38" s="57"/>
      <c r="G38" s="45"/>
    </row>
    <row r="39" spans="1:7" x14ac:dyDescent="0.25">
      <c r="A39" t="str">
        <f>+RS!A$36</f>
        <v>Environmental Surcharge</v>
      </c>
      <c r="D39" s="45"/>
      <c r="E39" s="74">
        <f>E37</f>
        <v>750324.90500000003</v>
      </c>
      <c r="F39" s="78">
        <f>SGS!$F$32</f>
        <v>9.8901000000000003E-2</v>
      </c>
      <c r="G39" s="45">
        <f>E39*F39</f>
        <v>74207.883429405003</v>
      </c>
    </row>
    <row r="40" spans="1:7" x14ac:dyDescent="0.25">
      <c r="D40" s="8"/>
      <c r="G40" s="8"/>
    </row>
    <row r="41" spans="1:7" x14ac:dyDescent="0.25">
      <c r="A41" t="s">
        <v>14</v>
      </c>
      <c r="D41" s="8">
        <f>SUM(D13:D29)</f>
        <v>1024183.6873391911</v>
      </c>
      <c r="G41" s="8">
        <f>SUM(G13:G39)</f>
        <v>1146828.0989363862</v>
      </c>
    </row>
    <row r="42" spans="1:7" x14ac:dyDescent="0.25">
      <c r="D42" s="8"/>
    </row>
    <row r="45" spans="1:7" x14ac:dyDescent="0.25">
      <c r="A45" s="46" t="s">
        <v>193</v>
      </c>
      <c r="F45" s="60">
        <f>SGS!$F$38</f>
        <v>2.8400000000000002E-2</v>
      </c>
      <c r="G45" s="8">
        <f>+E17*F45</f>
        <v>265741.6116</v>
      </c>
    </row>
  </sheetData>
  <phoneticPr fontId="0" type="noConversion"/>
  <pageMargins left="0.75" right="0.75" top="1" bottom="1" header="0.5" footer="0.5"/>
  <pageSetup scale="8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4"/>
  <sheetViews>
    <sheetView workbookViewId="0">
      <selection activeCell="D30" sqref="D30:D38"/>
    </sheetView>
  </sheetViews>
  <sheetFormatPr defaultRowHeight="13.2" x14ac:dyDescent="0.25"/>
  <cols>
    <col min="1" max="1" width="22.33203125" customWidth="1"/>
    <col min="2" max="2" width="11.33203125" customWidth="1"/>
    <col min="3" max="3" width="12.5546875" customWidth="1"/>
    <col min="4" max="4" width="13.5546875" customWidth="1"/>
    <col min="5" max="5" width="16.33203125" style="21" customWidth="1"/>
    <col min="6" max="6" width="14.109375" style="21" customWidth="1"/>
    <col min="7" max="7" width="13.554687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61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4" t="s">
        <v>8</v>
      </c>
    </row>
    <row r="13" spans="1:7" x14ac:dyDescent="0.25">
      <c r="A13" t="s">
        <v>53</v>
      </c>
      <c r="B13" s="59">
        <v>385067</v>
      </c>
      <c r="C13" s="49">
        <v>8.3610000000000004E-2</v>
      </c>
      <c r="D13" s="8">
        <f>+B13*C13</f>
        <v>32195.451870000001</v>
      </c>
      <c r="E13" s="25">
        <f>B13</f>
        <v>385067</v>
      </c>
      <c r="F13" s="54">
        <v>8.7489999999999998E-2</v>
      </c>
      <c r="G13" s="8">
        <f>+E13*F13</f>
        <v>33689.511829999996</v>
      </c>
    </row>
    <row r="14" spans="1:7" x14ac:dyDescent="0.25">
      <c r="A14" t="s">
        <v>54</v>
      </c>
      <c r="B14" s="59">
        <v>619468</v>
      </c>
      <c r="C14" s="49">
        <v>7.8509999999999996E-2</v>
      </c>
      <c r="D14" s="8">
        <f>+B14*C14</f>
        <v>48634.432679999998</v>
      </c>
      <c r="E14" s="25">
        <f>B14</f>
        <v>619468</v>
      </c>
      <c r="F14" s="54">
        <v>8.2180000000000003E-2</v>
      </c>
      <c r="G14" s="8">
        <f>+E14*F14</f>
        <v>50907.880239999999</v>
      </c>
    </row>
    <row r="15" spans="1:7" x14ac:dyDescent="0.25">
      <c r="A15" t="s">
        <v>55</v>
      </c>
      <c r="B15" s="59">
        <v>3233</v>
      </c>
      <c r="C15" s="46"/>
      <c r="D15" s="8"/>
      <c r="E15" s="25">
        <f>B15</f>
        <v>3233</v>
      </c>
      <c r="F15" s="56"/>
      <c r="G15" s="8"/>
    </row>
    <row r="16" spans="1:7" x14ac:dyDescent="0.25">
      <c r="A16" t="s">
        <v>11</v>
      </c>
      <c r="B16" s="5">
        <f>SUM(B13:B15)</f>
        <v>1007768</v>
      </c>
      <c r="C16" s="46"/>
      <c r="D16" s="8"/>
      <c r="E16" s="25">
        <f>SUM(E13:E15)</f>
        <v>1007768</v>
      </c>
      <c r="F16" s="56"/>
      <c r="G16" s="8"/>
    </row>
    <row r="17" spans="1:7" x14ac:dyDescent="0.25">
      <c r="C17" s="46"/>
      <c r="D17" s="8"/>
      <c r="E17" s="25"/>
      <c r="F17" s="56"/>
      <c r="G17" s="8"/>
    </row>
    <row r="18" spans="1:7" x14ac:dyDescent="0.25">
      <c r="A18" t="s">
        <v>56</v>
      </c>
      <c r="C18" s="46"/>
      <c r="D18" s="8"/>
      <c r="E18" s="25"/>
      <c r="F18" s="56"/>
      <c r="G18" s="8"/>
    </row>
    <row r="19" spans="1:7" x14ac:dyDescent="0.25">
      <c r="A19" t="s">
        <v>57</v>
      </c>
      <c r="B19" s="59">
        <v>2508</v>
      </c>
      <c r="C19" s="52">
        <v>1.55</v>
      </c>
      <c r="D19" s="8">
        <f>+B19*C19</f>
        <v>3887.4</v>
      </c>
      <c r="E19" s="25">
        <f>B19</f>
        <v>2508</v>
      </c>
      <c r="F19" s="57">
        <v>1.83</v>
      </c>
      <c r="G19" s="8">
        <f>+E19*F19</f>
        <v>4589.6400000000003</v>
      </c>
    </row>
    <row r="20" spans="1:7" x14ac:dyDescent="0.25">
      <c r="A20" t="s">
        <v>58</v>
      </c>
      <c r="B20" s="59">
        <v>314</v>
      </c>
      <c r="C20" s="52">
        <v>6.84</v>
      </c>
      <c r="D20" s="8">
        <f>+B20*C20</f>
        <v>2147.7599999999998</v>
      </c>
      <c r="E20" s="25">
        <f>B20</f>
        <v>314</v>
      </c>
      <c r="F20" s="57">
        <v>7.95</v>
      </c>
      <c r="G20" s="8">
        <f>+E20*F20</f>
        <v>2496.3000000000002</v>
      </c>
    </row>
    <row r="21" spans="1:7" x14ac:dyDescent="0.25">
      <c r="B21" s="56"/>
      <c r="C21" s="52"/>
      <c r="D21" s="8"/>
      <c r="E21" s="25"/>
      <c r="F21" s="57"/>
      <c r="G21" s="8"/>
    </row>
    <row r="22" spans="1:7" x14ac:dyDescent="0.25">
      <c r="A22" t="s">
        <v>12</v>
      </c>
      <c r="B22" s="59">
        <v>119</v>
      </c>
      <c r="C22" s="52">
        <v>182</v>
      </c>
      <c r="D22" s="8">
        <f>+B22*C22</f>
        <v>21658</v>
      </c>
      <c r="E22" s="25">
        <f>B22</f>
        <v>119</v>
      </c>
      <c r="F22" s="57">
        <v>364</v>
      </c>
      <c r="G22" s="8">
        <f>+E22*F22</f>
        <v>43316</v>
      </c>
    </row>
    <row r="23" spans="1:7" x14ac:dyDescent="0.25">
      <c r="B23" s="56"/>
      <c r="C23" s="46"/>
      <c r="D23" s="8"/>
      <c r="E23" s="25"/>
      <c r="F23" s="56"/>
      <c r="G23" s="8"/>
    </row>
    <row r="24" spans="1:7" x14ac:dyDescent="0.25">
      <c r="A24" t="s">
        <v>13</v>
      </c>
      <c r="B24" s="59">
        <v>120</v>
      </c>
      <c r="C24" s="46"/>
      <c r="D24" s="8"/>
      <c r="E24" s="25">
        <f>B24</f>
        <v>120</v>
      </c>
      <c r="F24" s="56"/>
      <c r="G24" s="8"/>
    </row>
    <row r="25" spans="1:7" x14ac:dyDescent="0.25">
      <c r="C25" s="46"/>
      <c r="D25" s="8"/>
      <c r="E25" s="25"/>
      <c r="F25" s="56"/>
      <c r="G25" s="8"/>
    </row>
    <row r="26" spans="1:7" x14ac:dyDescent="0.25">
      <c r="A26" t="str">
        <f>+RS!A$26</f>
        <v xml:space="preserve">Fuel </v>
      </c>
      <c r="C26" s="63">
        <f>+RS!C26</f>
        <v>2.0411219651722302E-3</v>
      </c>
      <c r="D26" s="8">
        <f>+B16*C26</f>
        <v>2056.9774005976883</v>
      </c>
      <c r="F26" s="60">
        <f>+RS!F26</f>
        <v>2.0411219651722302E-3</v>
      </c>
      <c r="G26" s="8">
        <f>+E16*F26</f>
        <v>2056.9774005976883</v>
      </c>
    </row>
    <row r="27" spans="1:7" x14ac:dyDescent="0.25">
      <c r="D27" s="8"/>
      <c r="G27" s="8"/>
    </row>
    <row r="28" spans="1:7" x14ac:dyDescent="0.25">
      <c r="A28" t="str">
        <f>+RS!A$28</f>
        <v>Asset Transfer Rider</v>
      </c>
      <c r="D28" s="45">
        <f>+ATR!D25</f>
        <v>11111.86</v>
      </c>
      <c r="G28" s="45"/>
    </row>
    <row r="29" spans="1:7" x14ac:dyDescent="0.25">
      <c r="D29" s="45"/>
      <c r="G29" s="45"/>
    </row>
    <row r="30" spans="1:7" x14ac:dyDescent="0.25">
      <c r="A30" t="str">
        <f>RS!A30</f>
        <v>Economic Development Rider</v>
      </c>
      <c r="D30" s="45"/>
      <c r="E30" s="25">
        <f>E22</f>
        <v>119</v>
      </c>
      <c r="F30" s="57">
        <f>RS!F30</f>
        <v>0.15</v>
      </c>
      <c r="G30" s="45">
        <f>E30*F30</f>
        <v>17.849999999999998</v>
      </c>
    </row>
    <row r="31" spans="1:7" x14ac:dyDescent="0.25">
      <c r="D31" s="45"/>
      <c r="E31" s="25"/>
      <c r="F31" s="57"/>
      <c r="G31" s="45"/>
    </row>
    <row r="32" spans="1:7" x14ac:dyDescent="0.25">
      <c r="A32" t="str">
        <f>+'MGS-SEC'!A32</f>
        <v>Big Sandy 1 Operations Rider - Energy</v>
      </c>
      <c r="D32" s="45"/>
      <c r="E32" s="25"/>
      <c r="F32" s="54">
        <f>+'MGS-SEC'!F32</f>
        <v>1.41E-3</v>
      </c>
      <c r="G32" s="45">
        <f>+F32*E16</f>
        <v>1420.9528800000001</v>
      </c>
    </row>
    <row r="33" spans="1:7" x14ac:dyDescent="0.25">
      <c r="D33" s="45"/>
      <c r="E33" s="25"/>
      <c r="F33" s="57"/>
      <c r="G33" s="45"/>
    </row>
    <row r="34" spans="1:7" x14ac:dyDescent="0.25">
      <c r="A34" t="str">
        <f>+'MGS-SEC'!A34</f>
        <v>Big Sandy 1 Operations Rider - Demand</v>
      </c>
      <c r="D34" s="45"/>
      <c r="E34" s="25"/>
      <c r="F34" s="57">
        <f>+'MGS-SEC'!F34</f>
        <v>0.34</v>
      </c>
      <c r="G34" s="45">
        <f>+F34*(E19+E20)</f>
        <v>959.48</v>
      </c>
    </row>
    <row r="35" spans="1:7" x14ac:dyDescent="0.25">
      <c r="D35" s="45"/>
      <c r="E35" s="25"/>
      <c r="F35" s="57"/>
      <c r="G35" s="45"/>
    </row>
    <row r="36" spans="1:7" x14ac:dyDescent="0.25">
      <c r="A36" t="str">
        <f>+'MGS-SEC'!A36</f>
        <v>Big Sandy Retirement Rider</v>
      </c>
      <c r="D36" s="45"/>
      <c r="E36" s="74">
        <f>SUM(G12:G35)-G26-G44</f>
        <v>108777.00375000002</v>
      </c>
      <c r="F36" s="78">
        <f>SGS!$F$30</f>
        <v>4.9917999999999997E-2</v>
      </c>
      <c r="G36" s="45">
        <f>E36*F36</f>
        <v>5429.9304731925004</v>
      </c>
    </row>
    <row r="37" spans="1:7" x14ac:dyDescent="0.25">
      <c r="D37" s="45"/>
      <c r="E37" s="25"/>
      <c r="F37" s="57"/>
      <c r="G37" s="45"/>
    </row>
    <row r="38" spans="1:7" x14ac:dyDescent="0.25">
      <c r="A38" t="str">
        <f>+RS!A$36</f>
        <v>Environmental Surcharge</v>
      </c>
      <c r="D38" s="45"/>
      <c r="E38" s="74">
        <f>E36</f>
        <v>108777.00375000002</v>
      </c>
      <c r="F38" s="78">
        <f>SGS!$F$32</f>
        <v>9.8901000000000003E-2</v>
      </c>
      <c r="G38" s="45">
        <f>E38*F38</f>
        <v>10758.154447878753</v>
      </c>
    </row>
    <row r="39" spans="1:7" x14ac:dyDescent="0.25">
      <c r="D39" s="8"/>
      <c r="G39" s="8"/>
    </row>
    <row r="40" spans="1:7" x14ac:dyDescent="0.25">
      <c r="A40" t="s">
        <v>14</v>
      </c>
      <c r="D40" s="8">
        <f>SUM(D13:D28)</f>
        <v>121691.88195059769</v>
      </c>
      <c r="G40" s="8">
        <f>SUM(G13:G38)</f>
        <v>155642.67727166894</v>
      </c>
    </row>
    <row r="41" spans="1:7" x14ac:dyDescent="0.25">
      <c r="G41" s="25"/>
    </row>
    <row r="44" spans="1:7" x14ac:dyDescent="0.25">
      <c r="A44" s="46" t="s">
        <v>193</v>
      </c>
      <c r="F44" s="60">
        <f>SGS!$F$38</f>
        <v>2.8400000000000002E-2</v>
      </c>
      <c r="G44" s="8">
        <f>+E16*F44</f>
        <v>28620.611200000003</v>
      </c>
    </row>
  </sheetData>
  <phoneticPr fontId="0" type="noConversion"/>
  <pageMargins left="0.75" right="0.75" top="1" bottom="1" header="0.5" footer="0.5"/>
  <pageSetup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2"/>
  <sheetViews>
    <sheetView workbookViewId="0">
      <selection activeCell="D36" sqref="D36"/>
    </sheetView>
  </sheetViews>
  <sheetFormatPr defaultRowHeight="13.2" x14ac:dyDescent="0.25"/>
  <cols>
    <col min="1" max="1" width="23.88671875" customWidth="1"/>
    <col min="2" max="2" width="13.5546875" customWidth="1"/>
    <col min="3" max="3" width="13.109375" customWidth="1"/>
    <col min="4" max="4" width="15.44140625" customWidth="1"/>
    <col min="5" max="5" width="16.33203125" style="21" customWidth="1"/>
    <col min="6" max="6" width="13.88671875" style="21" customWidth="1"/>
    <col min="7" max="7" width="17.3320312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4" spans="1:7" x14ac:dyDescent="0.25">
      <c r="D4" s="5"/>
    </row>
    <row r="5" spans="1:7" x14ac:dyDescent="0.25">
      <c r="A5" s="46" t="s">
        <v>203</v>
      </c>
      <c r="D5" s="5"/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9" t="s">
        <v>8</v>
      </c>
      <c r="B12" s="59">
        <v>126333130</v>
      </c>
      <c r="C12" s="67">
        <v>7.7950000000000005E-2</v>
      </c>
      <c r="D12" s="8">
        <f>+B12*C12</f>
        <v>9847667.4835000001</v>
      </c>
      <c r="E12" s="25">
        <f>B12</f>
        <v>126333130</v>
      </c>
      <c r="F12" s="65">
        <v>7.6920000000000002E-2</v>
      </c>
      <c r="G12" s="8">
        <f>+E12*F12</f>
        <v>9717544.3596000001</v>
      </c>
    </row>
    <row r="13" spans="1:7" x14ac:dyDescent="0.25">
      <c r="A13" t="s">
        <v>118</v>
      </c>
      <c r="B13" s="59">
        <v>0</v>
      </c>
      <c r="C13" s="46"/>
      <c r="D13" s="8"/>
      <c r="E13" s="25">
        <f>B13</f>
        <v>0</v>
      </c>
      <c r="F13" s="56"/>
      <c r="G13" s="8"/>
    </row>
    <row r="14" spans="1:7" x14ac:dyDescent="0.25">
      <c r="A14" t="s">
        <v>11</v>
      </c>
      <c r="B14" s="5">
        <f>SUM(B12:B13)</f>
        <v>126333130</v>
      </c>
      <c r="C14" s="46"/>
      <c r="D14" s="8"/>
      <c r="E14" s="25">
        <f>SUM(E12:E13)</f>
        <v>126333130</v>
      </c>
      <c r="F14" s="56"/>
      <c r="G14" s="8"/>
    </row>
    <row r="15" spans="1:7" x14ac:dyDescent="0.25">
      <c r="B15" s="5"/>
      <c r="C15" s="46"/>
      <c r="D15" s="8"/>
      <c r="E15" s="25"/>
      <c r="F15" s="56"/>
      <c r="G15" s="8"/>
    </row>
    <row r="16" spans="1:7" x14ac:dyDescent="0.25">
      <c r="A16" t="s">
        <v>56</v>
      </c>
      <c r="B16" s="59">
        <v>479460</v>
      </c>
      <c r="C16" s="64">
        <v>4.0199999999999996</v>
      </c>
      <c r="D16" s="8">
        <f>+B16*C16</f>
        <v>1927429.1999999997</v>
      </c>
      <c r="E16" s="25">
        <f>B16</f>
        <v>479460</v>
      </c>
      <c r="F16" s="66">
        <f>'LGS-SEC'!F16</f>
        <v>4.67</v>
      </c>
      <c r="G16" s="8">
        <f>+E16*F16</f>
        <v>2239078.2000000002</v>
      </c>
    </row>
    <row r="17" spans="1:7" x14ac:dyDescent="0.25">
      <c r="B17" s="56"/>
      <c r="C17" s="64"/>
      <c r="D17" s="8"/>
      <c r="E17" s="25"/>
      <c r="F17" s="66"/>
      <c r="G17" s="8"/>
    </row>
    <row r="18" spans="1:7" x14ac:dyDescent="0.25">
      <c r="A18" t="s">
        <v>117</v>
      </c>
      <c r="B18" s="59">
        <v>6545</v>
      </c>
      <c r="C18" s="64">
        <v>3.46</v>
      </c>
      <c r="D18" s="8">
        <f>+B18*C18</f>
        <v>22645.7</v>
      </c>
      <c r="E18" s="25">
        <f>B18</f>
        <v>6545</v>
      </c>
      <c r="F18" s="66">
        <f>'LGS-SEC'!F18</f>
        <v>3.46</v>
      </c>
      <c r="G18" s="8">
        <f>+E18*F18</f>
        <v>22645.7</v>
      </c>
    </row>
    <row r="19" spans="1:7" x14ac:dyDescent="0.25">
      <c r="B19" s="56"/>
      <c r="C19" s="64"/>
      <c r="D19" s="8"/>
      <c r="E19" s="25"/>
      <c r="F19" s="66"/>
      <c r="G19" s="8"/>
    </row>
    <row r="20" spans="1:7" x14ac:dyDescent="0.25">
      <c r="A20" t="s">
        <v>12</v>
      </c>
      <c r="B20" s="59">
        <v>2189</v>
      </c>
      <c r="C20" s="64">
        <v>85</v>
      </c>
      <c r="D20" s="8">
        <f>+B20*C20</f>
        <v>186065</v>
      </c>
      <c r="E20" s="25">
        <f>B20</f>
        <v>2189</v>
      </c>
      <c r="F20" s="66">
        <f>'LGS-SEC'!F20</f>
        <v>85</v>
      </c>
      <c r="G20" s="8">
        <f>+E20*F20</f>
        <v>186065</v>
      </c>
    </row>
    <row r="21" spans="1:7" x14ac:dyDescent="0.25">
      <c r="B21" s="56"/>
      <c r="C21" s="46"/>
      <c r="D21" s="8"/>
      <c r="E21" s="25"/>
      <c r="F21" s="56"/>
      <c r="G21" s="8"/>
    </row>
    <row r="22" spans="1:7" x14ac:dyDescent="0.25">
      <c r="A22" t="s">
        <v>13</v>
      </c>
      <c r="B22" s="59">
        <v>2189</v>
      </c>
      <c r="C22" s="46"/>
      <c r="D22" s="8"/>
      <c r="E22" s="25">
        <f>B22</f>
        <v>2189</v>
      </c>
      <c r="F22" s="56"/>
      <c r="G22" s="8"/>
    </row>
    <row r="23" spans="1:7" x14ac:dyDescent="0.25">
      <c r="C23" s="46"/>
      <c r="D23" s="8"/>
      <c r="E23" s="25"/>
      <c r="F23" s="56"/>
      <c r="G23" s="8"/>
    </row>
    <row r="24" spans="1:7" x14ac:dyDescent="0.25">
      <c r="A24" t="str">
        <f>+RS!A$26</f>
        <v xml:space="preserve">Fuel </v>
      </c>
      <c r="C24" s="63">
        <f>+RS!C26</f>
        <v>2.0411219651722302E-3</v>
      </c>
      <c r="D24" s="8">
        <f>+B14*C24</f>
        <v>257861.32657195884</v>
      </c>
      <c r="F24" s="60">
        <f>+RS!F26</f>
        <v>2.0411219651722302E-3</v>
      </c>
      <c r="G24" s="8">
        <f>+E14*F24</f>
        <v>257861.32657195884</v>
      </c>
    </row>
    <row r="25" spans="1:7" x14ac:dyDescent="0.25">
      <c r="D25" s="8"/>
      <c r="F25" s="61"/>
      <c r="G25" s="8"/>
    </row>
    <row r="26" spans="1:7" x14ac:dyDescent="0.25">
      <c r="A26" t="str">
        <f>+RS!A$28</f>
        <v>Asset Transfer Rider</v>
      </c>
      <c r="D26" s="45">
        <f>+ATR!D28*SUM(D12:D20)/SUM(D12:D20,'LGS-SEC'!D12:D20)</f>
        <v>1220167.1355298895</v>
      </c>
      <c r="F26" s="61"/>
      <c r="G26" s="45"/>
    </row>
    <row r="27" spans="1:7" x14ac:dyDescent="0.25">
      <c r="D27" s="45"/>
      <c r="F27" s="61"/>
      <c r="G27" s="45"/>
    </row>
    <row r="28" spans="1:7" x14ac:dyDescent="0.25">
      <c r="A28" t="str">
        <f>RS!A30</f>
        <v>Economic Development Rider</v>
      </c>
      <c r="D28" s="45"/>
      <c r="E28" s="25">
        <f>E20</f>
        <v>2189</v>
      </c>
      <c r="F28" s="66">
        <f>RS!F30</f>
        <v>0.15</v>
      </c>
      <c r="G28" s="45">
        <f>E28*F28</f>
        <v>328.34999999999997</v>
      </c>
    </row>
    <row r="29" spans="1:7" x14ac:dyDescent="0.25">
      <c r="D29" s="45"/>
      <c r="E29" s="25"/>
      <c r="F29" s="66"/>
      <c r="G29" s="45"/>
    </row>
    <row r="30" spans="1:7" x14ac:dyDescent="0.25">
      <c r="A30" t="str">
        <f>+'MGS-SEC'!A32</f>
        <v>Big Sandy 1 Operations Rider - Energy</v>
      </c>
      <c r="D30" s="45"/>
      <c r="E30" s="25"/>
      <c r="F30" s="65">
        <f>'LGS-SEC'!F30</f>
        <v>1.39E-3</v>
      </c>
      <c r="G30" s="45">
        <f>+F30*E14</f>
        <v>175603.05069999999</v>
      </c>
    </row>
    <row r="31" spans="1:7" x14ac:dyDescent="0.25">
      <c r="D31" s="45"/>
      <c r="E31" s="25"/>
      <c r="F31" s="66"/>
      <c r="G31" s="45"/>
    </row>
    <row r="32" spans="1:7" x14ac:dyDescent="0.25">
      <c r="A32" t="str">
        <f>+'MGS-SEC'!A34</f>
        <v>Big Sandy 1 Operations Rider - Demand</v>
      </c>
      <c r="D32" s="45"/>
      <c r="E32" s="25"/>
      <c r="F32" s="66">
        <f>'LGS-SEC'!F32</f>
        <v>0.45</v>
      </c>
      <c r="G32" s="45">
        <f>+F32*E16</f>
        <v>215757</v>
      </c>
    </row>
    <row r="33" spans="1:7" x14ac:dyDescent="0.25">
      <c r="D33" s="45"/>
      <c r="E33" s="25"/>
      <c r="F33" s="66"/>
      <c r="G33" s="45"/>
    </row>
    <row r="34" spans="1:7" x14ac:dyDescent="0.25">
      <c r="A34" t="str">
        <f>+'MGS-SEC'!A36</f>
        <v>Big Sandy Retirement Rider</v>
      </c>
      <c r="D34" s="45"/>
      <c r="E34" s="74">
        <f>SUM(G11:G33)-G24-G42</f>
        <v>8969160.7682999969</v>
      </c>
      <c r="F34" s="78">
        <f>SGS!$F$30</f>
        <v>4.9917999999999997E-2</v>
      </c>
      <c r="G34" s="45">
        <f>E34*F34</f>
        <v>447722.56723199924</v>
      </c>
    </row>
    <row r="35" spans="1:7" x14ac:dyDescent="0.25">
      <c r="D35" s="45"/>
      <c r="E35" s="25"/>
      <c r="F35" s="57"/>
      <c r="G35" s="45"/>
    </row>
    <row r="36" spans="1:7" x14ac:dyDescent="0.25">
      <c r="A36" t="str">
        <f>+'MGS-SEC'!A38</f>
        <v>Environmental Surcharge</v>
      </c>
      <c r="D36" s="45"/>
      <c r="E36" s="74">
        <f>E34</f>
        <v>8969160.7682999969</v>
      </c>
      <c r="F36" s="78">
        <f>SGS!$F$32</f>
        <v>9.8901000000000003E-2</v>
      </c>
      <c r="G36" s="45">
        <f>E36*F36</f>
        <v>887058.96914563805</v>
      </c>
    </row>
    <row r="37" spans="1:7" x14ac:dyDescent="0.25">
      <c r="D37" s="8"/>
      <c r="G37" s="8"/>
    </row>
    <row r="38" spans="1:7" x14ac:dyDescent="0.25">
      <c r="A38" t="s">
        <v>14</v>
      </c>
      <c r="D38" s="8">
        <f>SUM(D12:D36)</f>
        <v>13461835.845601846</v>
      </c>
      <c r="G38" s="8">
        <f>SUM(G12:G36)</f>
        <v>14149664.523249594</v>
      </c>
    </row>
    <row r="39" spans="1:7" x14ac:dyDescent="0.25">
      <c r="G39" s="25"/>
    </row>
    <row r="40" spans="1:7" x14ac:dyDescent="0.25">
      <c r="G40" s="25"/>
    </row>
    <row r="42" spans="1:7" x14ac:dyDescent="0.25">
      <c r="A42" s="46" t="s">
        <v>193</v>
      </c>
      <c r="F42" s="60">
        <f>SGS!$F$38</f>
        <v>2.8400000000000002E-2</v>
      </c>
      <c r="G42" s="8">
        <f>+E14*F42</f>
        <v>3587860.892</v>
      </c>
    </row>
  </sheetData>
  <pageMargins left="0.75" right="0.75" top="1" bottom="1" header="0.5" footer="0.5"/>
  <pageSetup scale="8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2"/>
  <sheetViews>
    <sheetView workbookViewId="0">
      <selection activeCell="D28" sqref="D28:D36"/>
    </sheetView>
  </sheetViews>
  <sheetFormatPr defaultRowHeight="13.2" x14ac:dyDescent="0.25"/>
  <cols>
    <col min="1" max="1" width="23.109375" customWidth="1"/>
    <col min="2" max="2" width="11.6640625" customWidth="1"/>
    <col min="3" max="3" width="12.33203125" customWidth="1"/>
    <col min="4" max="4" width="15.33203125" customWidth="1"/>
    <col min="5" max="5" width="16.33203125" style="21" customWidth="1"/>
    <col min="6" max="6" width="13.109375" style="21" customWidth="1"/>
    <col min="7" max="7" width="15.10937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s="46" t="s">
        <v>204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9" t="s">
        <v>8</v>
      </c>
      <c r="B12" s="59">
        <v>2091300</v>
      </c>
      <c r="C12" s="67">
        <v>6.5140000000000003E-2</v>
      </c>
      <c r="D12" s="8">
        <f>+B12*C12</f>
        <v>136227.28200000001</v>
      </c>
      <c r="E12" s="25">
        <f>B12</f>
        <v>2091300</v>
      </c>
      <c r="F12" s="65">
        <v>6.5350000000000005E-2</v>
      </c>
      <c r="G12" s="8">
        <f>+E12*F12</f>
        <v>136666.45500000002</v>
      </c>
    </row>
    <row r="13" spans="1:7" x14ac:dyDescent="0.25">
      <c r="A13" t="s">
        <v>118</v>
      </c>
      <c r="B13" s="59">
        <v>0</v>
      </c>
      <c r="C13" s="46"/>
      <c r="D13" s="8"/>
      <c r="E13" s="25">
        <f>B13</f>
        <v>0</v>
      </c>
      <c r="F13" s="56"/>
      <c r="G13" s="8"/>
    </row>
    <row r="14" spans="1:7" x14ac:dyDescent="0.25">
      <c r="A14" t="s">
        <v>11</v>
      </c>
      <c r="B14" s="5">
        <f>SUM(B12:B13)</f>
        <v>2091300</v>
      </c>
      <c r="C14" s="46"/>
      <c r="D14" s="8"/>
      <c r="E14" s="25">
        <f>B14</f>
        <v>2091300</v>
      </c>
      <c r="F14" s="56"/>
      <c r="G14" s="8"/>
    </row>
    <row r="15" spans="1:7" x14ac:dyDescent="0.25">
      <c r="C15" s="46"/>
      <c r="D15" s="8"/>
      <c r="E15" s="25"/>
      <c r="F15" s="56"/>
      <c r="G15" s="8"/>
    </row>
    <row r="16" spans="1:7" x14ac:dyDescent="0.25">
      <c r="A16" t="s">
        <v>56</v>
      </c>
      <c r="B16" s="59">
        <v>6706</v>
      </c>
      <c r="C16" s="64">
        <v>3.89</v>
      </c>
      <c r="D16" s="8">
        <f>+B16*C16</f>
        <v>26086.34</v>
      </c>
      <c r="E16" s="25">
        <f>B16</f>
        <v>6706</v>
      </c>
      <c r="F16" s="66">
        <f>'LGS-PRI'!F16</f>
        <v>4.53</v>
      </c>
      <c r="G16" s="8">
        <f>+E16*F16</f>
        <v>30378.18</v>
      </c>
    </row>
    <row r="17" spans="1:7" x14ac:dyDescent="0.25">
      <c r="B17" s="56"/>
      <c r="C17" s="64"/>
      <c r="D17" s="8"/>
      <c r="E17" s="25"/>
      <c r="F17" s="66"/>
      <c r="G17" s="8"/>
    </row>
    <row r="18" spans="1:7" x14ac:dyDescent="0.25">
      <c r="A18" t="s">
        <v>117</v>
      </c>
      <c r="B18" s="59">
        <v>634</v>
      </c>
      <c r="C18" s="64">
        <v>3.46</v>
      </c>
      <c r="D18" s="8">
        <f>+B18*C18</f>
        <v>2193.64</v>
      </c>
      <c r="E18" s="25">
        <f>B18</f>
        <v>634</v>
      </c>
      <c r="F18" s="66">
        <f>'LGS-PRI'!F18</f>
        <v>3.46</v>
      </c>
      <c r="G18" s="8">
        <f>+E18*F18</f>
        <v>2193.64</v>
      </c>
    </row>
    <row r="19" spans="1:7" x14ac:dyDescent="0.25">
      <c r="B19" s="56"/>
      <c r="C19" s="64"/>
      <c r="D19" s="8"/>
      <c r="E19" s="25"/>
      <c r="F19" s="66"/>
      <c r="G19" s="8"/>
    </row>
    <row r="20" spans="1:7" x14ac:dyDescent="0.25">
      <c r="A20" t="s">
        <v>12</v>
      </c>
      <c r="B20" s="59">
        <v>12</v>
      </c>
      <c r="C20" s="64">
        <v>127.5</v>
      </c>
      <c r="D20" s="8">
        <f>+B20*C20</f>
        <v>1530</v>
      </c>
      <c r="E20" s="25">
        <f>B20</f>
        <v>12</v>
      </c>
      <c r="F20" s="66">
        <f>'LGS-PRI'!F20</f>
        <v>127.5</v>
      </c>
      <c r="G20" s="8">
        <f>+E20*F20</f>
        <v>1530</v>
      </c>
    </row>
    <row r="21" spans="1:7" x14ac:dyDescent="0.25">
      <c r="B21" s="56"/>
      <c r="C21" s="46"/>
      <c r="D21" s="8"/>
      <c r="E21" s="25"/>
      <c r="F21" s="56"/>
      <c r="G21" s="8"/>
    </row>
    <row r="22" spans="1:7" x14ac:dyDescent="0.25">
      <c r="A22" t="s">
        <v>13</v>
      </c>
      <c r="B22" s="59">
        <v>12</v>
      </c>
      <c r="C22" s="46"/>
      <c r="D22" s="8"/>
      <c r="E22" s="25">
        <f>B22</f>
        <v>12</v>
      </c>
      <c r="F22" s="56"/>
      <c r="G22" s="8"/>
    </row>
    <row r="23" spans="1:7" x14ac:dyDescent="0.25">
      <c r="C23" s="46"/>
      <c r="D23" s="8"/>
      <c r="F23" s="56"/>
      <c r="G23" s="8"/>
    </row>
    <row r="24" spans="1:7" x14ac:dyDescent="0.25">
      <c r="A24" t="str">
        <f>+RS!A$26</f>
        <v xml:space="preserve">Fuel </v>
      </c>
      <c r="C24" s="63">
        <f>+RS!C26</f>
        <v>2.0411219651722302E-3</v>
      </c>
      <c r="D24" s="8">
        <f>+B14*C24</f>
        <v>4268.5983657646848</v>
      </c>
      <c r="F24" s="60">
        <f>+RS!F26</f>
        <v>2.0411219651722302E-3</v>
      </c>
      <c r="G24" s="8">
        <f>+E14*F24</f>
        <v>4268.5983657646848</v>
      </c>
    </row>
    <row r="25" spans="1:7" x14ac:dyDescent="0.25">
      <c r="D25" s="8"/>
      <c r="F25" s="61"/>
      <c r="G25" s="8"/>
    </row>
    <row r="26" spans="1:7" x14ac:dyDescent="0.25">
      <c r="A26" t="str">
        <f>+RS!A$28</f>
        <v>Asset Transfer Rider</v>
      </c>
      <c r="D26" s="45">
        <f>+ATR!D30*SUM(D12:D20)/SUM(D12:D20,'LGS-PRI'!D12:D20)</f>
        <v>16261.750834137638</v>
      </c>
      <c r="F26" s="61"/>
      <c r="G26" s="45"/>
    </row>
    <row r="27" spans="1:7" x14ac:dyDescent="0.25">
      <c r="D27" s="45"/>
      <c r="F27" s="61"/>
      <c r="G27" s="45"/>
    </row>
    <row r="28" spans="1:7" x14ac:dyDescent="0.25">
      <c r="A28" t="str">
        <f>RS!A30</f>
        <v>Economic Development Rider</v>
      </c>
      <c r="D28" s="45"/>
      <c r="E28" s="25">
        <f>E20</f>
        <v>12</v>
      </c>
      <c r="F28" s="66">
        <f>RS!F30</f>
        <v>0.15</v>
      </c>
      <c r="G28" s="45">
        <f>E28*F28</f>
        <v>1.7999999999999998</v>
      </c>
    </row>
    <row r="29" spans="1:7" x14ac:dyDescent="0.25">
      <c r="D29" s="45"/>
      <c r="E29" s="25"/>
      <c r="F29" s="66"/>
      <c r="G29" s="45"/>
    </row>
    <row r="30" spans="1:7" x14ac:dyDescent="0.25">
      <c r="A30" t="str">
        <f>+'LGS-SEC'!A30</f>
        <v>Big Sandy 1 Operations Rider - Energy</v>
      </c>
      <c r="D30" s="45"/>
      <c r="E30" s="25"/>
      <c r="F30" s="65">
        <f>+'LGS-SEC'!F30</f>
        <v>1.39E-3</v>
      </c>
      <c r="G30" s="45">
        <f>+F30*E14</f>
        <v>2906.9069999999997</v>
      </c>
    </row>
    <row r="31" spans="1:7" x14ac:dyDescent="0.25">
      <c r="D31" s="45"/>
      <c r="E31" s="25"/>
      <c r="F31" s="66"/>
      <c r="G31" s="45"/>
    </row>
    <row r="32" spans="1:7" x14ac:dyDescent="0.25">
      <c r="A32" t="str">
        <f>+'LGS-SEC'!A32</f>
        <v>Big Sandy 1 Operations Rider - Demand</v>
      </c>
      <c r="D32" s="45"/>
      <c r="E32" s="25"/>
      <c r="F32" s="66">
        <f>+'LGS-SEC'!F32</f>
        <v>0.45</v>
      </c>
      <c r="G32" s="45">
        <f>+F32*E16</f>
        <v>3017.7000000000003</v>
      </c>
    </row>
    <row r="33" spans="1:7" x14ac:dyDescent="0.25">
      <c r="D33" s="45"/>
      <c r="E33" s="25"/>
      <c r="F33" s="64"/>
      <c r="G33" s="45"/>
    </row>
    <row r="34" spans="1:7" x14ac:dyDescent="0.25">
      <c r="A34" t="str">
        <f>RS!A34</f>
        <v>Big Sandy Retirement Rider</v>
      </c>
      <c r="D34" s="45"/>
      <c r="E34" s="74">
        <f>SUM(G11:G33)-G24-G42</f>
        <v>117301.76200000002</v>
      </c>
      <c r="F34" s="78">
        <f>SGS!$F$30</f>
        <v>4.9917999999999997E-2</v>
      </c>
      <c r="G34" s="45">
        <f>E34*F34</f>
        <v>5855.4693555160002</v>
      </c>
    </row>
    <row r="35" spans="1:7" x14ac:dyDescent="0.25">
      <c r="D35" s="45"/>
      <c r="E35" s="25"/>
      <c r="F35" s="57"/>
      <c r="G35" s="45"/>
    </row>
    <row r="36" spans="1:7" x14ac:dyDescent="0.25">
      <c r="A36" t="str">
        <f>RS!A36</f>
        <v>Environmental Surcharge</v>
      </c>
      <c r="D36" s="45"/>
      <c r="E36" s="74">
        <f>E34</f>
        <v>117301.76200000002</v>
      </c>
      <c r="F36" s="78">
        <f>SGS!$F$32</f>
        <v>9.8901000000000003E-2</v>
      </c>
      <c r="G36" s="45">
        <f>E36*F36</f>
        <v>11601.261563562002</v>
      </c>
    </row>
    <row r="37" spans="1:7" x14ac:dyDescent="0.25">
      <c r="D37" s="8"/>
      <c r="G37" s="8"/>
    </row>
    <row r="38" spans="1:7" x14ac:dyDescent="0.25">
      <c r="A38" t="s">
        <v>14</v>
      </c>
      <c r="D38" s="8">
        <f>SUM(D12:D36)</f>
        <v>186567.61119990234</v>
      </c>
      <c r="G38" s="8">
        <f>SUM(G12:G36)</f>
        <v>198420.01128484271</v>
      </c>
    </row>
    <row r="39" spans="1:7" x14ac:dyDescent="0.25">
      <c r="G39" s="25"/>
    </row>
    <row r="42" spans="1:7" x14ac:dyDescent="0.25">
      <c r="A42" s="46" t="s">
        <v>193</v>
      </c>
      <c r="F42" s="60">
        <f>SGS!$F$38</f>
        <v>2.8400000000000002E-2</v>
      </c>
      <c r="G42" s="8">
        <f>+E14*F42</f>
        <v>59392.920000000006</v>
      </c>
    </row>
  </sheetData>
  <pageMargins left="0.75" right="0.75" top="1" bottom="1" header="0.5" footer="0.5"/>
  <pageSetup scale="8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2"/>
  <sheetViews>
    <sheetView workbookViewId="0">
      <selection activeCell="D36" sqref="D36"/>
    </sheetView>
  </sheetViews>
  <sheetFormatPr defaultRowHeight="13.2" x14ac:dyDescent="0.25"/>
  <cols>
    <col min="1" max="1" width="23.88671875" customWidth="1"/>
    <col min="2" max="2" width="13.5546875" customWidth="1"/>
    <col min="3" max="3" width="13.109375" customWidth="1"/>
    <col min="4" max="4" width="15.44140625" customWidth="1"/>
    <col min="5" max="5" width="16.33203125" style="21" customWidth="1"/>
    <col min="6" max="6" width="13.88671875" style="21" customWidth="1"/>
    <col min="7" max="7" width="17.3320312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4" spans="1:7" x14ac:dyDescent="0.25">
      <c r="D4" s="5"/>
    </row>
    <row r="5" spans="1:7" x14ac:dyDescent="0.25">
      <c r="A5" t="s">
        <v>62</v>
      </c>
      <c r="D5" s="5"/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9" t="s">
        <v>8</v>
      </c>
      <c r="B12" s="59">
        <f>558760756-'School Sec'!B12</f>
        <v>432427626</v>
      </c>
      <c r="C12" s="67">
        <v>7.7950000000000005E-2</v>
      </c>
      <c r="D12" s="8">
        <f>+B12*C12</f>
        <v>33707733.446699999</v>
      </c>
      <c r="E12" s="25">
        <f>B12</f>
        <v>432427626</v>
      </c>
      <c r="F12" s="65">
        <v>8.0810000000000007E-2</v>
      </c>
      <c r="G12" s="8">
        <f>+E12*F12</f>
        <v>34944476.457060002</v>
      </c>
    </row>
    <row r="13" spans="1:7" x14ac:dyDescent="0.25">
      <c r="A13" t="s">
        <v>118</v>
      </c>
      <c r="B13" s="59">
        <f>60999-'School Sec'!B13</f>
        <v>60999</v>
      </c>
      <c r="C13" s="46"/>
      <c r="D13" s="8"/>
      <c r="E13" s="25">
        <f>B13</f>
        <v>60999</v>
      </c>
      <c r="F13" s="56"/>
      <c r="G13" s="8"/>
    </row>
    <row r="14" spans="1:7" x14ac:dyDescent="0.25">
      <c r="A14" t="s">
        <v>11</v>
      </c>
      <c r="B14" s="5">
        <f>SUM(B12:B13)</f>
        <v>432488625</v>
      </c>
      <c r="C14" s="46"/>
      <c r="D14" s="8"/>
      <c r="E14" s="25">
        <f>SUM(E12:E13)</f>
        <v>432488625</v>
      </c>
      <c r="F14" s="56"/>
      <c r="G14" s="8"/>
    </row>
    <row r="15" spans="1:7" x14ac:dyDescent="0.25">
      <c r="B15" s="5"/>
      <c r="C15" s="46"/>
      <c r="D15" s="8"/>
      <c r="E15" s="25"/>
      <c r="F15" s="56"/>
      <c r="G15" s="8"/>
    </row>
    <row r="16" spans="1:7" x14ac:dyDescent="0.25">
      <c r="A16" t="s">
        <v>56</v>
      </c>
      <c r="B16" s="59">
        <f>1666281-'School Sec'!B16</f>
        <v>1186821</v>
      </c>
      <c r="C16" s="64">
        <v>4.0199999999999996</v>
      </c>
      <c r="D16" s="8">
        <f>+B16*C16</f>
        <v>4771020.42</v>
      </c>
      <c r="E16" s="25">
        <f>B16</f>
        <v>1186821</v>
      </c>
      <c r="F16" s="66">
        <v>4.67</v>
      </c>
      <c r="G16" s="8">
        <f>+E16*F16</f>
        <v>5542454.0700000003</v>
      </c>
    </row>
    <row r="17" spans="1:7" x14ac:dyDescent="0.25">
      <c r="B17" s="56"/>
      <c r="C17" s="64"/>
      <c r="D17" s="8"/>
      <c r="E17" s="25"/>
      <c r="F17" s="66"/>
      <c r="G17" s="8"/>
    </row>
    <row r="18" spans="1:7" x14ac:dyDescent="0.25">
      <c r="A18" t="s">
        <v>117</v>
      </c>
      <c r="B18" s="59">
        <f>49112-'School Sec'!B18</f>
        <v>42567</v>
      </c>
      <c r="C18" s="64">
        <v>3.46</v>
      </c>
      <c r="D18" s="8">
        <f>+B18*C18</f>
        <v>147281.82</v>
      </c>
      <c r="E18" s="25">
        <f>B18</f>
        <v>42567</v>
      </c>
      <c r="F18" s="66">
        <v>3.46</v>
      </c>
      <c r="G18" s="8">
        <f>+E18*F18</f>
        <v>147281.82</v>
      </c>
    </row>
    <row r="19" spans="1:7" x14ac:dyDescent="0.25">
      <c r="B19" s="56"/>
      <c r="C19" s="64"/>
      <c r="D19" s="8"/>
      <c r="E19" s="25"/>
      <c r="F19" s="66"/>
      <c r="G19" s="8"/>
    </row>
    <row r="20" spans="1:7" x14ac:dyDescent="0.25">
      <c r="A20" t="s">
        <v>12</v>
      </c>
      <c r="B20" s="59">
        <f>8973-'School Sec'!B20</f>
        <v>6784</v>
      </c>
      <c r="C20" s="64">
        <v>85</v>
      </c>
      <c r="D20" s="8">
        <f>+B20*C20</f>
        <v>576640</v>
      </c>
      <c r="E20" s="25">
        <f>B20</f>
        <v>6784</v>
      </c>
      <c r="F20" s="66">
        <v>85</v>
      </c>
      <c r="G20" s="8">
        <f>+E20*F20</f>
        <v>576640</v>
      </c>
    </row>
    <row r="21" spans="1:7" x14ac:dyDescent="0.25">
      <c r="B21" s="56"/>
      <c r="C21" s="46"/>
      <c r="D21" s="8"/>
      <c r="E21" s="25"/>
      <c r="F21" s="56"/>
      <c r="G21" s="8"/>
    </row>
    <row r="22" spans="1:7" x14ac:dyDescent="0.25">
      <c r="A22" t="s">
        <v>13</v>
      </c>
      <c r="B22" s="59">
        <f>8976-'School Sec'!B22</f>
        <v>6787</v>
      </c>
      <c r="C22" s="46"/>
      <c r="D22" s="8"/>
      <c r="E22" s="25">
        <f>B22</f>
        <v>6787</v>
      </c>
      <c r="F22" s="56"/>
      <c r="G22" s="8"/>
    </row>
    <row r="23" spans="1:7" x14ac:dyDescent="0.25">
      <c r="C23" s="46"/>
      <c r="D23" s="8"/>
      <c r="E23" s="25"/>
      <c r="F23" s="56"/>
      <c r="G23" s="8"/>
    </row>
    <row r="24" spans="1:7" x14ac:dyDescent="0.25">
      <c r="A24" t="str">
        <f>+RS!A$26</f>
        <v xml:space="preserve">Fuel </v>
      </c>
      <c r="C24" s="63">
        <f>+RS!C26</f>
        <v>2.0411219651722302E-3</v>
      </c>
      <c r="D24" s="8">
        <f>+B14*C24</f>
        <v>882762.03217463579</v>
      </c>
      <c r="F24" s="60">
        <f>+RS!F26</f>
        <v>2.0411219651722302E-3</v>
      </c>
      <c r="G24" s="8">
        <f>+E14*F24</f>
        <v>882762.03217463579</v>
      </c>
    </row>
    <row r="25" spans="1:7" x14ac:dyDescent="0.25">
      <c r="D25" s="8"/>
      <c r="F25" s="61"/>
      <c r="G25" s="8"/>
    </row>
    <row r="26" spans="1:7" x14ac:dyDescent="0.25">
      <c r="A26" t="str">
        <f>+RS!A$28</f>
        <v>Asset Transfer Rider</v>
      </c>
      <c r="D26" s="45">
        <f>+ATR!D28-'School Sec'!D26</f>
        <v>3991537.4944701102</v>
      </c>
      <c r="F26" s="61"/>
      <c r="G26" s="45"/>
    </row>
    <row r="27" spans="1:7" x14ac:dyDescent="0.25">
      <c r="D27" s="45"/>
      <c r="F27" s="61"/>
      <c r="G27" s="45"/>
    </row>
    <row r="28" spans="1:7" x14ac:dyDescent="0.25">
      <c r="A28" t="str">
        <f>RS!A30</f>
        <v>Economic Development Rider</v>
      </c>
      <c r="D28" s="45"/>
      <c r="E28" s="25">
        <f>E20</f>
        <v>6784</v>
      </c>
      <c r="F28" s="66">
        <f>RS!F30</f>
        <v>0.15</v>
      </c>
      <c r="G28" s="45">
        <f>E28*F28</f>
        <v>1017.5999999999999</v>
      </c>
    </row>
    <row r="29" spans="1:7" x14ac:dyDescent="0.25">
      <c r="D29" s="45"/>
      <c r="E29" s="25"/>
      <c r="F29" s="66"/>
      <c r="G29" s="45"/>
    </row>
    <row r="30" spans="1:7" x14ac:dyDescent="0.25">
      <c r="A30" t="str">
        <f>+'MGS-SEC'!A32</f>
        <v>Big Sandy 1 Operations Rider - Energy</v>
      </c>
      <c r="D30" s="45"/>
      <c r="E30" s="25"/>
      <c r="F30" s="65">
        <v>1.39E-3</v>
      </c>
      <c r="G30" s="45">
        <f>+F30*E14</f>
        <v>601159.18874999997</v>
      </c>
    </row>
    <row r="31" spans="1:7" x14ac:dyDescent="0.25">
      <c r="D31" s="45"/>
      <c r="E31" s="25"/>
      <c r="F31" s="66"/>
      <c r="G31" s="45"/>
    </row>
    <row r="32" spans="1:7" x14ac:dyDescent="0.25">
      <c r="A32" t="str">
        <f>+'MGS-SEC'!A34</f>
        <v>Big Sandy 1 Operations Rider - Demand</v>
      </c>
      <c r="D32" s="45"/>
      <c r="E32" s="25"/>
      <c r="F32" s="66">
        <v>0.45</v>
      </c>
      <c r="G32" s="45">
        <f>+F32*E16</f>
        <v>534069.45000000007</v>
      </c>
    </row>
    <row r="33" spans="1:7" x14ac:dyDescent="0.25">
      <c r="D33" s="45"/>
      <c r="E33" s="25"/>
      <c r="F33" s="66"/>
      <c r="G33" s="45"/>
    </row>
    <row r="34" spans="1:7" x14ac:dyDescent="0.25">
      <c r="A34" t="str">
        <f>+'MGS-SEC'!A36</f>
        <v>Big Sandy Retirement Rider</v>
      </c>
      <c r="D34" s="45"/>
      <c r="E34" s="74">
        <f>SUM(G11:G33)-G24-G42</f>
        <v>30064421.635810003</v>
      </c>
      <c r="F34" s="78">
        <f>SGS!$F$30</f>
        <v>4.9917999999999997E-2</v>
      </c>
      <c r="G34" s="45">
        <f>E34*F34</f>
        <v>1500755.7992163636</v>
      </c>
    </row>
    <row r="35" spans="1:7" x14ac:dyDescent="0.25">
      <c r="D35" s="45"/>
      <c r="E35" s="25"/>
      <c r="F35" s="57"/>
      <c r="G35" s="45"/>
    </row>
    <row r="36" spans="1:7" x14ac:dyDescent="0.25">
      <c r="A36" t="str">
        <f>+'MGS-SEC'!A38</f>
        <v>Environmental Surcharge</v>
      </c>
      <c r="D36" s="45"/>
      <c r="E36" s="74">
        <f>E34</f>
        <v>30064421.635810003</v>
      </c>
      <c r="F36" s="78">
        <f>SGS!$F$32</f>
        <v>9.8901000000000003E-2</v>
      </c>
      <c r="G36" s="45">
        <f>E36*F36</f>
        <v>2973401.3642032454</v>
      </c>
    </row>
    <row r="37" spans="1:7" x14ac:dyDescent="0.25">
      <c r="D37" s="8"/>
      <c r="G37" s="8"/>
    </row>
    <row r="38" spans="1:7" x14ac:dyDescent="0.25">
      <c r="A38" t="s">
        <v>14</v>
      </c>
      <c r="D38" s="8">
        <f>SUM(D12:D36)</f>
        <v>44076975.213344753</v>
      </c>
      <c r="G38" s="8">
        <f>SUM(G12:G36)</f>
        <v>47704017.781404257</v>
      </c>
    </row>
    <row r="39" spans="1:7" x14ac:dyDescent="0.25">
      <c r="G39" s="25"/>
    </row>
    <row r="40" spans="1:7" x14ac:dyDescent="0.25">
      <c r="G40" s="25"/>
    </row>
    <row r="42" spans="1:7" x14ac:dyDescent="0.25">
      <c r="A42" s="46" t="s">
        <v>193</v>
      </c>
      <c r="F42" s="60">
        <f>SGS!$F$38</f>
        <v>2.8400000000000002E-2</v>
      </c>
      <c r="G42" s="8">
        <f>+E14*F42</f>
        <v>12282676.950000001</v>
      </c>
    </row>
  </sheetData>
  <phoneticPr fontId="0" type="noConversion"/>
  <pageMargins left="0.75" right="0.75" top="1" bottom="1" header="0.5" footer="0.5"/>
  <pageSetup scale="8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0"/>
  <sheetViews>
    <sheetView workbookViewId="0">
      <selection activeCell="D28" sqref="D28:D34"/>
    </sheetView>
  </sheetViews>
  <sheetFormatPr defaultRowHeight="13.2" x14ac:dyDescent="0.25"/>
  <cols>
    <col min="1" max="1" width="22.44140625" customWidth="1"/>
    <col min="2" max="2" width="11.88671875" customWidth="1"/>
    <col min="3" max="3" width="13.109375" customWidth="1"/>
    <col min="4" max="4" width="13.6640625" customWidth="1"/>
    <col min="5" max="5" width="16.33203125" style="21" customWidth="1"/>
    <col min="6" max="7" width="14.4414062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119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4" t="s">
        <v>8</v>
      </c>
    </row>
    <row r="13" spans="1:7" x14ac:dyDescent="0.25">
      <c r="A13" t="s">
        <v>21</v>
      </c>
      <c r="B13" s="59">
        <v>862445</v>
      </c>
      <c r="C13" s="67">
        <v>0.12970999999999999</v>
      </c>
      <c r="D13" s="8">
        <f>+B13*C13</f>
        <v>111867.74094999999</v>
      </c>
      <c r="E13" s="25">
        <f>+B13</f>
        <v>862445</v>
      </c>
      <c r="F13" s="65">
        <v>0.13250999999999999</v>
      </c>
      <c r="G13" s="8">
        <f>+E13*F13</f>
        <v>114282.58695</v>
      </c>
    </row>
    <row r="14" spans="1:7" x14ac:dyDescent="0.25">
      <c r="A14" t="s">
        <v>22</v>
      </c>
      <c r="B14" s="59">
        <v>1097494</v>
      </c>
      <c r="C14" s="67">
        <v>5.1159999999999997E-2</v>
      </c>
      <c r="D14" s="8">
        <f>+B14*C14</f>
        <v>56147.793039999997</v>
      </c>
      <c r="E14" s="25">
        <f>+B14</f>
        <v>1097494</v>
      </c>
      <c r="F14" s="65">
        <v>5.4399999999999997E-2</v>
      </c>
      <c r="G14" s="8">
        <f>+E14*F14</f>
        <v>59703.673599999995</v>
      </c>
    </row>
    <row r="15" spans="1:7" x14ac:dyDescent="0.25">
      <c r="C15" s="64"/>
      <c r="D15" s="8"/>
      <c r="E15" s="25"/>
      <c r="F15" s="66"/>
      <c r="G15" s="8"/>
    </row>
    <row r="16" spans="1:7" x14ac:dyDescent="0.25">
      <c r="A16" t="s">
        <v>11</v>
      </c>
      <c r="B16" s="5">
        <f>SUM(B13:B14)</f>
        <v>1959939</v>
      </c>
      <c r="C16" s="64"/>
      <c r="D16" s="8"/>
      <c r="E16" s="25">
        <f>+B16</f>
        <v>1959939</v>
      </c>
      <c r="F16" s="66"/>
      <c r="G16" s="8"/>
    </row>
    <row r="17" spans="1:7" x14ac:dyDescent="0.25">
      <c r="B17" s="5"/>
      <c r="C17" s="64"/>
      <c r="D17" s="8"/>
      <c r="E17" s="25"/>
      <c r="F17" s="66"/>
      <c r="G17" s="8"/>
    </row>
    <row r="18" spans="1:7" x14ac:dyDescent="0.25">
      <c r="A18" t="s">
        <v>12</v>
      </c>
      <c r="B18" s="59">
        <v>109</v>
      </c>
      <c r="C18" s="64">
        <v>81.8</v>
      </c>
      <c r="D18" s="8">
        <f>+B18*C18</f>
        <v>8916.1999999999989</v>
      </c>
      <c r="E18" s="25">
        <f>+B18</f>
        <v>109</v>
      </c>
      <c r="F18" s="66">
        <v>85</v>
      </c>
      <c r="G18" s="8">
        <f>+E18*F18</f>
        <v>9265</v>
      </c>
    </row>
    <row r="19" spans="1:7" x14ac:dyDescent="0.25">
      <c r="B19" s="59"/>
      <c r="C19" s="46"/>
      <c r="D19" s="8"/>
      <c r="E19" s="25"/>
      <c r="F19" s="56"/>
      <c r="G19" s="8"/>
    </row>
    <row r="20" spans="1:7" x14ac:dyDescent="0.25">
      <c r="A20" t="s">
        <v>13</v>
      </c>
      <c r="B20" s="59">
        <v>108</v>
      </c>
      <c r="C20" s="46"/>
      <c r="D20" s="8"/>
      <c r="E20" s="25">
        <f>+B20</f>
        <v>108</v>
      </c>
      <c r="F20" s="56"/>
      <c r="G20" s="8"/>
    </row>
    <row r="21" spans="1:7" x14ac:dyDescent="0.25">
      <c r="C21" s="46"/>
      <c r="D21" s="8"/>
      <c r="E21" s="25"/>
      <c r="F21" s="56"/>
      <c r="G21" s="8"/>
    </row>
    <row r="22" spans="1:7" x14ac:dyDescent="0.25">
      <c r="A22" t="str">
        <f>+RS!A$26</f>
        <v xml:space="preserve">Fuel </v>
      </c>
      <c r="C22" s="63">
        <f>+RS!C26</f>
        <v>2.0411219651722302E-3</v>
      </c>
      <c r="D22" s="8">
        <f>+B16*C22</f>
        <v>4000.4745432976956</v>
      </c>
      <c r="F22" s="60">
        <f>+RS!F26</f>
        <v>2.0411219651722302E-3</v>
      </c>
      <c r="G22" s="8">
        <f>+E16*F22</f>
        <v>4000.4745432976956</v>
      </c>
    </row>
    <row r="23" spans="1:7" x14ac:dyDescent="0.25">
      <c r="D23" s="8"/>
      <c r="G23" s="8"/>
    </row>
    <row r="25" spans="1:7" x14ac:dyDescent="0.25">
      <c r="D25" s="45"/>
      <c r="G25" s="45"/>
    </row>
    <row r="26" spans="1:7" x14ac:dyDescent="0.25">
      <c r="A26" t="str">
        <f>+RS!A$28</f>
        <v>Asset Transfer Rider</v>
      </c>
      <c r="D26" s="45">
        <f>+ATR!D29</f>
        <v>17670.28</v>
      </c>
      <c r="G26" s="45"/>
    </row>
    <row r="27" spans="1:7" x14ac:dyDescent="0.25">
      <c r="D27" s="45"/>
      <c r="G27" s="45"/>
    </row>
    <row r="28" spans="1:7" x14ac:dyDescent="0.25">
      <c r="A28" t="str">
        <f>RS!A30</f>
        <v>Economic Development Rider</v>
      </c>
      <c r="D28" s="45"/>
      <c r="E28" s="25">
        <f>E18</f>
        <v>109</v>
      </c>
      <c r="F28" s="66">
        <f>RS!F30</f>
        <v>0.15</v>
      </c>
      <c r="G28" s="45">
        <f>E28*F28</f>
        <v>16.349999999999998</v>
      </c>
    </row>
    <row r="29" spans="1:7" x14ac:dyDescent="0.25">
      <c r="D29" s="45"/>
      <c r="E29" s="25"/>
      <c r="F29" s="66"/>
      <c r="G29" s="45"/>
    </row>
    <row r="30" spans="1:7" x14ac:dyDescent="0.25">
      <c r="A30" t="str">
        <f>RS!A32</f>
        <v>Big Sandy 1 Operations Rider</v>
      </c>
      <c r="D30" s="45"/>
      <c r="E30" s="25"/>
      <c r="F30" s="65">
        <v>2.7599999999999999E-3</v>
      </c>
      <c r="G30" s="45">
        <f>+F30*E16</f>
        <v>5409.4316399999998</v>
      </c>
    </row>
    <row r="31" spans="1:7" x14ac:dyDescent="0.25">
      <c r="D31" s="45"/>
      <c r="E31" s="25"/>
      <c r="F31" s="66"/>
      <c r="G31" s="45"/>
    </row>
    <row r="32" spans="1:7" x14ac:dyDescent="0.25">
      <c r="A32" t="str">
        <f>RS!A34</f>
        <v>Big Sandy Retirement Rider</v>
      </c>
      <c r="D32" s="45"/>
      <c r="E32" s="74">
        <f>SUM(G9:G31)-G22-G40</f>
        <v>133014.77458999999</v>
      </c>
      <c r="F32" s="78">
        <f>SGS!$F$30</f>
        <v>4.9917999999999997E-2</v>
      </c>
      <c r="G32" s="45">
        <f>E32*F32</f>
        <v>6639.8315179836191</v>
      </c>
    </row>
    <row r="33" spans="1:7" x14ac:dyDescent="0.25">
      <c r="D33" s="45"/>
      <c r="E33" s="25"/>
      <c r="F33" s="57"/>
      <c r="G33" s="45"/>
    </row>
    <row r="34" spans="1:7" x14ac:dyDescent="0.25">
      <c r="A34" t="str">
        <f>+RS!A$36</f>
        <v>Environmental Surcharge</v>
      </c>
      <c r="D34" s="45"/>
      <c r="E34" s="74">
        <f>E32</f>
        <v>133014.77458999999</v>
      </c>
      <c r="F34" s="78">
        <f>SGS!$F$32</f>
        <v>9.8901000000000003E-2</v>
      </c>
      <c r="G34" s="45">
        <f>E34*F34</f>
        <v>13155.29422172559</v>
      </c>
    </row>
    <row r="35" spans="1:7" x14ac:dyDescent="0.25">
      <c r="D35" s="8"/>
      <c r="G35" s="8"/>
    </row>
    <row r="36" spans="1:7" x14ac:dyDescent="0.25">
      <c r="A36" t="s">
        <v>14</v>
      </c>
      <c r="D36" s="8">
        <f>SUM(D13:D26)</f>
        <v>198602.4885332977</v>
      </c>
      <c r="G36" s="8">
        <f>SUM(G13:G35)</f>
        <v>212472.64247300688</v>
      </c>
    </row>
    <row r="37" spans="1:7" x14ac:dyDescent="0.25">
      <c r="G37" s="25"/>
    </row>
    <row r="40" spans="1:7" x14ac:dyDescent="0.25">
      <c r="A40" s="46" t="s">
        <v>193</v>
      </c>
      <c r="F40" s="60">
        <f>SGS!$F$38</f>
        <v>2.8400000000000002E-2</v>
      </c>
      <c r="G40" s="8">
        <f>+E16*F40</f>
        <v>55662.267600000006</v>
      </c>
    </row>
  </sheetData>
  <phoneticPr fontId="0" type="noConversion"/>
  <pageMargins left="0.75" right="0.75" top="1" bottom="1" header="0.5" footer="0.5"/>
  <pageSetup scale="9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2"/>
  <sheetViews>
    <sheetView workbookViewId="0">
      <selection activeCell="D28" sqref="D28:D36"/>
    </sheetView>
  </sheetViews>
  <sheetFormatPr defaultRowHeight="13.2" x14ac:dyDescent="0.25"/>
  <cols>
    <col min="1" max="1" width="23.109375" customWidth="1"/>
    <col min="2" max="2" width="11.6640625" customWidth="1"/>
    <col min="3" max="3" width="12.33203125" customWidth="1"/>
    <col min="4" max="4" width="15.33203125" customWidth="1"/>
    <col min="5" max="5" width="16.33203125" style="21" customWidth="1"/>
    <col min="6" max="6" width="13.109375" style="21" customWidth="1"/>
    <col min="7" max="7" width="15.10937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63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9" t="s">
        <v>8</v>
      </c>
      <c r="B12" s="59">
        <f>112193710-'School Pri'!B12</f>
        <v>110102410</v>
      </c>
      <c r="C12" s="67">
        <v>6.5140000000000003E-2</v>
      </c>
      <c r="D12" s="8">
        <f>+B12*C12</f>
        <v>7172070.9874</v>
      </c>
      <c r="E12" s="25">
        <f>B12</f>
        <v>110102410</v>
      </c>
      <c r="F12" s="65">
        <v>6.9239999999999996E-2</v>
      </c>
      <c r="G12" s="8">
        <f>+E12*F12</f>
        <v>7623490.8683999991</v>
      </c>
    </row>
    <row r="13" spans="1:7" x14ac:dyDescent="0.25">
      <c r="A13" t="s">
        <v>118</v>
      </c>
      <c r="B13" s="59">
        <f>-8025-'School Pri'!B13</f>
        <v>-8025</v>
      </c>
      <c r="C13" s="46"/>
      <c r="D13" s="8"/>
      <c r="E13" s="25">
        <f>B13</f>
        <v>-8025</v>
      </c>
      <c r="F13" s="56"/>
      <c r="G13" s="8"/>
    </row>
    <row r="14" spans="1:7" x14ac:dyDescent="0.25">
      <c r="A14" t="s">
        <v>11</v>
      </c>
      <c r="B14" s="5">
        <f>SUM(B12:B13)</f>
        <v>110094385</v>
      </c>
      <c r="C14" s="46"/>
      <c r="D14" s="8"/>
      <c r="E14" s="25">
        <f>B14</f>
        <v>110094385</v>
      </c>
      <c r="F14" s="56"/>
      <c r="G14" s="8"/>
    </row>
    <row r="15" spans="1:7" x14ac:dyDescent="0.25">
      <c r="C15" s="46"/>
      <c r="D15" s="8"/>
      <c r="E15" s="25"/>
      <c r="F15" s="56"/>
      <c r="G15" s="8"/>
    </row>
    <row r="16" spans="1:7" x14ac:dyDescent="0.25">
      <c r="A16" t="s">
        <v>56</v>
      </c>
      <c r="B16" s="59">
        <f>386863-'School Pri'!B16</f>
        <v>380157</v>
      </c>
      <c r="C16" s="64">
        <v>3.89</v>
      </c>
      <c r="D16" s="8">
        <f>+B16*C16</f>
        <v>1478810.73</v>
      </c>
      <c r="E16" s="25">
        <f>B16</f>
        <v>380157</v>
      </c>
      <c r="F16" s="66">
        <v>4.53</v>
      </c>
      <c r="G16" s="8">
        <f>+E16*F16</f>
        <v>1722111.2100000002</v>
      </c>
    </row>
    <row r="17" spans="1:7" x14ac:dyDescent="0.25">
      <c r="B17" s="56"/>
      <c r="C17" s="64"/>
      <c r="D17" s="8"/>
      <c r="E17" s="25"/>
      <c r="F17" s="66"/>
      <c r="G17" s="8"/>
    </row>
    <row r="18" spans="1:7" x14ac:dyDescent="0.25">
      <c r="A18" t="s">
        <v>117</v>
      </c>
      <c r="B18" s="59">
        <f>62872-'School Pri'!B18</f>
        <v>62238</v>
      </c>
      <c r="C18" s="64">
        <v>3.46</v>
      </c>
      <c r="D18" s="8">
        <f>+B18*C18</f>
        <v>215343.48</v>
      </c>
      <c r="E18" s="25">
        <f>B18</f>
        <v>62238</v>
      </c>
      <c r="F18" s="66">
        <v>3.46</v>
      </c>
      <c r="G18" s="8">
        <f>+E18*F18</f>
        <v>215343.48</v>
      </c>
    </row>
    <row r="19" spans="1:7" x14ac:dyDescent="0.25">
      <c r="B19" s="56"/>
      <c r="C19" s="64"/>
      <c r="D19" s="8"/>
      <c r="E19" s="25"/>
      <c r="F19" s="66"/>
      <c r="G19" s="8"/>
    </row>
    <row r="20" spans="1:7" x14ac:dyDescent="0.25">
      <c r="A20" t="s">
        <v>12</v>
      </c>
      <c r="B20" s="59">
        <f>936-'School Pri'!B20</f>
        <v>924</v>
      </c>
      <c r="C20" s="64">
        <v>127.5</v>
      </c>
      <c r="D20" s="8">
        <f>+B20*C20</f>
        <v>117810</v>
      </c>
      <c r="E20" s="25">
        <f>B20</f>
        <v>924</v>
      </c>
      <c r="F20" s="66">
        <v>127.5</v>
      </c>
      <c r="G20" s="8">
        <f>+E20*F20</f>
        <v>117810</v>
      </c>
    </row>
    <row r="21" spans="1:7" x14ac:dyDescent="0.25">
      <c r="B21" s="56"/>
      <c r="C21" s="46"/>
      <c r="D21" s="8"/>
      <c r="E21" s="25"/>
      <c r="F21" s="56"/>
      <c r="G21" s="8"/>
    </row>
    <row r="22" spans="1:7" x14ac:dyDescent="0.25">
      <c r="A22" t="s">
        <v>13</v>
      </c>
      <c r="B22" s="59">
        <f>936-'School Pri'!B22</f>
        <v>924</v>
      </c>
      <c r="C22" s="46"/>
      <c r="D22" s="8"/>
      <c r="E22" s="25">
        <f>B22</f>
        <v>924</v>
      </c>
      <c r="F22" s="56"/>
      <c r="G22" s="8"/>
    </row>
    <row r="23" spans="1:7" x14ac:dyDescent="0.25">
      <c r="C23" s="46"/>
      <c r="D23" s="8"/>
      <c r="F23" s="56"/>
      <c r="G23" s="8"/>
    </row>
    <row r="24" spans="1:7" x14ac:dyDescent="0.25">
      <c r="A24" t="str">
        <f>+RS!A$26</f>
        <v xml:space="preserve">Fuel </v>
      </c>
      <c r="C24" s="63">
        <f>+RS!C26</f>
        <v>2.0411219651722302E-3</v>
      </c>
      <c r="D24" s="8">
        <f>+B14*C24</f>
        <v>224716.06746562812</v>
      </c>
      <c r="F24" s="60">
        <f>+RS!F26</f>
        <v>2.0411219651722302E-3</v>
      </c>
      <c r="G24" s="8">
        <f>+E14*F24</f>
        <v>224716.06746562812</v>
      </c>
    </row>
    <row r="25" spans="1:7" x14ac:dyDescent="0.25">
      <c r="D25" s="8"/>
      <c r="F25" s="61"/>
      <c r="G25" s="8"/>
    </row>
    <row r="26" spans="1:7" x14ac:dyDescent="0.25">
      <c r="A26" t="str">
        <f>+RS!A$28</f>
        <v>Asset Transfer Rider</v>
      </c>
      <c r="D26" s="45">
        <f>+ATR!D30-'School Pri'!D26</f>
        <v>879899.72916586231</v>
      </c>
      <c r="F26" s="61"/>
      <c r="G26" s="45"/>
    </row>
    <row r="27" spans="1:7" x14ac:dyDescent="0.25">
      <c r="D27" s="45"/>
      <c r="F27" s="61"/>
      <c r="G27" s="45"/>
    </row>
    <row r="28" spans="1:7" x14ac:dyDescent="0.25">
      <c r="A28" t="str">
        <f>RS!A30</f>
        <v>Economic Development Rider</v>
      </c>
      <c r="D28" s="45"/>
      <c r="E28" s="25">
        <f>E20</f>
        <v>924</v>
      </c>
      <c r="F28" s="66">
        <f>RS!F30</f>
        <v>0.15</v>
      </c>
      <c r="G28" s="45">
        <f>E28*F28</f>
        <v>138.6</v>
      </c>
    </row>
    <row r="29" spans="1:7" x14ac:dyDescent="0.25">
      <c r="D29" s="45"/>
      <c r="E29" s="25"/>
      <c r="F29" s="66"/>
      <c r="G29" s="45"/>
    </row>
    <row r="30" spans="1:7" x14ac:dyDescent="0.25">
      <c r="A30" t="str">
        <f>+'LGS-SEC'!A30</f>
        <v>Big Sandy 1 Operations Rider - Energy</v>
      </c>
      <c r="D30" s="45"/>
      <c r="E30" s="25"/>
      <c r="F30" s="65">
        <f>+'LGS-SEC'!F30</f>
        <v>1.39E-3</v>
      </c>
      <c r="G30" s="45">
        <f>+F30*E14</f>
        <v>153031.19514999999</v>
      </c>
    </row>
    <row r="31" spans="1:7" x14ac:dyDescent="0.25">
      <c r="D31" s="45"/>
      <c r="E31" s="25"/>
      <c r="F31" s="66"/>
      <c r="G31" s="45"/>
    </row>
    <row r="32" spans="1:7" x14ac:dyDescent="0.25">
      <c r="A32" t="str">
        <f>+'LGS-SEC'!A32</f>
        <v>Big Sandy 1 Operations Rider - Demand</v>
      </c>
      <c r="D32" s="45"/>
      <c r="E32" s="25"/>
      <c r="F32" s="66">
        <f>+'LGS-SEC'!F32</f>
        <v>0.45</v>
      </c>
      <c r="G32" s="45">
        <f>+F32*E16</f>
        <v>171070.65</v>
      </c>
    </row>
    <row r="33" spans="1:7" x14ac:dyDescent="0.25">
      <c r="D33" s="45"/>
      <c r="E33" s="25"/>
      <c r="F33" s="64"/>
      <c r="G33" s="45"/>
    </row>
    <row r="34" spans="1:7" x14ac:dyDescent="0.25">
      <c r="A34" t="str">
        <f>RS!A34</f>
        <v>Big Sandy Retirement Rider</v>
      </c>
      <c r="D34" s="45"/>
      <c r="E34" s="74">
        <f>SUM(G11:G33)-G24-G42</f>
        <v>6876315.4695499986</v>
      </c>
      <c r="F34" s="78">
        <f>SGS!$F$30</f>
        <v>4.9917999999999997E-2</v>
      </c>
      <c r="G34" s="45">
        <f>E34*F34</f>
        <v>343251.91560899682</v>
      </c>
    </row>
    <row r="35" spans="1:7" x14ac:dyDescent="0.25">
      <c r="D35" s="45"/>
      <c r="E35" s="25"/>
      <c r="F35" s="57"/>
      <c r="G35" s="45"/>
    </row>
    <row r="36" spans="1:7" x14ac:dyDescent="0.25">
      <c r="A36" t="str">
        <f>RS!A36</f>
        <v>Environmental Surcharge</v>
      </c>
      <c r="D36" s="45"/>
      <c r="E36" s="74">
        <f>E34</f>
        <v>6876315.4695499986</v>
      </c>
      <c r="F36" s="78">
        <f>SGS!$F$32</f>
        <v>9.8901000000000003E-2</v>
      </c>
      <c r="G36" s="45">
        <f>E36*F36</f>
        <v>680074.47625396447</v>
      </c>
    </row>
    <row r="37" spans="1:7" x14ac:dyDescent="0.25">
      <c r="D37" s="8"/>
      <c r="G37" s="8"/>
    </row>
    <row r="38" spans="1:7" x14ac:dyDescent="0.25">
      <c r="A38" t="s">
        <v>14</v>
      </c>
      <c r="D38" s="8">
        <f>SUM(D12:D36)</f>
        <v>10088650.994031489</v>
      </c>
      <c r="G38" s="8">
        <f>SUM(G12:G36)</f>
        <v>11251038.462878587</v>
      </c>
    </row>
    <row r="39" spans="1:7" x14ac:dyDescent="0.25">
      <c r="G39" s="25"/>
    </row>
    <row r="42" spans="1:7" x14ac:dyDescent="0.25">
      <c r="A42" s="46" t="s">
        <v>193</v>
      </c>
      <c r="F42" s="60">
        <f>SGS!$F$38</f>
        <v>2.8400000000000002E-2</v>
      </c>
      <c r="G42" s="8">
        <f>+E14*F42</f>
        <v>3126680.534</v>
      </c>
    </row>
  </sheetData>
  <phoneticPr fontId="0" type="noConversion"/>
  <pageMargins left="0.75" right="0.75" top="1" bottom="1" header="0.5" footer="0.5"/>
  <pageSetup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38"/>
  <sheetViews>
    <sheetView workbookViewId="0">
      <selection activeCell="D36" sqref="D36"/>
    </sheetView>
  </sheetViews>
  <sheetFormatPr defaultRowHeight="13.2" x14ac:dyDescent="0.25"/>
  <cols>
    <col min="1" max="1" width="23" customWidth="1"/>
    <col min="2" max="2" width="14.88671875" customWidth="1"/>
    <col min="3" max="3" width="13.33203125" bestFit="1" customWidth="1"/>
    <col min="4" max="4" width="16.88671875" customWidth="1"/>
    <col min="5" max="5" width="16.33203125" style="21" customWidth="1"/>
    <col min="6" max="6" width="13.109375" style="21" customWidth="1"/>
    <col min="7" max="7" width="16" style="21" customWidth="1"/>
  </cols>
  <sheetData>
    <row r="1" spans="1:7" x14ac:dyDescent="0.25">
      <c r="A1" t="s">
        <v>19</v>
      </c>
    </row>
    <row r="2" spans="1:7" x14ac:dyDescent="0.25">
      <c r="A2" t="s">
        <v>215</v>
      </c>
    </row>
    <row r="3" spans="1:7" x14ac:dyDescent="0.25">
      <c r="A3" t="s">
        <v>179</v>
      </c>
    </row>
    <row r="5" spans="1:7" x14ac:dyDescent="0.25">
      <c r="A5" t="s">
        <v>20</v>
      </c>
    </row>
    <row r="8" spans="1:7" x14ac:dyDescent="0.25">
      <c r="B8" s="1" t="s">
        <v>1</v>
      </c>
      <c r="E8" s="22" t="s">
        <v>2</v>
      </c>
    </row>
    <row r="9" spans="1:7" x14ac:dyDescent="0.25">
      <c r="B9" s="1" t="s">
        <v>3</v>
      </c>
      <c r="C9" s="2" t="s">
        <v>4</v>
      </c>
      <c r="D9" s="1" t="s">
        <v>4</v>
      </c>
      <c r="E9" s="22" t="s">
        <v>3</v>
      </c>
      <c r="F9" s="23" t="s">
        <v>2</v>
      </c>
      <c r="G9" s="23" t="s">
        <v>2</v>
      </c>
    </row>
    <row r="10" spans="1:7" x14ac:dyDescent="0.25">
      <c r="B10" s="3" t="s">
        <v>5</v>
      </c>
      <c r="C10" s="3" t="s">
        <v>6</v>
      </c>
      <c r="D10" s="3" t="s">
        <v>7</v>
      </c>
      <c r="E10" s="24" t="s">
        <v>5</v>
      </c>
      <c r="F10" s="24" t="s">
        <v>6</v>
      </c>
      <c r="G10" s="24" t="s">
        <v>7</v>
      </c>
    </row>
    <row r="12" spans="1:7" x14ac:dyDescent="0.25">
      <c r="A12" s="4" t="s">
        <v>8</v>
      </c>
    </row>
    <row r="13" spans="1:7" x14ac:dyDescent="0.25">
      <c r="A13" t="s">
        <v>111</v>
      </c>
      <c r="B13" s="59">
        <v>2255616379</v>
      </c>
      <c r="C13" s="49">
        <v>8.5900000000000004E-2</v>
      </c>
      <c r="D13" s="50">
        <f>+B13*C13</f>
        <v>193757446.95610002</v>
      </c>
      <c r="E13" s="25">
        <f>+B13</f>
        <v>2255616379</v>
      </c>
      <c r="F13" s="54">
        <v>8.6889999999999995E-2</v>
      </c>
      <c r="G13" s="50">
        <f>+E13*F13</f>
        <v>195990507.17130998</v>
      </c>
    </row>
    <row r="14" spans="1:7" x14ac:dyDescent="0.25">
      <c r="B14" s="56"/>
      <c r="C14" s="51"/>
      <c r="D14" s="50"/>
      <c r="E14" s="25"/>
      <c r="F14" s="55"/>
      <c r="G14" s="50"/>
    </row>
    <row r="15" spans="1:7" x14ac:dyDescent="0.25">
      <c r="A15" t="s">
        <v>15</v>
      </c>
      <c r="B15" s="59">
        <v>261119</v>
      </c>
      <c r="C15" s="49">
        <v>4.9399999999999999E-2</v>
      </c>
      <c r="D15" s="50">
        <f>+B15*C15</f>
        <v>12899.2786</v>
      </c>
      <c r="E15" s="25">
        <f>+B15</f>
        <v>261119</v>
      </c>
      <c r="F15" s="54">
        <v>5.2040000000000003E-2</v>
      </c>
      <c r="G15" s="50">
        <f>+E15*F15</f>
        <v>13588.63276</v>
      </c>
    </row>
    <row r="16" spans="1:7" x14ac:dyDescent="0.25">
      <c r="B16" s="56"/>
      <c r="C16" s="46"/>
      <c r="D16" s="50"/>
      <c r="E16" s="25"/>
      <c r="F16" s="56"/>
      <c r="G16" s="50"/>
    </row>
    <row r="17" spans="1:7" x14ac:dyDescent="0.25">
      <c r="A17" t="s">
        <v>11</v>
      </c>
      <c r="B17" s="59">
        <v>2255877500</v>
      </c>
      <c r="C17" s="46"/>
      <c r="D17" s="50"/>
      <c r="E17" s="25">
        <f>+B17</f>
        <v>2255877500</v>
      </c>
      <c r="F17" s="56"/>
      <c r="G17" s="50"/>
    </row>
    <row r="18" spans="1:7" x14ac:dyDescent="0.25">
      <c r="B18" s="56"/>
      <c r="C18" s="46"/>
      <c r="D18" s="50"/>
      <c r="E18" s="25"/>
      <c r="F18" s="56"/>
      <c r="G18" s="50"/>
    </row>
    <row r="19" spans="1:7" x14ac:dyDescent="0.25">
      <c r="A19" t="s">
        <v>12</v>
      </c>
      <c r="B19" s="59">
        <v>1658209</v>
      </c>
      <c r="C19" s="52">
        <v>8</v>
      </c>
      <c r="D19" s="50">
        <f>+B19*C19+1</f>
        <v>13265673</v>
      </c>
      <c r="E19" s="25">
        <f>+B19</f>
        <v>1658209</v>
      </c>
      <c r="F19" s="57">
        <v>14</v>
      </c>
      <c r="G19" s="50">
        <f>+E19*F19</f>
        <v>23214926</v>
      </c>
    </row>
    <row r="20" spans="1:7" x14ac:dyDescent="0.25">
      <c r="A20" t="s">
        <v>187</v>
      </c>
      <c r="B20" s="25">
        <f>+B19</f>
        <v>1658209</v>
      </c>
      <c r="C20" s="52">
        <v>0.15</v>
      </c>
      <c r="D20" s="50">
        <f>+B20*C20</f>
        <v>248731.34999999998</v>
      </c>
      <c r="E20" s="25">
        <f>B20</f>
        <v>1658209</v>
      </c>
      <c r="F20" s="57">
        <f>C20</f>
        <v>0.15</v>
      </c>
      <c r="G20" s="50">
        <f>+E20*F20</f>
        <v>248731.34999999998</v>
      </c>
    </row>
    <row r="21" spans="1:7" x14ac:dyDescent="0.25">
      <c r="B21" s="56"/>
      <c r="C21" s="46"/>
      <c r="D21" s="50"/>
      <c r="E21" s="25"/>
      <c r="F21" s="56"/>
      <c r="G21" s="50"/>
    </row>
    <row r="22" spans="1:7" x14ac:dyDescent="0.25">
      <c r="A22" t="s">
        <v>13</v>
      </c>
      <c r="B22" s="59">
        <v>1657500</v>
      </c>
      <c r="C22" s="46"/>
      <c r="D22" s="50"/>
      <c r="E22" s="25">
        <f>+B22</f>
        <v>1657500</v>
      </c>
      <c r="F22" s="56"/>
      <c r="G22" s="50"/>
    </row>
    <row r="23" spans="1:7" x14ac:dyDescent="0.25">
      <c r="B23" s="46"/>
      <c r="C23" s="46"/>
      <c r="D23" s="50"/>
      <c r="F23" s="56"/>
      <c r="G23" s="50"/>
    </row>
    <row r="24" spans="1:7" x14ac:dyDescent="0.25">
      <c r="A24" t="s">
        <v>16</v>
      </c>
      <c r="B24" s="46"/>
      <c r="C24" s="46"/>
      <c r="D24" s="50">
        <v>-49177.31</v>
      </c>
      <c r="F24" s="56"/>
      <c r="G24" s="50">
        <f>-1288*4-(6791)*8</f>
        <v>-59480</v>
      </c>
    </row>
    <row r="25" spans="1:7" x14ac:dyDescent="0.25">
      <c r="B25" s="46"/>
      <c r="C25" s="46"/>
      <c r="D25" s="50"/>
      <c r="F25" s="56"/>
      <c r="G25" s="50"/>
    </row>
    <row r="26" spans="1:7" x14ac:dyDescent="0.25">
      <c r="A26" t="s">
        <v>17</v>
      </c>
      <c r="B26" s="46"/>
      <c r="C26" s="53">
        <v>2.0411219651722302E-3</v>
      </c>
      <c r="D26" s="50">
        <f>+B17*C26</f>
        <v>4604521.1159878178</v>
      </c>
      <c r="F26" s="58">
        <f>C26</f>
        <v>2.0411219651722302E-3</v>
      </c>
      <c r="G26" s="50">
        <f>+E17*F26</f>
        <v>4604521.1159878178</v>
      </c>
    </row>
    <row r="27" spans="1:7" x14ac:dyDescent="0.25">
      <c r="B27" s="46"/>
      <c r="C27" s="46"/>
      <c r="D27" s="50"/>
      <c r="G27" s="50"/>
    </row>
    <row r="28" spans="1:7" x14ac:dyDescent="0.25">
      <c r="A28" t="s">
        <v>180</v>
      </c>
      <c r="B28" s="46"/>
      <c r="C28" s="46"/>
      <c r="D28" s="50">
        <f>+ATR!D7</f>
        <v>17905723.310000002</v>
      </c>
      <c r="G28" s="50"/>
    </row>
    <row r="29" spans="1:7" x14ac:dyDescent="0.25">
      <c r="D29" s="45"/>
      <c r="G29" s="45"/>
    </row>
    <row r="30" spans="1:7" x14ac:dyDescent="0.25">
      <c r="A30" s="46" t="s">
        <v>186</v>
      </c>
      <c r="D30" s="45"/>
      <c r="E30" s="25">
        <f>+E19</f>
        <v>1658209</v>
      </c>
      <c r="F30" s="57">
        <v>0.15</v>
      </c>
      <c r="G30" s="45">
        <f>+F30*E30</f>
        <v>248731.34999999998</v>
      </c>
    </row>
    <row r="31" spans="1:7" x14ac:dyDescent="0.25">
      <c r="A31" s="46"/>
      <c r="D31" s="45"/>
      <c r="E31" s="25"/>
      <c r="F31" s="57"/>
      <c r="G31" s="45"/>
    </row>
    <row r="32" spans="1:7" x14ac:dyDescent="0.25">
      <c r="A32" s="46" t="s">
        <v>189</v>
      </c>
      <c r="D32" s="45"/>
      <c r="E32" s="25">
        <f>+E17</f>
        <v>2255877500</v>
      </c>
      <c r="F32" s="54">
        <v>3.3E-3</v>
      </c>
      <c r="G32" s="45">
        <f>+E32*F32</f>
        <v>7444395.75</v>
      </c>
    </row>
    <row r="33" spans="1:7" x14ac:dyDescent="0.25">
      <c r="A33" s="46"/>
      <c r="D33" s="45"/>
      <c r="E33" s="25"/>
      <c r="F33" s="57"/>
      <c r="G33" s="45"/>
    </row>
    <row r="34" spans="1:7" x14ac:dyDescent="0.25">
      <c r="A34" s="46" t="s">
        <v>188</v>
      </c>
      <c r="D34" s="45"/>
      <c r="E34" s="8">
        <f>SUM(G13:G32)</f>
        <v>231705921.37005776</v>
      </c>
      <c r="F34" s="78">
        <v>3.0071000000000001E-2</v>
      </c>
      <c r="G34" s="45">
        <f>+E34*F34</f>
        <v>6967628.7615190074</v>
      </c>
    </row>
    <row r="35" spans="1:7" x14ac:dyDescent="0.25">
      <c r="A35" s="46"/>
      <c r="D35" s="45"/>
      <c r="E35" s="25"/>
      <c r="F35" s="57"/>
      <c r="G35" s="45"/>
    </row>
    <row r="36" spans="1:7" x14ac:dyDescent="0.25">
      <c r="A36" t="s">
        <v>18</v>
      </c>
      <c r="B36" s="46"/>
      <c r="C36" s="46"/>
      <c r="D36" s="50"/>
      <c r="E36" s="8">
        <f>E34</f>
        <v>231705921.37005776</v>
      </c>
      <c r="F36" s="78">
        <v>5.9580000000000001E-2</v>
      </c>
      <c r="G36" s="45">
        <f>+E36*F36</f>
        <v>13805038.795228042</v>
      </c>
    </row>
    <row r="37" spans="1:7" x14ac:dyDescent="0.25">
      <c r="D37" s="8"/>
      <c r="G37" s="8"/>
    </row>
    <row r="38" spans="1:7" x14ac:dyDescent="0.25">
      <c r="A38" t="s">
        <v>14</v>
      </c>
      <c r="D38" s="8">
        <f>SUM(D13:D37)</f>
        <v>229745817.70068783</v>
      </c>
      <c r="G38" s="8">
        <f>SUM(G13:G37)</f>
        <v>252478588.92680481</v>
      </c>
    </row>
  </sheetData>
  <phoneticPr fontId="0" type="noConversion"/>
  <pageMargins left="0.75" right="0.75" top="1" bottom="1" header="0.5" footer="0.5"/>
  <pageSetup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2"/>
  <sheetViews>
    <sheetView workbookViewId="0">
      <selection activeCell="D28" sqref="D28:D36"/>
    </sheetView>
  </sheetViews>
  <sheetFormatPr defaultRowHeight="13.2" x14ac:dyDescent="0.25"/>
  <cols>
    <col min="1" max="1" width="21.44140625" customWidth="1"/>
    <col min="2" max="2" width="13.33203125" customWidth="1"/>
    <col min="3" max="3" width="12.33203125" customWidth="1"/>
    <col min="4" max="4" width="14.6640625" customWidth="1"/>
    <col min="5" max="5" width="16.33203125" style="21" customWidth="1"/>
    <col min="6" max="6" width="13.5546875" style="21" customWidth="1"/>
    <col min="7" max="7" width="14.8867187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64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9" t="s">
        <v>8</v>
      </c>
      <c r="B12" s="59">
        <v>33745670</v>
      </c>
      <c r="C12" s="67">
        <v>4.9419999999999999E-2</v>
      </c>
      <c r="D12" s="8">
        <f>+B12*C12</f>
        <v>1667711.0114</v>
      </c>
      <c r="E12" s="25">
        <f>B12</f>
        <v>33745670</v>
      </c>
      <c r="F12" s="65">
        <v>4.9059999999999999E-2</v>
      </c>
      <c r="G12" s="8">
        <f>+E12*F12</f>
        <v>1655562.5702</v>
      </c>
    </row>
    <row r="13" spans="1:7" x14ac:dyDescent="0.25">
      <c r="A13" t="s">
        <v>118</v>
      </c>
      <c r="B13" s="59">
        <v>-20476</v>
      </c>
      <c r="C13" s="46"/>
      <c r="D13" s="8"/>
      <c r="E13" s="25">
        <f>B13</f>
        <v>-20476</v>
      </c>
      <c r="F13" s="56"/>
      <c r="G13" s="8"/>
    </row>
    <row r="14" spans="1:7" x14ac:dyDescent="0.25">
      <c r="A14" t="s">
        <v>11</v>
      </c>
      <c r="B14" s="5">
        <f>SUM(B12:B13)</f>
        <v>33725194</v>
      </c>
      <c r="C14" s="46"/>
      <c r="D14" s="8"/>
      <c r="E14" s="25">
        <f>B14</f>
        <v>33725194</v>
      </c>
      <c r="F14" s="56"/>
      <c r="G14" s="8"/>
    </row>
    <row r="15" spans="1:7" x14ac:dyDescent="0.25">
      <c r="C15" s="46"/>
      <c r="D15" s="8"/>
      <c r="E15" s="25"/>
      <c r="F15" s="56"/>
      <c r="G15" s="8"/>
    </row>
    <row r="16" spans="1:7" x14ac:dyDescent="0.25">
      <c r="A16" t="s">
        <v>56</v>
      </c>
      <c r="B16" s="59">
        <v>110848</v>
      </c>
      <c r="C16" s="64">
        <v>3.8</v>
      </c>
      <c r="D16" s="8">
        <f>+B16*C16</f>
        <v>421222.39999999997</v>
      </c>
      <c r="E16" s="25">
        <f>B16</f>
        <v>110848</v>
      </c>
      <c r="F16" s="66">
        <v>4.4800000000000004</v>
      </c>
      <c r="G16" s="8">
        <f>+E16*F16</f>
        <v>496599.04000000004</v>
      </c>
    </row>
    <row r="17" spans="1:7" x14ac:dyDescent="0.25">
      <c r="B17" s="56"/>
      <c r="C17" s="64"/>
      <c r="D17" s="8"/>
      <c r="E17" s="25"/>
      <c r="F17" s="66"/>
      <c r="G17" s="8"/>
    </row>
    <row r="18" spans="1:7" x14ac:dyDescent="0.25">
      <c r="A18" t="s">
        <v>117</v>
      </c>
      <c r="B18" s="59">
        <v>6203</v>
      </c>
      <c r="C18" s="64">
        <v>3.46</v>
      </c>
      <c r="D18" s="8">
        <f>+B18*C18</f>
        <v>21462.38</v>
      </c>
      <c r="E18" s="25">
        <f>B18</f>
        <v>6203</v>
      </c>
      <c r="F18" s="66">
        <v>3.46</v>
      </c>
      <c r="G18" s="8">
        <f>+E18*F18</f>
        <v>21462.38</v>
      </c>
    </row>
    <row r="19" spans="1:7" ht="13.5" customHeight="1" x14ac:dyDescent="0.25">
      <c r="B19" s="56"/>
      <c r="C19" s="64"/>
      <c r="D19" s="8"/>
      <c r="E19" s="25"/>
      <c r="F19" s="66"/>
      <c r="G19" s="8"/>
    </row>
    <row r="20" spans="1:7" x14ac:dyDescent="0.25">
      <c r="A20" t="s">
        <v>12</v>
      </c>
      <c r="B20" s="59">
        <v>240</v>
      </c>
      <c r="C20" s="64">
        <v>535.5</v>
      </c>
      <c r="D20" s="8">
        <f>+B20*C20</f>
        <v>128520</v>
      </c>
      <c r="E20" s="25">
        <f>B20</f>
        <v>240</v>
      </c>
      <c r="F20" s="66">
        <v>628.5</v>
      </c>
      <c r="G20" s="8">
        <f>+E20*F20</f>
        <v>150840</v>
      </c>
    </row>
    <row r="21" spans="1:7" x14ac:dyDescent="0.25">
      <c r="B21" s="56"/>
      <c r="C21" s="46"/>
      <c r="D21" s="8"/>
      <c r="E21" s="25"/>
      <c r="F21" s="56"/>
      <c r="G21" s="8"/>
    </row>
    <row r="22" spans="1:7" x14ac:dyDescent="0.25">
      <c r="A22" t="s">
        <v>13</v>
      </c>
      <c r="B22" s="59">
        <v>240</v>
      </c>
      <c r="C22" s="46"/>
      <c r="D22" s="8"/>
      <c r="E22" s="25">
        <f>B22</f>
        <v>240</v>
      </c>
      <c r="F22" s="56"/>
      <c r="G22" s="8"/>
    </row>
    <row r="23" spans="1:7" x14ac:dyDescent="0.25">
      <c r="B23" s="17"/>
      <c r="C23" s="46"/>
      <c r="D23" s="8"/>
      <c r="E23" s="25"/>
      <c r="F23" s="56"/>
      <c r="G23" s="8"/>
    </row>
    <row r="24" spans="1:7" x14ac:dyDescent="0.25">
      <c r="A24" t="str">
        <f>+RS!A$26</f>
        <v xml:space="preserve">Fuel </v>
      </c>
      <c r="C24" s="63">
        <f>+RS!C26</f>
        <v>2.0411219651722302E-3</v>
      </c>
      <c r="D24" s="8">
        <f>+B14*C24</f>
        <v>68837.234253094706</v>
      </c>
      <c r="F24" s="60">
        <f>+RS!F26</f>
        <v>2.0411219651722302E-3</v>
      </c>
      <c r="G24" s="8">
        <f>+E14*F24</f>
        <v>68837.234253094706</v>
      </c>
    </row>
    <row r="25" spans="1:7" x14ac:dyDescent="0.25">
      <c r="D25" s="8"/>
      <c r="F25" s="61"/>
      <c r="G25" s="8"/>
    </row>
    <row r="26" spans="1:7" x14ac:dyDescent="0.25">
      <c r="A26" t="str">
        <f>+RS!A$28</f>
        <v>Asset Transfer Rider</v>
      </c>
      <c r="D26" s="45">
        <f>+ATR!D31</f>
        <v>182379.04</v>
      </c>
      <c r="F26" s="61"/>
      <c r="G26" s="45"/>
    </row>
    <row r="27" spans="1:7" x14ac:dyDescent="0.25">
      <c r="D27" s="45"/>
      <c r="F27" s="61"/>
      <c r="G27" s="45"/>
    </row>
    <row r="28" spans="1:7" x14ac:dyDescent="0.25">
      <c r="A28" t="str">
        <f>RS!A30</f>
        <v>Economic Development Rider</v>
      </c>
      <c r="D28" s="45"/>
      <c r="E28" s="25">
        <f>E20</f>
        <v>240</v>
      </c>
      <c r="F28" s="66">
        <f>RS!F30</f>
        <v>0.15</v>
      </c>
      <c r="G28" s="45">
        <f>E28*F28</f>
        <v>36</v>
      </c>
    </row>
    <row r="29" spans="1:7" x14ac:dyDescent="0.25">
      <c r="D29" s="45"/>
      <c r="E29" s="25"/>
      <c r="F29" s="66"/>
      <c r="G29" s="45"/>
    </row>
    <row r="30" spans="1:7" x14ac:dyDescent="0.25">
      <c r="A30" t="str">
        <f>+'LGS-SEC'!A30</f>
        <v>Big Sandy 1 Operations Rider - Energy</v>
      </c>
      <c r="D30" s="45"/>
      <c r="E30" s="25"/>
      <c r="F30" s="65">
        <f>+'LGS-SEC'!F30</f>
        <v>1.39E-3</v>
      </c>
      <c r="G30" s="45">
        <f>+F30*E14</f>
        <v>46878.019659999998</v>
      </c>
    </row>
    <row r="31" spans="1:7" x14ac:dyDescent="0.25">
      <c r="D31" s="45"/>
      <c r="E31" s="25"/>
      <c r="F31" s="66"/>
      <c r="G31" s="45"/>
    </row>
    <row r="32" spans="1:7" x14ac:dyDescent="0.25">
      <c r="A32" t="str">
        <f>+'LGS-SEC'!A32</f>
        <v>Big Sandy 1 Operations Rider - Demand</v>
      </c>
      <c r="D32" s="45"/>
      <c r="E32" s="25"/>
      <c r="F32" s="66">
        <f>+'LGS-SEC'!F32</f>
        <v>0.45</v>
      </c>
      <c r="G32" s="45">
        <f>+F32*E16</f>
        <v>49881.599999999999</v>
      </c>
    </row>
    <row r="33" spans="1:7" x14ac:dyDescent="0.25">
      <c r="D33" s="45"/>
      <c r="E33" s="25"/>
      <c r="F33" s="66"/>
      <c r="G33" s="45"/>
    </row>
    <row r="34" spans="1:7" x14ac:dyDescent="0.25">
      <c r="A34" t="str">
        <f>+'LGS-SEC'!A34</f>
        <v>Big Sandy Retirement Rider</v>
      </c>
      <c r="D34" s="45"/>
      <c r="E34" s="74">
        <f>SUM(G11:G33)-G24-G42</f>
        <v>1463464.1002600002</v>
      </c>
      <c r="F34" s="78">
        <f>SGS!$F$30</f>
        <v>4.9917999999999997E-2</v>
      </c>
      <c r="G34" s="45">
        <f>+F34*E34</f>
        <v>73053.200956778688</v>
      </c>
    </row>
    <row r="35" spans="1:7" x14ac:dyDescent="0.25">
      <c r="D35" s="45"/>
      <c r="E35" s="25"/>
      <c r="F35" s="57"/>
      <c r="G35" s="45"/>
    </row>
    <row r="36" spans="1:7" x14ac:dyDescent="0.25">
      <c r="A36" t="str">
        <f>+'LGS-SEC'!A36</f>
        <v>Environmental Surcharge</v>
      </c>
      <c r="D36" s="45"/>
      <c r="E36" s="74">
        <f>E34</f>
        <v>1463464.1002600002</v>
      </c>
      <c r="F36" s="78">
        <f>SGS!$F$32</f>
        <v>9.8901000000000003E-2</v>
      </c>
      <c r="G36" s="45">
        <f>+F36*E36</f>
        <v>144738.06297981428</v>
      </c>
    </row>
    <row r="37" spans="1:7" x14ac:dyDescent="0.25">
      <c r="D37" s="8"/>
      <c r="G37" s="8"/>
    </row>
    <row r="38" spans="1:7" x14ac:dyDescent="0.25">
      <c r="A38" t="s">
        <v>14</v>
      </c>
      <c r="D38" s="8">
        <f>SUM(D12:D36)</f>
        <v>2490132.0656530946</v>
      </c>
      <c r="G38" s="8">
        <f>SUM(G12:G36)</f>
        <v>2707888.1080496875</v>
      </c>
    </row>
    <row r="39" spans="1:7" x14ac:dyDescent="0.25">
      <c r="G39" s="25"/>
    </row>
    <row r="40" spans="1:7" x14ac:dyDescent="0.25">
      <c r="G40" s="25"/>
    </row>
    <row r="41" spans="1:7" x14ac:dyDescent="0.25">
      <c r="G41" s="25"/>
    </row>
    <row r="42" spans="1:7" x14ac:dyDescent="0.25">
      <c r="A42" s="46" t="s">
        <v>193</v>
      </c>
      <c r="F42" s="60">
        <f>SGS!$F$38</f>
        <v>2.8400000000000002E-2</v>
      </c>
      <c r="G42" s="8">
        <f>+E14*F42</f>
        <v>957795.50960000011</v>
      </c>
    </row>
  </sheetData>
  <phoneticPr fontId="0" type="noConversion"/>
  <pageMargins left="0.75" right="0.75" top="1" bottom="1" header="0.5" footer="0.5"/>
  <pageSetup scale="8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2"/>
  <sheetViews>
    <sheetView workbookViewId="0">
      <selection activeCell="D28" sqref="D28:D36"/>
    </sheetView>
  </sheetViews>
  <sheetFormatPr defaultRowHeight="13.2" x14ac:dyDescent="0.25"/>
  <cols>
    <col min="1" max="1" width="21.44140625" customWidth="1"/>
    <col min="2" max="2" width="13.33203125" customWidth="1"/>
    <col min="3" max="3" width="12.33203125" customWidth="1"/>
    <col min="4" max="4" width="14.6640625" customWidth="1"/>
    <col min="5" max="5" width="16.33203125" style="21" customWidth="1"/>
    <col min="6" max="6" width="13.5546875" style="21" customWidth="1"/>
    <col min="7" max="7" width="14.8867187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131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9" t="s">
        <v>8</v>
      </c>
      <c r="B12" s="59">
        <v>671609</v>
      </c>
      <c r="C12" s="67">
        <v>4.6440000000000002E-2</v>
      </c>
      <c r="D12" s="8">
        <f>+B12*C12</f>
        <v>31189.521960000002</v>
      </c>
      <c r="E12" s="25">
        <f>B12</f>
        <v>671609</v>
      </c>
      <c r="F12" s="65">
        <v>4.8140000000000002E-2</v>
      </c>
      <c r="G12" s="8">
        <f>+E12*F12</f>
        <v>32331.257260000002</v>
      </c>
    </row>
    <row r="13" spans="1:7" x14ac:dyDescent="0.25">
      <c r="A13" t="s">
        <v>118</v>
      </c>
      <c r="B13" s="59">
        <v>817</v>
      </c>
      <c r="C13" s="46"/>
      <c r="D13" s="8"/>
      <c r="E13" s="25">
        <f>B13</f>
        <v>817</v>
      </c>
      <c r="F13" s="56"/>
      <c r="G13" s="8"/>
    </row>
    <row r="14" spans="1:7" x14ac:dyDescent="0.25">
      <c r="A14" t="s">
        <v>11</v>
      </c>
      <c r="B14" s="5">
        <f>SUM(B12:B13)</f>
        <v>672426</v>
      </c>
      <c r="C14" s="46"/>
      <c r="D14" s="8"/>
      <c r="E14" s="25">
        <f>B14</f>
        <v>672426</v>
      </c>
      <c r="F14" s="56"/>
      <c r="G14" s="8"/>
    </row>
    <row r="15" spans="1:7" x14ac:dyDescent="0.25">
      <c r="C15" s="46"/>
      <c r="D15" s="8"/>
      <c r="E15" s="25"/>
      <c r="F15" s="56"/>
      <c r="G15" s="8"/>
    </row>
    <row r="16" spans="1:7" x14ac:dyDescent="0.25">
      <c r="A16" t="s">
        <v>56</v>
      </c>
      <c r="B16" s="59">
        <v>5277</v>
      </c>
      <c r="C16" s="64">
        <v>3.76</v>
      </c>
      <c r="D16" s="8">
        <f>+B16*C16</f>
        <v>19841.52</v>
      </c>
      <c r="E16" s="25">
        <f>B16</f>
        <v>5277</v>
      </c>
      <c r="F16" s="66">
        <v>4.41</v>
      </c>
      <c r="G16" s="8">
        <f>+E16*F16</f>
        <v>23271.57</v>
      </c>
    </row>
    <row r="17" spans="1:7" x14ac:dyDescent="0.25">
      <c r="B17" s="56"/>
      <c r="C17" s="64"/>
      <c r="D17" s="8"/>
      <c r="E17" s="25"/>
      <c r="F17" s="66"/>
      <c r="G17" s="8"/>
    </row>
    <row r="18" spans="1:7" x14ac:dyDescent="0.25">
      <c r="A18" t="s">
        <v>117</v>
      </c>
      <c r="B18" s="59">
        <v>2541</v>
      </c>
      <c r="C18" s="64">
        <v>3.46</v>
      </c>
      <c r="D18" s="8">
        <f>+B18*C18</f>
        <v>8791.86</v>
      </c>
      <c r="E18" s="25">
        <f>B18</f>
        <v>2541</v>
      </c>
      <c r="F18" s="66">
        <v>3.46</v>
      </c>
      <c r="G18" s="8">
        <f>+E18*F18</f>
        <v>8791.86</v>
      </c>
    </row>
    <row r="19" spans="1:7" ht="13.5" customHeight="1" x14ac:dyDescent="0.25">
      <c r="B19" s="56"/>
      <c r="C19" s="64"/>
      <c r="D19" s="8"/>
      <c r="E19" s="25"/>
      <c r="F19" s="66"/>
      <c r="G19" s="8"/>
    </row>
    <row r="20" spans="1:7" x14ac:dyDescent="0.25">
      <c r="A20" t="s">
        <v>12</v>
      </c>
      <c r="B20" s="59">
        <v>12</v>
      </c>
      <c r="C20" s="64">
        <v>535.5</v>
      </c>
      <c r="D20" s="8">
        <f>+B20*C20</f>
        <v>6426</v>
      </c>
      <c r="E20" s="25">
        <f>B20</f>
        <v>12</v>
      </c>
      <c r="F20" s="66">
        <v>628.5</v>
      </c>
      <c r="G20" s="8">
        <f>+E20*F20</f>
        <v>7542</v>
      </c>
    </row>
    <row r="21" spans="1:7" x14ac:dyDescent="0.25">
      <c r="B21" s="56"/>
      <c r="C21" s="46"/>
      <c r="D21" s="8"/>
      <c r="E21" s="25"/>
      <c r="F21" s="56"/>
      <c r="G21" s="8"/>
    </row>
    <row r="22" spans="1:7" x14ac:dyDescent="0.25">
      <c r="A22" t="s">
        <v>13</v>
      </c>
      <c r="B22" s="59">
        <v>12</v>
      </c>
      <c r="C22" s="46"/>
      <c r="D22" s="8"/>
      <c r="E22" s="25">
        <f>B22</f>
        <v>12</v>
      </c>
      <c r="F22" s="56"/>
      <c r="G22" s="8"/>
    </row>
    <row r="23" spans="1:7" x14ac:dyDescent="0.25">
      <c r="C23" s="46"/>
      <c r="D23" s="8"/>
      <c r="F23" s="56"/>
      <c r="G23" s="8"/>
    </row>
    <row r="24" spans="1:7" x14ac:dyDescent="0.25">
      <c r="A24" t="str">
        <f>+RS!A$26</f>
        <v xml:space="preserve">Fuel </v>
      </c>
      <c r="C24" s="63">
        <f>+RS!C26</f>
        <v>2.0411219651722302E-3</v>
      </c>
      <c r="D24" s="8">
        <f>+B14*C24</f>
        <v>1372.5034785529022</v>
      </c>
      <c r="F24" s="60">
        <f>+RS!F26</f>
        <v>2.0411219651722302E-3</v>
      </c>
      <c r="G24" s="8">
        <f>+E14*F24</f>
        <v>1372.5034785529022</v>
      </c>
    </row>
    <row r="25" spans="1:7" x14ac:dyDescent="0.25">
      <c r="D25" s="8"/>
      <c r="F25" s="61"/>
      <c r="G25" s="8"/>
    </row>
    <row r="26" spans="1:7" x14ac:dyDescent="0.25">
      <c r="A26" t="str">
        <f>+RS!A$28</f>
        <v>Asset Transfer Rider</v>
      </c>
      <c r="D26" s="45">
        <f>+ATR!D32</f>
        <v>-738.22</v>
      </c>
      <c r="F26" s="61"/>
      <c r="G26" s="45"/>
    </row>
    <row r="27" spans="1:7" x14ac:dyDescent="0.25">
      <c r="D27" s="45"/>
      <c r="F27" s="61"/>
      <c r="G27" s="45"/>
    </row>
    <row r="28" spans="1:7" x14ac:dyDescent="0.25">
      <c r="A28" t="str">
        <f>RS!A30</f>
        <v>Economic Development Rider</v>
      </c>
      <c r="D28" s="45"/>
      <c r="E28" s="25">
        <f>E20</f>
        <v>12</v>
      </c>
      <c r="F28" s="66">
        <f>RS!F30</f>
        <v>0.15</v>
      </c>
      <c r="G28" s="45">
        <f>E28*F28</f>
        <v>1.7999999999999998</v>
      </c>
    </row>
    <row r="29" spans="1:7" x14ac:dyDescent="0.25">
      <c r="D29" s="45"/>
      <c r="E29" s="25"/>
      <c r="F29" s="66"/>
      <c r="G29" s="45"/>
    </row>
    <row r="30" spans="1:7" x14ac:dyDescent="0.25">
      <c r="A30" t="str">
        <f>+'LGS-SEC'!A30</f>
        <v>Big Sandy 1 Operations Rider - Energy</v>
      </c>
      <c r="D30" s="45"/>
      <c r="E30" s="25"/>
      <c r="F30" s="65">
        <f>+'LGS-SEC'!F30</f>
        <v>1.39E-3</v>
      </c>
      <c r="G30" s="45">
        <f>+F30*E14</f>
        <v>934.67214000000001</v>
      </c>
    </row>
    <row r="31" spans="1:7" x14ac:dyDescent="0.25">
      <c r="D31" s="45"/>
      <c r="E31" s="25"/>
      <c r="F31" s="66"/>
      <c r="G31" s="45"/>
    </row>
    <row r="32" spans="1:7" x14ac:dyDescent="0.25">
      <c r="A32" t="str">
        <f>+'LGS-SEC'!A32</f>
        <v>Big Sandy 1 Operations Rider - Demand</v>
      </c>
      <c r="D32" s="45"/>
      <c r="E32" s="25"/>
      <c r="F32" s="66">
        <f>+'LGS-SEC'!F32</f>
        <v>0.45</v>
      </c>
      <c r="G32" s="45">
        <f>+F32*E16</f>
        <v>2374.65</v>
      </c>
    </row>
    <row r="33" spans="1:7" x14ac:dyDescent="0.25">
      <c r="D33" s="45"/>
      <c r="E33" s="25"/>
      <c r="F33" s="66"/>
      <c r="G33" s="45"/>
    </row>
    <row r="34" spans="1:7" x14ac:dyDescent="0.25">
      <c r="A34" t="str">
        <f>+'LGS-SEC'!A34</f>
        <v>Big Sandy Retirement Rider</v>
      </c>
      <c r="D34" s="45"/>
      <c r="E34" s="74">
        <f>SUM(G11:G33)-G24-G42</f>
        <v>56150.910999999993</v>
      </c>
      <c r="F34" s="78">
        <f>SGS!$F$30</f>
        <v>4.9917999999999997E-2</v>
      </c>
      <c r="G34" s="45">
        <f>E34*F34</f>
        <v>2802.9411752979995</v>
      </c>
    </row>
    <row r="35" spans="1:7" x14ac:dyDescent="0.25">
      <c r="D35" s="45"/>
      <c r="E35" s="25"/>
      <c r="F35" s="57"/>
      <c r="G35" s="45"/>
    </row>
    <row r="36" spans="1:7" x14ac:dyDescent="0.25">
      <c r="A36" t="str">
        <f>+'LGS-SEC'!A36</f>
        <v>Environmental Surcharge</v>
      </c>
      <c r="D36" s="45"/>
      <c r="E36" s="74">
        <f>E34</f>
        <v>56150.910999999993</v>
      </c>
      <c r="F36" s="78">
        <f>SGS!$F$32</f>
        <v>9.8901000000000003E-2</v>
      </c>
      <c r="G36" s="45">
        <f>E36*F36</f>
        <v>5553.3812488109998</v>
      </c>
    </row>
    <row r="37" spans="1:7" x14ac:dyDescent="0.25">
      <c r="D37" s="8"/>
      <c r="G37" s="8"/>
    </row>
    <row r="38" spans="1:7" x14ac:dyDescent="0.25">
      <c r="A38" t="s">
        <v>14</v>
      </c>
      <c r="D38" s="8">
        <f>SUM(D12:D36)</f>
        <v>66883.1854385529</v>
      </c>
      <c r="G38" s="8">
        <f>SUM(G12:G36)</f>
        <v>84976.635302661889</v>
      </c>
    </row>
    <row r="39" spans="1:7" x14ac:dyDescent="0.25">
      <c r="G39" s="25"/>
    </row>
    <row r="40" spans="1:7" x14ac:dyDescent="0.25">
      <c r="G40" s="25"/>
    </row>
    <row r="41" spans="1:7" x14ac:dyDescent="0.25">
      <c r="G41" s="25"/>
    </row>
    <row r="42" spans="1:7" x14ac:dyDescent="0.25">
      <c r="A42" s="46" t="s">
        <v>193</v>
      </c>
      <c r="F42" s="60">
        <f>SGS!$F$38</f>
        <v>2.8400000000000002E-2</v>
      </c>
      <c r="G42" s="8">
        <f>+E14*F42</f>
        <v>19096.898400000002</v>
      </c>
    </row>
  </sheetData>
  <pageMargins left="0.75" right="0.75" top="1" bottom="1" header="0.5" footer="0.5"/>
  <pageSetup scale="8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5"/>
  <sheetViews>
    <sheetView workbookViewId="0">
      <selection activeCell="D31" sqref="D31:D39"/>
    </sheetView>
  </sheetViews>
  <sheetFormatPr defaultRowHeight="13.2" x14ac:dyDescent="0.25"/>
  <cols>
    <col min="1" max="1" width="22.33203125" customWidth="1"/>
    <col min="2" max="2" width="12.88671875" customWidth="1"/>
    <col min="3" max="3" width="12.44140625" customWidth="1"/>
    <col min="4" max="4" width="14.109375" customWidth="1"/>
    <col min="5" max="5" width="16.33203125" style="21" customWidth="1"/>
    <col min="6" max="6" width="12.44140625" style="21" customWidth="1"/>
    <col min="7" max="7" width="14.4414062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4" spans="1:7" x14ac:dyDescent="0.25">
      <c r="D4" s="5"/>
    </row>
    <row r="5" spans="1:7" x14ac:dyDescent="0.25">
      <c r="A5" t="s">
        <v>110</v>
      </c>
      <c r="D5" s="5"/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4" t="s">
        <v>8</v>
      </c>
      <c r="B12" s="59">
        <v>22421138</v>
      </c>
      <c r="C12" s="49">
        <v>3.2849999999999997E-2</v>
      </c>
      <c r="D12" s="8">
        <f>+B12*C12</f>
        <v>736534.38329999999</v>
      </c>
      <c r="E12" s="25">
        <f>B12</f>
        <v>22421138</v>
      </c>
      <c r="F12" s="54">
        <v>3.3570000000000003E-2</v>
      </c>
      <c r="G12" s="8">
        <f>+E12*F12</f>
        <v>752677.60266000009</v>
      </c>
    </row>
    <row r="13" spans="1:7" x14ac:dyDescent="0.25">
      <c r="B13" s="5"/>
      <c r="C13" s="52"/>
      <c r="D13" s="8"/>
      <c r="E13" s="25"/>
      <c r="F13" s="57"/>
      <c r="G13" s="8"/>
    </row>
    <row r="14" spans="1:7" x14ac:dyDescent="0.25">
      <c r="A14" t="s">
        <v>11</v>
      </c>
      <c r="B14" s="5">
        <f>B12</f>
        <v>22421138</v>
      </c>
      <c r="C14" s="52"/>
      <c r="D14" s="8"/>
      <c r="E14" s="25">
        <f>+B14</f>
        <v>22421138</v>
      </c>
      <c r="F14" s="57"/>
      <c r="G14" s="8"/>
    </row>
    <row r="15" spans="1:7" x14ac:dyDescent="0.25">
      <c r="B15" s="5"/>
      <c r="C15" s="52"/>
      <c r="D15" s="8"/>
      <c r="E15" s="25"/>
      <c r="F15" s="57"/>
      <c r="G15" s="8"/>
    </row>
    <row r="16" spans="1:7" x14ac:dyDescent="0.25">
      <c r="A16" s="4" t="s">
        <v>56</v>
      </c>
      <c r="B16" s="5"/>
      <c r="C16" s="52"/>
      <c r="D16" s="8"/>
      <c r="E16" s="25"/>
      <c r="F16" s="57"/>
      <c r="G16" s="8"/>
    </row>
    <row r="17" spans="1:7" x14ac:dyDescent="0.25">
      <c r="A17" t="s">
        <v>47</v>
      </c>
      <c r="B17" s="59">
        <v>52430</v>
      </c>
      <c r="C17" s="52">
        <v>18.510000000000002</v>
      </c>
      <c r="D17" s="8">
        <f>+B17*C17</f>
        <v>970479.3</v>
      </c>
      <c r="E17" s="25">
        <f>+B17</f>
        <v>52430</v>
      </c>
      <c r="F17" s="57">
        <v>18.23</v>
      </c>
      <c r="G17" s="8">
        <f>E17*F17</f>
        <v>955798.9</v>
      </c>
    </row>
    <row r="18" spans="1:7" x14ac:dyDescent="0.25">
      <c r="A18" t="s">
        <v>65</v>
      </c>
      <c r="B18" s="59">
        <v>463</v>
      </c>
      <c r="C18" s="52">
        <v>8.65</v>
      </c>
      <c r="D18" s="8">
        <f>+B18*C18</f>
        <v>4004.9500000000003</v>
      </c>
      <c r="E18" s="25">
        <f>+B18</f>
        <v>463</v>
      </c>
      <c r="F18" s="57"/>
      <c r="G18" s="8"/>
    </row>
    <row r="19" spans="1:7" x14ac:dyDescent="0.25">
      <c r="A19" t="s">
        <v>48</v>
      </c>
      <c r="B19" s="59"/>
      <c r="C19" s="52"/>
      <c r="D19" s="8"/>
      <c r="E19" s="59">
        <v>41767</v>
      </c>
      <c r="F19" s="57">
        <v>1.1000000000000001</v>
      </c>
      <c r="G19" s="8">
        <f>+E19*F19</f>
        <v>45943.700000000004</v>
      </c>
    </row>
    <row r="20" spans="1:7" x14ac:dyDescent="0.25">
      <c r="B20" s="59"/>
      <c r="C20" s="52"/>
      <c r="D20" s="8"/>
      <c r="E20" s="25"/>
      <c r="F20" s="57"/>
      <c r="G20" s="8"/>
    </row>
    <row r="21" spans="1:7" x14ac:dyDescent="0.25">
      <c r="A21" t="s">
        <v>66</v>
      </c>
      <c r="B21" s="59">
        <v>4387</v>
      </c>
      <c r="C21" s="52">
        <v>0.69</v>
      </c>
      <c r="D21" s="8">
        <f>+B21*C21</f>
        <v>3027.0299999999997</v>
      </c>
      <c r="E21" s="25">
        <f>+B21</f>
        <v>4387</v>
      </c>
      <c r="F21" s="57">
        <v>0.69</v>
      </c>
      <c r="G21" s="8">
        <f>+E21*F21</f>
        <v>3027.0299999999997</v>
      </c>
    </row>
    <row r="22" spans="1:7" x14ac:dyDescent="0.25">
      <c r="B22" s="59"/>
      <c r="C22" s="52"/>
      <c r="D22" s="8"/>
      <c r="E22" s="25"/>
      <c r="F22" s="57"/>
      <c r="G22" s="8"/>
    </row>
    <row r="23" spans="1:7" x14ac:dyDescent="0.25">
      <c r="A23" t="s">
        <v>12</v>
      </c>
      <c r="B23" s="59">
        <v>71</v>
      </c>
      <c r="C23" s="52">
        <v>276</v>
      </c>
      <c r="D23" s="8">
        <f>+B23*C23</f>
        <v>19596</v>
      </c>
      <c r="E23" s="25">
        <f>+B23</f>
        <v>71</v>
      </c>
      <c r="F23" s="57">
        <v>276</v>
      </c>
      <c r="G23" s="8">
        <f>+E23*F23</f>
        <v>19596</v>
      </c>
    </row>
    <row r="24" spans="1:7" x14ac:dyDescent="0.25">
      <c r="B24" s="59"/>
      <c r="C24" s="52"/>
      <c r="D24" s="8"/>
      <c r="E24" s="25"/>
      <c r="F24" s="57"/>
      <c r="G24" s="8"/>
    </row>
    <row r="25" spans="1:7" x14ac:dyDescent="0.25">
      <c r="A25" t="s">
        <v>13</v>
      </c>
      <c r="B25" s="59">
        <v>72</v>
      </c>
      <c r="C25" s="52"/>
      <c r="D25" s="8"/>
      <c r="E25" s="25">
        <f>+B25</f>
        <v>72</v>
      </c>
      <c r="F25" s="57"/>
      <c r="G25" s="8"/>
    </row>
    <row r="26" spans="1:7" x14ac:dyDescent="0.25">
      <c r="B26" s="17"/>
      <c r="C26" s="52"/>
      <c r="D26" s="8"/>
      <c r="E26" s="25"/>
      <c r="F26" s="57"/>
      <c r="G26" s="8"/>
    </row>
    <row r="27" spans="1:7" x14ac:dyDescent="0.25">
      <c r="A27" t="str">
        <f>+RS!A$26</f>
        <v xml:space="preserve">Fuel </v>
      </c>
      <c r="C27" s="63">
        <f>+RS!C26</f>
        <v>2.0411219651722302E-3</v>
      </c>
      <c r="D27" s="8">
        <f>+B14*C27</f>
        <v>45764.277255957772</v>
      </c>
      <c r="F27" s="60">
        <f>+RS!F26</f>
        <v>2.0411219651722302E-3</v>
      </c>
      <c r="G27" s="8">
        <f>+E14*F27</f>
        <v>45764.277255957772</v>
      </c>
    </row>
    <row r="28" spans="1:7" x14ac:dyDescent="0.25">
      <c r="D28" s="8"/>
      <c r="F28" s="61"/>
      <c r="G28" s="8"/>
    </row>
    <row r="29" spans="1:7" x14ac:dyDescent="0.25">
      <c r="A29" t="str">
        <f>+RS!A$28</f>
        <v>Asset Transfer Rider</v>
      </c>
      <c r="D29" s="45">
        <f>+ATR!D35</f>
        <v>165841.34</v>
      </c>
      <c r="F29" s="61"/>
      <c r="G29" s="45"/>
    </row>
    <row r="30" spans="1:7" x14ac:dyDescent="0.25">
      <c r="D30" s="45"/>
      <c r="F30" s="61"/>
      <c r="G30" s="45"/>
    </row>
    <row r="31" spans="1:7" x14ac:dyDescent="0.25">
      <c r="A31" t="str">
        <f>RS!A30</f>
        <v>Economic Development Rider</v>
      </c>
      <c r="D31" s="45"/>
      <c r="E31" s="25">
        <f>E23</f>
        <v>71</v>
      </c>
      <c r="F31" s="57">
        <f>RS!F30</f>
        <v>0.15</v>
      </c>
      <c r="G31" s="45">
        <f>E31*F31</f>
        <v>10.65</v>
      </c>
    </row>
    <row r="32" spans="1:7" x14ac:dyDescent="0.25">
      <c r="D32" s="45"/>
      <c r="E32" s="25"/>
      <c r="F32" s="57"/>
      <c r="G32" s="45"/>
    </row>
    <row r="33" spans="1:7" x14ac:dyDescent="0.25">
      <c r="A33" t="str">
        <f>+'MGS-SEC'!A32</f>
        <v>Big Sandy 1 Operations Rider - Energy</v>
      </c>
      <c r="D33" s="45"/>
      <c r="E33" s="25"/>
      <c r="F33" s="54">
        <v>1.39E-3</v>
      </c>
      <c r="G33" s="45">
        <f>+F33*E14</f>
        <v>31165.381819999999</v>
      </c>
    </row>
    <row r="34" spans="1:7" x14ac:dyDescent="0.25">
      <c r="D34" s="45"/>
      <c r="E34" s="25"/>
      <c r="F34" s="57"/>
      <c r="G34" s="45"/>
    </row>
    <row r="35" spans="1:7" x14ac:dyDescent="0.25">
      <c r="A35" t="str">
        <f>+'MGS-SEC'!A34</f>
        <v>Big Sandy 1 Operations Rider - Demand</v>
      </c>
      <c r="D35" s="45"/>
      <c r="E35" s="25"/>
      <c r="F35" s="57">
        <v>0.55000000000000004</v>
      </c>
      <c r="G35" s="45">
        <f>+F35*E17</f>
        <v>28836.500000000004</v>
      </c>
    </row>
    <row r="36" spans="1:7" x14ac:dyDescent="0.25">
      <c r="D36" s="45"/>
      <c r="E36" s="25"/>
      <c r="F36" s="57"/>
      <c r="G36" s="45"/>
    </row>
    <row r="37" spans="1:7" x14ac:dyDescent="0.25">
      <c r="A37" t="str">
        <f>RS!A34</f>
        <v>Big Sandy Retirement Rider</v>
      </c>
      <c r="D37" s="45"/>
      <c r="E37" s="74">
        <f>SUM(G11:G36)-G27-G45</f>
        <v>1200295.4452800001</v>
      </c>
      <c r="F37" s="78">
        <f>SGS!$F$30</f>
        <v>4.9917999999999997E-2</v>
      </c>
      <c r="G37" s="45">
        <f>E37*F37</f>
        <v>59916.348037487041</v>
      </c>
    </row>
    <row r="38" spans="1:7" x14ac:dyDescent="0.25">
      <c r="D38" s="45"/>
      <c r="E38" s="25"/>
      <c r="F38" s="57"/>
      <c r="G38" s="45"/>
    </row>
    <row r="39" spans="1:7" x14ac:dyDescent="0.25">
      <c r="A39" t="str">
        <f>RS!A36</f>
        <v>Environmental Surcharge</v>
      </c>
      <c r="D39" s="45"/>
      <c r="E39" s="74">
        <f>E37</f>
        <v>1200295.4452800001</v>
      </c>
      <c r="F39" s="78">
        <f>SGS!$F$32</f>
        <v>9.8901000000000003E-2</v>
      </c>
      <c r="G39" s="45">
        <f>E39*F39</f>
        <v>118710.41983363729</v>
      </c>
    </row>
    <row r="40" spans="1:7" x14ac:dyDescent="0.25">
      <c r="D40" s="8"/>
      <c r="F40" s="61"/>
      <c r="G40" s="8"/>
    </row>
    <row r="41" spans="1:7" x14ac:dyDescent="0.25">
      <c r="A41" t="s">
        <v>14</v>
      </c>
      <c r="D41" s="8">
        <f>SUM(D12:D39)</f>
        <v>1945247.2805559579</v>
      </c>
      <c r="F41" s="61"/>
      <c r="G41" s="8">
        <f>SUM(G12:G39)</f>
        <v>2061446.8096070823</v>
      </c>
    </row>
    <row r="42" spans="1:7" x14ac:dyDescent="0.25">
      <c r="G42" s="25"/>
    </row>
    <row r="43" spans="1:7" x14ac:dyDescent="0.25">
      <c r="G43" s="25"/>
    </row>
    <row r="44" spans="1:7" x14ac:dyDescent="0.25">
      <c r="G44" s="25"/>
    </row>
    <row r="45" spans="1:7" x14ac:dyDescent="0.25">
      <c r="A45" s="46" t="s">
        <v>193</v>
      </c>
      <c r="F45" s="60">
        <f>SGS!$F$38</f>
        <v>2.8400000000000002E-2</v>
      </c>
      <c r="G45" s="8">
        <f>+E14*F45</f>
        <v>636760.31920000003</v>
      </c>
    </row>
  </sheetData>
  <phoneticPr fontId="0" type="noConversion"/>
  <pageMargins left="0.75" right="0.75" top="1" bottom="1" header="0.5" footer="0.5"/>
  <pageSetup scale="8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8"/>
  <sheetViews>
    <sheetView topLeftCell="A6" workbookViewId="0">
      <selection activeCell="D34" sqref="D34:D42"/>
    </sheetView>
  </sheetViews>
  <sheetFormatPr defaultRowHeight="13.2" x14ac:dyDescent="0.25"/>
  <cols>
    <col min="1" max="1" width="22.33203125" customWidth="1"/>
    <col min="2" max="2" width="12.88671875" customWidth="1"/>
    <col min="3" max="3" width="12.44140625" customWidth="1"/>
    <col min="4" max="4" width="14.109375" customWidth="1"/>
    <col min="5" max="5" width="16.33203125" style="21" customWidth="1"/>
    <col min="6" max="6" width="12.44140625" style="21" customWidth="1"/>
    <col min="7" max="7" width="14.4414062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126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4" t="s">
        <v>8</v>
      </c>
      <c r="B12" s="59">
        <v>331215696</v>
      </c>
      <c r="C12" s="49">
        <v>3.2329999999999998E-2</v>
      </c>
      <c r="D12" s="8">
        <f>+B12*C12</f>
        <v>10708203.451679999</v>
      </c>
      <c r="E12" s="25">
        <f>B12</f>
        <v>331215696</v>
      </c>
      <c r="F12" s="54">
        <v>3.2410000000000001E-2</v>
      </c>
      <c r="G12" s="8">
        <f>+E12*F12</f>
        <v>10734700.707360001</v>
      </c>
    </row>
    <row r="13" spans="1:7" x14ac:dyDescent="0.25">
      <c r="A13" t="s">
        <v>118</v>
      </c>
      <c r="B13" s="59">
        <v>-44845</v>
      </c>
      <c r="C13" s="52"/>
      <c r="D13" s="8"/>
      <c r="E13" s="25">
        <f>+B13</f>
        <v>-44845</v>
      </c>
      <c r="F13" s="57"/>
      <c r="G13" s="8"/>
    </row>
    <row r="14" spans="1:7" x14ac:dyDescent="0.25">
      <c r="A14" t="s">
        <v>11</v>
      </c>
      <c r="B14" s="5">
        <f>SUM(B12:B13)</f>
        <v>331170851</v>
      </c>
      <c r="C14" s="52"/>
      <c r="D14" s="8"/>
      <c r="E14" s="25">
        <f>+B14</f>
        <v>331170851</v>
      </c>
      <c r="F14" s="57"/>
      <c r="G14" s="8"/>
    </row>
    <row r="15" spans="1:7" x14ac:dyDescent="0.25">
      <c r="B15" s="5"/>
      <c r="C15" s="52"/>
      <c r="D15" s="8"/>
      <c r="E15" s="25"/>
      <c r="F15" s="57"/>
      <c r="G15" s="8"/>
    </row>
    <row r="16" spans="1:7" x14ac:dyDescent="0.25">
      <c r="A16" s="4" t="s">
        <v>56</v>
      </c>
      <c r="B16" s="5"/>
      <c r="C16" s="52"/>
      <c r="D16" s="8"/>
      <c r="E16" s="25"/>
      <c r="F16" s="57"/>
      <c r="G16" s="8"/>
    </row>
    <row r="17" spans="1:7" x14ac:dyDescent="0.25">
      <c r="A17" t="s">
        <v>47</v>
      </c>
      <c r="B17" s="59">
        <v>747347</v>
      </c>
      <c r="C17" s="52">
        <v>15</v>
      </c>
      <c r="D17" s="8">
        <f>+B17*C17</f>
        <v>11210205</v>
      </c>
      <c r="E17" s="25">
        <f>+B17</f>
        <v>747347</v>
      </c>
      <c r="F17" s="57">
        <v>15.21</v>
      </c>
      <c r="G17" s="8">
        <f>E17*F17</f>
        <v>11367147.870000001</v>
      </c>
    </row>
    <row r="18" spans="1:7" x14ac:dyDescent="0.25">
      <c r="A18" t="s">
        <v>65</v>
      </c>
      <c r="B18" s="59">
        <v>4273</v>
      </c>
      <c r="C18" s="52">
        <v>5.56</v>
      </c>
      <c r="D18" s="8">
        <f>+B18*C18</f>
        <v>23757.879999999997</v>
      </c>
      <c r="E18" s="25">
        <f>+B18</f>
        <v>4273</v>
      </c>
      <c r="F18" s="57"/>
      <c r="G18" s="8"/>
    </row>
    <row r="19" spans="1:7" x14ac:dyDescent="0.25">
      <c r="A19" t="s">
        <v>48</v>
      </c>
      <c r="B19" s="59"/>
      <c r="C19" s="52"/>
      <c r="D19" s="8"/>
      <c r="E19" s="59">
        <v>649744</v>
      </c>
      <c r="F19" s="57">
        <v>1.07</v>
      </c>
      <c r="G19" s="8">
        <f>+E19*F19</f>
        <v>695226.08000000007</v>
      </c>
    </row>
    <row r="20" spans="1:7" x14ac:dyDescent="0.25">
      <c r="A20" s="19" t="s">
        <v>120</v>
      </c>
      <c r="B20" s="59">
        <v>0</v>
      </c>
      <c r="C20" s="52">
        <v>4.34</v>
      </c>
      <c r="D20" s="8">
        <f>+B20*C20</f>
        <v>0</v>
      </c>
      <c r="E20" s="25">
        <f>+B20</f>
        <v>0</v>
      </c>
      <c r="F20" s="57">
        <v>5.76</v>
      </c>
      <c r="G20" s="8">
        <f>+E20*F20</f>
        <v>0</v>
      </c>
    </row>
    <row r="21" spans="1:7" x14ac:dyDescent="0.25">
      <c r="B21" s="59"/>
      <c r="C21" s="52"/>
      <c r="D21" s="8"/>
      <c r="E21" s="25"/>
      <c r="F21" s="57"/>
      <c r="G21" s="8"/>
    </row>
    <row r="22" spans="1:7" x14ac:dyDescent="0.25">
      <c r="A22" t="s">
        <v>66</v>
      </c>
      <c r="B22" s="59">
        <v>114172</v>
      </c>
      <c r="C22" s="52">
        <v>0.69</v>
      </c>
      <c r="D22" s="8">
        <f>+B22*C22</f>
        <v>78778.679999999993</v>
      </c>
      <c r="E22" s="25">
        <f>+B22</f>
        <v>114172</v>
      </c>
      <c r="F22" s="57">
        <v>0.69</v>
      </c>
      <c r="G22" s="8">
        <f>+E22*F22</f>
        <v>78778.679999999993</v>
      </c>
    </row>
    <row r="23" spans="1:7" x14ac:dyDescent="0.25">
      <c r="B23" s="59"/>
      <c r="C23" s="52"/>
      <c r="D23" s="8"/>
      <c r="E23" s="25"/>
      <c r="F23" s="57"/>
      <c r="G23" s="8"/>
    </row>
    <row r="24" spans="1:7" x14ac:dyDescent="0.25">
      <c r="A24" s="46" t="s">
        <v>43</v>
      </c>
      <c r="B24" s="59"/>
      <c r="C24" s="52"/>
      <c r="D24" s="8">
        <v>150000</v>
      </c>
      <c r="E24" s="25"/>
      <c r="F24" s="57"/>
      <c r="G24" s="8">
        <f>+D24</f>
        <v>150000</v>
      </c>
    </row>
    <row r="25" spans="1:7" x14ac:dyDescent="0.25">
      <c r="B25" s="59"/>
      <c r="C25" s="52"/>
      <c r="D25" s="8"/>
      <c r="E25" s="25"/>
      <c r="F25" s="57"/>
      <c r="G25" s="8"/>
    </row>
    <row r="26" spans="1:7" x14ac:dyDescent="0.25">
      <c r="A26" t="s">
        <v>12</v>
      </c>
      <c r="B26" s="59">
        <v>479</v>
      </c>
      <c r="C26" s="52">
        <v>276</v>
      </c>
      <c r="D26" s="8">
        <f>+B26*C26</f>
        <v>132204</v>
      </c>
      <c r="E26" s="25">
        <f>+B26</f>
        <v>479</v>
      </c>
      <c r="F26" s="57">
        <v>276</v>
      </c>
      <c r="G26" s="8">
        <f>+E26*F26</f>
        <v>132204</v>
      </c>
    </row>
    <row r="27" spans="1:7" x14ac:dyDescent="0.25">
      <c r="B27" s="59"/>
      <c r="C27" s="52"/>
      <c r="D27" s="8"/>
      <c r="E27" s="25"/>
      <c r="F27" s="57"/>
      <c r="G27" s="8"/>
    </row>
    <row r="28" spans="1:7" x14ac:dyDescent="0.25">
      <c r="A28" t="s">
        <v>13</v>
      </c>
      <c r="B28" s="59">
        <v>480</v>
      </c>
      <c r="C28" s="52"/>
      <c r="D28" s="8"/>
      <c r="E28" s="25">
        <f>+B28</f>
        <v>480</v>
      </c>
      <c r="F28" s="57"/>
      <c r="G28" s="8"/>
    </row>
    <row r="29" spans="1:7" x14ac:dyDescent="0.25">
      <c r="C29" s="52"/>
      <c r="D29" s="8"/>
      <c r="F29" s="57"/>
      <c r="G29" s="8"/>
    </row>
    <row r="30" spans="1:7" x14ac:dyDescent="0.25">
      <c r="A30" t="str">
        <f>+RS!A$26</f>
        <v xml:space="preserve">Fuel </v>
      </c>
      <c r="C30" s="63">
        <f>+RS!C26</f>
        <v>2.0411219651722302E-3</v>
      </c>
      <c r="D30" s="8">
        <f>+B14*C30</f>
        <v>675960.09820087987</v>
      </c>
      <c r="F30" s="60">
        <f>+RS!F26</f>
        <v>2.0411219651722302E-3</v>
      </c>
      <c r="G30" s="8">
        <f>+E14*F30</f>
        <v>675960.09820087987</v>
      </c>
    </row>
    <row r="31" spans="1:7" x14ac:dyDescent="0.25">
      <c r="D31" s="8"/>
      <c r="G31" s="8"/>
    </row>
    <row r="32" spans="1:7" x14ac:dyDescent="0.25">
      <c r="A32" t="str">
        <f>+RS!A$28</f>
        <v>Asset Transfer Rider</v>
      </c>
      <c r="D32" s="45">
        <f>+ATR!D36</f>
        <v>1906533.07</v>
      </c>
      <c r="G32" s="45"/>
    </row>
    <row r="33" spans="1:7" x14ac:dyDescent="0.25">
      <c r="D33" s="45"/>
      <c r="G33" s="45"/>
    </row>
    <row r="34" spans="1:7" x14ac:dyDescent="0.25">
      <c r="A34" t="str">
        <f>RS!A30</f>
        <v>Economic Development Rider</v>
      </c>
      <c r="D34" s="45"/>
      <c r="E34" s="25">
        <f>E26</f>
        <v>479</v>
      </c>
      <c r="F34" s="57">
        <f>RS!F30</f>
        <v>0.15</v>
      </c>
      <c r="G34" s="45">
        <f>E34*F34</f>
        <v>71.849999999999994</v>
      </c>
    </row>
    <row r="35" spans="1:7" x14ac:dyDescent="0.25">
      <c r="D35" s="45"/>
      <c r="E35" s="25"/>
      <c r="F35" s="57"/>
      <c r="G35" s="45"/>
    </row>
    <row r="36" spans="1:7" x14ac:dyDescent="0.25">
      <c r="A36" t="str">
        <f>+'QP-SEC'!A33</f>
        <v>Big Sandy 1 Operations Rider - Energy</v>
      </c>
      <c r="D36" s="45"/>
      <c r="E36" s="25"/>
      <c r="F36" s="54">
        <f>+'QP-SEC'!F33</f>
        <v>1.39E-3</v>
      </c>
      <c r="G36" s="45">
        <f>+F36*E14</f>
        <v>460327.48288999998</v>
      </c>
    </row>
    <row r="37" spans="1:7" x14ac:dyDescent="0.25">
      <c r="D37" s="45"/>
      <c r="E37" s="25"/>
      <c r="F37" s="57"/>
      <c r="G37" s="45"/>
    </row>
    <row r="38" spans="1:7" x14ac:dyDescent="0.25">
      <c r="A38" t="str">
        <f>+'QP-SEC'!A35</f>
        <v>Big Sandy 1 Operations Rider - Demand</v>
      </c>
      <c r="D38" s="45"/>
      <c r="E38" s="25"/>
      <c r="F38" s="57">
        <f>+'QP-SEC'!F35</f>
        <v>0.55000000000000004</v>
      </c>
      <c r="G38" s="45">
        <f>+F38*E17</f>
        <v>411040.85000000003</v>
      </c>
    </row>
    <row r="39" spans="1:7" x14ac:dyDescent="0.25">
      <c r="D39" s="45"/>
      <c r="E39" s="25"/>
      <c r="F39" s="57"/>
      <c r="G39" s="45"/>
    </row>
    <row r="40" spans="1:7" x14ac:dyDescent="0.25">
      <c r="A40" t="str">
        <f>RS!A34</f>
        <v>Big Sandy Retirement Rider</v>
      </c>
      <c r="D40" s="45"/>
      <c r="E40" s="74">
        <f>SUM(G11:G39)-G30-G48</f>
        <v>14624245.351850003</v>
      </c>
      <c r="F40" s="78">
        <f>SGS!$F$30</f>
        <v>4.9917999999999997E-2</v>
      </c>
      <c r="G40" s="45">
        <f>E40*F40</f>
        <v>730013.07947364845</v>
      </c>
    </row>
    <row r="41" spans="1:7" x14ac:dyDescent="0.25">
      <c r="D41" s="45"/>
      <c r="E41" s="25"/>
      <c r="F41" s="57"/>
      <c r="G41" s="45"/>
    </row>
    <row r="42" spans="1:7" x14ac:dyDescent="0.25">
      <c r="A42" t="str">
        <f>RS!A36</f>
        <v>Environmental Surcharge</v>
      </c>
      <c r="D42" s="45"/>
      <c r="E42" s="74">
        <f>E40</f>
        <v>14624245.351850003</v>
      </c>
      <c r="F42" s="78">
        <f>SGS!$F$32</f>
        <v>9.8901000000000003E-2</v>
      </c>
      <c r="G42" s="45">
        <f>E42*F42</f>
        <v>1446352.4895433171</v>
      </c>
    </row>
    <row r="43" spans="1:7" x14ac:dyDescent="0.25">
      <c r="D43" s="8"/>
      <c r="G43" s="8"/>
    </row>
    <row r="44" spans="1:7" x14ac:dyDescent="0.25">
      <c r="A44" t="s">
        <v>14</v>
      </c>
      <c r="D44" s="8">
        <f>SUM(D12:D42)</f>
        <v>24885642.179880876</v>
      </c>
      <c r="G44" s="8">
        <f>SUM(G12:G42)</f>
        <v>26881823.187467851</v>
      </c>
    </row>
    <row r="45" spans="1:7" x14ac:dyDescent="0.25">
      <c r="G45" s="25"/>
    </row>
    <row r="46" spans="1:7" x14ac:dyDescent="0.25">
      <c r="G46" s="25"/>
    </row>
    <row r="47" spans="1:7" x14ac:dyDescent="0.25">
      <c r="G47" s="25"/>
    </row>
    <row r="48" spans="1:7" x14ac:dyDescent="0.25">
      <c r="A48" s="46" t="s">
        <v>193</v>
      </c>
      <c r="F48" s="60">
        <f>SGS!$F$38</f>
        <v>2.8400000000000002E-2</v>
      </c>
      <c r="G48" s="8">
        <f>+E14*F48</f>
        <v>9405252.1684000008</v>
      </c>
    </row>
  </sheetData>
  <phoneticPr fontId="0" type="noConversion"/>
  <pageMargins left="0.75" right="0.75" top="1" bottom="1" header="0.5" footer="0.5"/>
  <pageSetup scale="7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5"/>
  <sheetViews>
    <sheetView workbookViewId="0">
      <selection activeCell="D31" sqref="D31:D39"/>
    </sheetView>
  </sheetViews>
  <sheetFormatPr defaultRowHeight="13.2" x14ac:dyDescent="0.25"/>
  <cols>
    <col min="1" max="1" width="22.5546875" customWidth="1"/>
    <col min="2" max="2" width="13.44140625" customWidth="1"/>
    <col min="3" max="3" width="11.88671875" customWidth="1"/>
    <col min="4" max="4" width="16.109375" customWidth="1"/>
    <col min="5" max="5" width="16.33203125" style="21" customWidth="1"/>
    <col min="6" max="6" width="13.5546875" style="21" customWidth="1"/>
    <col min="7" max="7" width="14.44140625" style="21" customWidth="1"/>
    <col min="8" max="8" width="8.88671875" style="21" customWidth="1"/>
    <col min="9" max="9" width="14.33203125" style="21" customWidth="1"/>
    <col min="10" max="10" width="8.88671875" style="21" customWidth="1"/>
  </cols>
  <sheetData>
    <row r="1" spans="1:9" x14ac:dyDescent="0.25">
      <c r="A1" t="str">
        <f>+RS!A1</f>
        <v>KENTUCKY POWER BILLING ANALYSIS</v>
      </c>
    </row>
    <row r="2" spans="1:9" x14ac:dyDescent="0.25">
      <c r="A2" t="str">
        <f>+RS!A2</f>
        <v>SETTLEMENT</v>
      </c>
    </row>
    <row r="3" spans="1:9" x14ac:dyDescent="0.25">
      <c r="A3" t="str">
        <f>+RS!A3</f>
        <v>TEST YEAR ENDED SEPTEMBER 30, 2014</v>
      </c>
    </row>
    <row r="5" spans="1:9" x14ac:dyDescent="0.25">
      <c r="A5" t="s">
        <v>67</v>
      </c>
    </row>
    <row r="8" spans="1:9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9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9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9" x14ac:dyDescent="0.25">
      <c r="A12" s="4" t="s">
        <v>8</v>
      </c>
      <c r="B12" s="59">
        <v>342877689</v>
      </c>
      <c r="C12" s="49">
        <v>3.2009999999999997E-2</v>
      </c>
      <c r="D12" s="8">
        <f>+B12*C12</f>
        <v>10975514.824889999</v>
      </c>
      <c r="E12" s="25">
        <f>B12</f>
        <v>342877689</v>
      </c>
      <c r="F12" s="54">
        <v>3.2050000000000002E-2</v>
      </c>
      <c r="G12" s="8">
        <f>+E12*F12</f>
        <v>10989229.93245</v>
      </c>
      <c r="I12" s="74"/>
    </row>
    <row r="13" spans="1:9" x14ac:dyDescent="0.25">
      <c r="A13" t="s">
        <v>118</v>
      </c>
      <c r="B13" s="59">
        <v>-466815</v>
      </c>
      <c r="C13" s="52"/>
      <c r="D13" s="8"/>
      <c r="E13" s="25">
        <f>+B13</f>
        <v>-466815</v>
      </c>
      <c r="F13" s="57"/>
      <c r="G13" s="8"/>
    </row>
    <row r="14" spans="1:9" x14ac:dyDescent="0.25">
      <c r="A14" t="s">
        <v>11</v>
      </c>
      <c r="B14" s="5">
        <f>SUM(B12:B13)</f>
        <v>342410874</v>
      </c>
      <c r="C14" s="52"/>
      <c r="D14" s="8"/>
      <c r="E14" s="25">
        <f>+B14</f>
        <v>342410874</v>
      </c>
      <c r="F14" s="57"/>
      <c r="G14" s="8"/>
    </row>
    <row r="15" spans="1:9" x14ac:dyDescent="0.25">
      <c r="B15" s="5"/>
      <c r="C15" s="52"/>
      <c r="D15" s="8"/>
      <c r="E15" s="25"/>
      <c r="F15" s="57"/>
      <c r="G15" s="8"/>
    </row>
    <row r="16" spans="1:9" x14ac:dyDescent="0.25">
      <c r="A16" s="4" t="s">
        <v>56</v>
      </c>
      <c r="B16" s="5"/>
      <c r="C16" s="52"/>
      <c r="D16" s="8"/>
      <c r="E16" s="25"/>
      <c r="F16" s="57"/>
      <c r="G16" s="8"/>
    </row>
    <row r="17" spans="1:9" x14ac:dyDescent="0.25">
      <c r="A17" t="s">
        <v>47</v>
      </c>
      <c r="B17" s="59">
        <v>927247</v>
      </c>
      <c r="C17" s="52">
        <v>10.130000000000001</v>
      </c>
      <c r="D17" s="8">
        <f>+B17*C17</f>
        <v>9393012.1100000013</v>
      </c>
      <c r="E17" s="25">
        <f>+B17</f>
        <v>927247</v>
      </c>
      <c r="F17" s="57">
        <v>10.02</v>
      </c>
      <c r="G17" s="8">
        <f>+E17*F17</f>
        <v>9291014.9399999995</v>
      </c>
      <c r="I17" s="74"/>
    </row>
    <row r="18" spans="1:9" x14ac:dyDescent="0.25">
      <c r="A18" t="s">
        <v>65</v>
      </c>
      <c r="B18" s="59">
        <v>12051</v>
      </c>
      <c r="C18" s="52">
        <v>1.2</v>
      </c>
      <c r="D18" s="8">
        <f>+B18*C18</f>
        <v>14461.199999999999</v>
      </c>
      <c r="E18" s="25">
        <f>+B18</f>
        <v>12051</v>
      </c>
      <c r="F18" s="57"/>
      <c r="G18" s="8"/>
      <c r="I18" s="74"/>
    </row>
    <row r="19" spans="1:9" x14ac:dyDescent="0.25">
      <c r="A19" t="s">
        <v>48</v>
      </c>
      <c r="B19" s="59"/>
      <c r="C19" s="52"/>
      <c r="D19" s="8"/>
      <c r="E19" s="59">
        <v>816264</v>
      </c>
      <c r="F19" s="57">
        <v>1.05</v>
      </c>
      <c r="G19" s="8">
        <f>+E19*F19</f>
        <v>857077.20000000007</v>
      </c>
      <c r="I19" s="74"/>
    </row>
    <row r="20" spans="1:9" x14ac:dyDescent="0.25">
      <c r="B20" s="59"/>
      <c r="C20" s="52"/>
      <c r="D20" s="8"/>
      <c r="E20" s="25"/>
      <c r="F20" s="57"/>
      <c r="G20" s="8"/>
    </row>
    <row r="21" spans="1:9" x14ac:dyDescent="0.25">
      <c r="A21" t="s">
        <v>66</v>
      </c>
      <c r="B21" s="59">
        <v>265869</v>
      </c>
      <c r="C21" s="52">
        <v>0.69</v>
      </c>
      <c r="D21" s="8">
        <f>+B21*C21</f>
        <v>183449.61</v>
      </c>
      <c r="E21" s="25">
        <f>+B21</f>
        <v>265869</v>
      </c>
      <c r="F21" s="57">
        <v>0.69</v>
      </c>
      <c r="G21" s="8">
        <f>+E21*F21</f>
        <v>183449.61</v>
      </c>
      <c r="I21" s="74"/>
    </row>
    <row r="22" spans="1:9" x14ac:dyDescent="0.25">
      <c r="B22" s="59"/>
      <c r="C22" s="52"/>
      <c r="D22" s="8"/>
      <c r="E22" s="25"/>
      <c r="F22" s="57"/>
      <c r="G22" s="8"/>
    </row>
    <row r="23" spans="1:9" x14ac:dyDescent="0.25">
      <c r="A23" t="s">
        <v>12</v>
      </c>
      <c r="B23" s="59">
        <v>307</v>
      </c>
      <c r="C23" s="52">
        <v>662</v>
      </c>
      <c r="D23" s="8">
        <f>+B23*C23</f>
        <v>203234</v>
      </c>
      <c r="E23" s="25">
        <f>+B23</f>
        <v>307</v>
      </c>
      <c r="F23" s="57">
        <v>794</v>
      </c>
      <c r="G23" s="8">
        <f>+E23*F23</f>
        <v>243758</v>
      </c>
      <c r="I23" s="74"/>
    </row>
    <row r="24" spans="1:9" x14ac:dyDescent="0.25">
      <c r="B24" s="59"/>
      <c r="C24" s="52"/>
      <c r="D24" s="8"/>
      <c r="E24" s="25"/>
      <c r="F24" s="57"/>
      <c r="G24" s="8"/>
      <c r="I24" s="74"/>
    </row>
    <row r="25" spans="1:9" x14ac:dyDescent="0.25">
      <c r="A25" t="s">
        <v>13</v>
      </c>
      <c r="B25" s="59">
        <v>312</v>
      </c>
      <c r="C25" s="52"/>
      <c r="D25" s="8"/>
      <c r="E25" s="25">
        <f>+B25</f>
        <v>312</v>
      </c>
      <c r="F25" s="57"/>
      <c r="G25" s="8"/>
    </row>
    <row r="26" spans="1:9" x14ac:dyDescent="0.25">
      <c r="C26" s="52"/>
      <c r="D26" s="8"/>
      <c r="E26" s="25"/>
      <c r="F26" s="57"/>
      <c r="G26" s="8"/>
    </row>
    <row r="27" spans="1:9" x14ac:dyDescent="0.25">
      <c r="A27" t="str">
        <f>+RS!A$26</f>
        <v xml:space="preserve">Fuel </v>
      </c>
      <c r="C27" s="63">
        <f>+RS!C26</f>
        <v>2.0411219651722302E-3</v>
      </c>
      <c r="D27" s="8">
        <f>+B14*C27</f>
        <v>698902.3560352209</v>
      </c>
      <c r="F27" s="60">
        <f>+RS!F26</f>
        <v>2.0411219651722302E-3</v>
      </c>
      <c r="G27" s="8">
        <f>+E14*F27</f>
        <v>698902.3560352209</v>
      </c>
    </row>
    <row r="28" spans="1:9" x14ac:dyDescent="0.25">
      <c r="D28" s="8"/>
      <c r="G28" s="8"/>
    </row>
    <row r="29" spans="1:9" x14ac:dyDescent="0.25">
      <c r="A29" t="str">
        <f>+RS!A$28</f>
        <v>Asset Transfer Rider</v>
      </c>
      <c r="D29" s="45">
        <f>+ATR!D37</f>
        <v>1767822.28</v>
      </c>
      <c r="G29" s="45"/>
    </row>
    <row r="30" spans="1:9" x14ac:dyDescent="0.25">
      <c r="D30" s="45"/>
      <c r="G30" s="45"/>
    </row>
    <row r="31" spans="1:9" x14ac:dyDescent="0.25">
      <c r="A31" t="str">
        <f>RS!A30</f>
        <v>Economic Development Rider</v>
      </c>
      <c r="D31" s="45"/>
      <c r="E31" s="25">
        <f>E23</f>
        <v>307</v>
      </c>
      <c r="F31" s="57">
        <f>RS!F30</f>
        <v>0.15</v>
      </c>
      <c r="G31" s="45">
        <f>E31*F31</f>
        <v>46.05</v>
      </c>
    </row>
    <row r="32" spans="1:9" x14ac:dyDescent="0.25">
      <c r="D32" s="45"/>
      <c r="E32" s="25"/>
      <c r="F32" s="57"/>
      <c r="G32" s="45"/>
    </row>
    <row r="33" spans="1:7" x14ac:dyDescent="0.25">
      <c r="A33" t="str">
        <f>+'QP-SEC'!A33</f>
        <v>Big Sandy 1 Operations Rider - Energy</v>
      </c>
      <c r="D33" s="45"/>
      <c r="E33" s="25"/>
      <c r="F33" s="54">
        <f>+'QP-SEC'!F33</f>
        <v>1.39E-3</v>
      </c>
      <c r="G33" s="45">
        <f>+F33*E14</f>
        <v>475951.11485999997</v>
      </c>
    </row>
    <row r="34" spans="1:7" x14ac:dyDescent="0.25">
      <c r="D34" s="45"/>
      <c r="E34" s="25"/>
      <c r="F34" s="57"/>
      <c r="G34" s="45"/>
    </row>
    <row r="35" spans="1:7" x14ac:dyDescent="0.25">
      <c r="A35" t="str">
        <f>+'QP-SEC'!A35</f>
        <v>Big Sandy 1 Operations Rider - Demand</v>
      </c>
      <c r="D35" s="45"/>
      <c r="E35" s="25"/>
      <c r="F35" s="57">
        <f>+'QP-SEC'!F35</f>
        <v>0.55000000000000004</v>
      </c>
      <c r="G35" s="45">
        <f>+F35*E17</f>
        <v>509985.85000000003</v>
      </c>
    </row>
    <row r="36" spans="1:7" x14ac:dyDescent="0.25">
      <c r="D36" s="45"/>
      <c r="E36" s="25"/>
      <c r="F36" s="57"/>
      <c r="G36" s="45"/>
    </row>
    <row r="37" spans="1:7" x14ac:dyDescent="0.25">
      <c r="A37" t="str">
        <f>RS!A34</f>
        <v>Big Sandy Retirement Rider</v>
      </c>
      <c r="D37" s="45"/>
      <c r="E37" s="74">
        <f>SUM(G11:G36)-G27-G45</f>
        <v>12826043.875709999</v>
      </c>
      <c r="F37" s="78">
        <f>SGS!$F$30</f>
        <v>4.9917999999999997E-2</v>
      </c>
      <c r="G37" s="45">
        <f>E37*F37</f>
        <v>640250.45818769175</v>
      </c>
    </row>
    <row r="38" spans="1:7" x14ac:dyDescent="0.25">
      <c r="D38" s="45"/>
      <c r="E38" s="25"/>
      <c r="F38" s="57"/>
      <c r="G38" s="45"/>
    </row>
    <row r="39" spans="1:7" x14ac:dyDescent="0.25">
      <c r="A39" t="str">
        <f>RS!A36</f>
        <v>Environmental Surcharge</v>
      </c>
      <c r="D39" s="45"/>
      <c r="E39" s="74">
        <f>E37</f>
        <v>12826043.875709999</v>
      </c>
      <c r="F39" s="78">
        <f>SGS!$F$32</f>
        <v>9.8901000000000003E-2</v>
      </c>
      <c r="G39" s="45">
        <f>E39*F39</f>
        <v>1268508.5653515947</v>
      </c>
    </row>
    <row r="40" spans="1:7" x14ac:dyDescent="0.25">
      <c r="D40" s="8"/>
      <c r="G40" s="8"/>
    </row>
    <row r="41" spans="1:7" x14ac:dyDescent="0.25">
      <c r="A41" t="s">
        <v>14</v>
      </c>
      <c r="D41" s="8">
        <f>SUM(D12:D39)</f>
        <v>23236396.380925223</v>
      </c>
      <c r="G41" s="8">
        <f>SUM(G12:G39)</f>
        <v>25158174.076884508</v>
      </c>
    </row>
    <row r="42" spans="1:7" x14ac:dyDescent="0.25">
      <c r="G42" s="25"/>
    </row>
    <row r="43" spans="1:7" x14ac:dyDescent="0.25">
      <c r="G43" s="25"/>
    </row>
    <row r="45" spans="1:7" x14ac:dyDescent="0.25">
      <c r="A45" s="46" t="s">
        <v>193</v>
      </c>
      <c r="F45" s="60">
        <f>SGS!$F$38</f>
        <v>2.8400000000000002E-2</v>
      </c>
      <c r="G45" s="8">
        <f>+E14*F45</f>
        <v>9724468.8216000013</v>
      </c>
    </row>
  </sheetData>
  <phoneticPr fontId="0" type="noConversion"/>
  <pageMargins left="0.75" right="0.75" top="1" bottom="1" header="0.5" footer="0.5"/>
  <pageSetup scale="83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5"/>
  <sheetViews>
    <sheetView workbookViewId="0">
      <selection activeCell="D31" sqref="D31:D39"/>
    </sheetView>
  </sheetViews>
  <sheetFormatPr defaultRowHeight="13.2" x14ac:dyDescent="0.25"/>
  <cols>
    <col min="1" max="1" width="22.109375" customWidth="1"/>
    <col min="2" max="3" width="12.33203125" customWidth="1"/>
    <col min="4" max="4" width="15.88671875" customWidth="1"/>
    <col min="5" max="5" width="16.33203125" style="21" customWidth="1"/>
    <col min="6" max="6" width="14.33203125" style="21" customWidth="1"/>
    <col min="7" max="7" width="13.88671875" style="21" customWidth="1"/>
    <col min="8" max="8" width="8.88671875" style="21" customWidth="1"/>
    <col min="9" max="9" width="11.6640625" style="21" bestFit="1" customWidth="1"/>
    <col min="10" max="10" width="8.88671875" style="21" customWidth="1"/>
  </cols>
  <sheetData>
    <row r="1" spans="1:9" x14ac:dyDescent="0.25">
      <c r="A1" t="str">
        <f>+RS!A1</f>
        <v>KENTUCKY POWER BILLING ANALYSIS</v>
      </c>
    </row>
    <row r="2" spans="1:9" x14ac:dyDescent="0.25">
      <c r="A2" t="str">
        <f>+RS!A2</f>
        <v>SETTLEMENT</v>
      </c>
    </row>
    <row r="3" spans="1:9" x14ac:dyDescent="0.25">
      <c r="A3" t="str">
        <f>+RS!A3</f>
        <v>TEST YEAR ENDED SEPTEMBER 30, 2014</v>
      </c>
    </row>
    <row r="5" spans="1:9" x14ac:dyDescent="0.25">
      <c r="A5" t="s">
        <v>68</v>
      </c>
    </row>
    <row r="8" spans="1:9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9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9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1" spans="1:9" x14ac:dyDescent="0.25">
      <c r="B11" s="1"/>
      <c r="C11" s="1"/>
      <c r="D11" s="1"/>
      <c r="E11" s="22"/>
      <c r="F11" s="22"/>
      <c r="G11" s="22"/>
    </row>
    <row r="12" spans="1:9" x14ac:dyDescent="0.25">
      <c r="A12" s="4" t="s">
        <v>8</v>
      </c>
      <c r="B12" s="59">
        <v>66309341</v>
      </c>
      <c r="C12" s="49">
        <v>3.1759999999999997E-2</v>
      </c>
      <c r="D12" s="8">
        <f>+B12*C12</f>
        <v>2105984.6701599997</v>
      </c>
      <c r="E12" s="25">
        <f>B12</f>
        <v>66309341</v>
      </c>
      <c r="F12" s="54">
        <v>3.1669999999999997E-2</v>
      </c>
      <c r="G12" s="8">
        <f>+E12*F12</f>
        <v>2100016.8294699998</v>
      </c>
      <c r="I12" s="74"/>
    </row>
    <row r="13" spans="1:9" x14ac:dyDescent="0.25">
      <c r="A13" t="s">
        <v>118</v>
      </c>
      <c r="B13" s="59">
        <v>-36624</v>
      </c>
      <c r="C13" s="52"/>
      <c r="D13" s="8"/>
      <c r="E13" s="25">
        <f>+B13</f>
        <v>-36624</v>
      </c>
      <c r="F13" s="57"/>
      <c r="G13" s="8"/>
    </row>
    <row r="14" spans="1:9" x14ac:dyDescent="0.25">
      <c r="A14" t="s">
        <v>11</v>
      </c>
      <c r="B14" s="5">
        <f>SUM(B12:B13)</f>
        <v>66272717</v>
      </c>
      <c r="C14" s="52"/>
      <c r="D14" s="8"/>
      <c r="E14" s="25">
        <f>+B14</f>
        <v>66272717</v>
      </c>
      <c r="F14" s="57"/>
      <c r="G14" s="8"/>
    </row>
    <row r="15" spans="1:9" x14ac:dyDescent="0.25">
      <c r="B15" s="5"/>
      <c r="C15" s="52"/>
      <c r="D15" s="8"/>
      <c r="E15" s="25"/>
      <c r="F15" s="57"/>
      <c r="G15" s="8"/>
    </row>
    <row r="16" spans="1:9" x14ac:dyDescent="0.25">
      <c r="A16" s="4" t="s">
        <v>56</v>
      </c>
      <c r="B16" s="5"/>
      <c r="C16" s="52"/>
      <c r="D16" s="8"/>
      <c r="E16" s="25"/>
      <c r="F16" s="57"/>
      <c r="G16" s="8"/>
    </row>
    <row r="17" spans="1:7" x14ac:dyDescent="0.25">
      <c r="A17" t="s">
        <v>47</v>
      </c>
      <c r="B17" s="59">
        <v>145830</v>
      </c>
      <c r="C17" s="52">
        <v>9</v>
      </c>
      <c r="D17" s="8">
        <f>+B17*C17</f>
        <v>1312470</v>
      </c>
      <c r="E17" s="25">
        <f>+B17</f>
        <v>145830</v>
      </c>
      <c r="F17" s="57">
        <v>9.75</v>
      </c>
      <c r="G17" s="8">
        <f>+E17*F17</f>
        <v>1421842.5</v>
      </c>
    </row>
    <row r="18" spans="1:7" x14ac:dyDescent="0.25">
      <c r="A18" t="s">
        <v>65</v>
      </c>
      <c r="B18" s="59">
        <v>2250</v>
      </c>
      <c r="C18" s="52">
        <v>1.1000000000000001</v>
      </c>
      <c r="D18" s="8">
        <f>+B18*C18</f>
        <v>2475</v>
      </c>
      <c r="E18" s="25">
        <f>+B18</f>
        <v>2250</v>
      </c>
      <c r="F18" s="57"/>
      <c r="G18" s="8"/>
    </row>
    <row r="19" spans="1:7" x14ac:dyDescent="0.25">
      <c r="A19" t="s">
        <v>48</v>
      </c>
      <c r="B19" s="59"/>
      <c r="C19" s="52"/>
      <c r="D19" s="8"/>
      <c r="E19" s="59">
        <v>142365</v>
      </c>
      <c r="F19" s="57">
        <v>1.04</v>
      </c>
      <c r="G19" s="8">
        <f>+E19*F19</f>
        <v>148059.6</v>
      </c>
    </row>
    <row r="20" spans="1:7" x14ac:dyDescent="0.25">
      <c r="B20" s="59"/>
      <c r="C20" s="52"/>
      <c r="D20" s="8"/>
      <c r="E20" s="25"/>
      <c r="F20" s="57"/>
      <c r="G20" s="8"/>
    </row>
    <row r="21" spans="1:7" x14ac:dyDescent="0.25">
      <c r="A21" t="s">
        <v>66</v>
      </c>
      <c r="B21" s="59">
        <v>76675</v>
      </c>
      <c r="C21" s="52">
        <v>0.69</v>
      </c>
      <c r="D21" s="8">
        <f>+B21*C21</f>
        <v>52905.749999999993</v>
      </c>
      <c r="E21" s="25">
        <f>+B21</f>
        <v>76675</v>
      </c>
      <c r="F21" s="57">
        <v>0.69</v>
      </c>
      <c r="G21" s="8">
        <f>+E21*F21</f>
        <v>52905.749999999993</v>
      </c>
    </row>
    <row r="22" spans="1:7" x14ac:dyDescent="0.25">
      <c r="B22" s="59"/>
      <c r="C22" s="52"/>
      <c r="D22" s="8"/>
      <c r="E22" s="25"/>
      <c r="F22" s="57"/>
      <c r="G22" s="8"/>
    </row>
    <row r="23" spans="1:7" x14ac:dyDescent="0.25">
      <c r="A23" t="s">
        <v>12</v>
      </c>
      <c r="B23" s="59">
        <v>60</v>
      </c>
      <c r="C23" s="52">
        <v>1353</v>
      </c>
      <c r="D23" s="8">
        <f>+B23*C23</f>
        <v>81180</v>
      </c>
      <c r="E23" s="25">
        <f>+B23</f>
        <v>60</v>
      </c>
      <c r="F23" s="57">
        <v>1353</v>
      </c>
      <c r="G23" s="8">
        <f>+E23*F23</f>
        <v>81180</v>
      </c>
    </row>
    <row r="24" spans="1:7" x14ac:dyDescent="0.25">
      <c r="B24" s="59"/>
      <c r="C24" s="52"/>
      <c r="D24" s="8"/>
      <c r="E24" s="25"/>
      <c r="F24" s="57"/>
      <c r="G24" s="8"/>
    </row>
    <row r="25" spans="1:7" x14ac:dyDescent="0.25">
      <c r="A25" t="s">
        <v>13</v>
      </c>
      <c r="B25" s="59">
        <v>60</v>
      </c>
      <c r="C25" s="52"/>
      <c r="D25" s="8"/>
      <c r="E25" s="25">
        <f>+B25</f>
        <v>60</v>
      </c>
      <c r="F25" s="57"/>
      <c r="G25" s="8"/>
    </row>
    <row r="26" spans="1:7" x14ac:dyDescent="0.25">
      <c r="C26" s="52"/>
      <c r="D26" s="8"/>
      <c r="F26" s="57"/>
      <c r="G26" s="8"/>
    </row>
    <row r="27" spans="1:7" x14ac:dyDescent="0.25">
      <c r="A27" t="str">
        <f>+RS!A$26</f>
        <v xml:space="preserve">Fuel </v>
      </c>
      <c r="C27" s="11">
        <f>+RS!C26</f>
        <v>2.0411219651722302E-3</v>
      </c>
      <c r="D27" s="8">
        <f>+B14*C27</f>
        <v>135270.69836034309</v>
      </c>
      <c r="F27" s="60">
        <f>+RS!F26</f>
        <v>2.0411219651722302E-3</v>
      </c>
      <c r="G27" s="8">
        <f>+E14*F27</f>
        <v>135270.69836034309</v>
      </c>
    </row>
    <row r="28" spans="1:7" x14ac:dyDescent="0.25">
      <c r="D28" s="8"/>
      <c r="G28" s="8"/>
    </row>
    <row r="29" spans="1:7" x14ac:dyDescent="0.25">
      <c r="A29" t="str">
        <f>+RS!A$28</f>
        <v>Asset Transfer Rider</v>
      </c>
      <c r="D29" s="45">
        <f>+ATR!D38</f>
        <v>369295.99</v>
      </c>
      <c r="G29" s="45"/>
    </row>
    <row r="30" spans="1:7" x14ac:dyDescent="0.25">
      <c r="D30" s="45"/>
      <c r="G30" s="45"/>
    </row>
    <row r="31" spans="1:7" x14ac:dyDescent="0.25">
      <c r="A31" t="str">
        <f>RS!A30</f>
        <v>Economic Development Rider</v>
      </c>
      <c r="D31" s="45"/>
      <c r="E31" s="25">
        <f>E23</f>
        <v>60</v>
      </c>
      <c r="F31" s="57">
        <f>RS!F30</f>
        <v>0.15</v>
      </c>
      <c r="G31" s="45">
        <f>E31*F31</f>
        <v>9</v>
      </c>
    </row>
    <row r="32" spans="1:7" x14ac:dyDescent="0.25">
      <c r="D32" s="45"/>
      <c r="E32" s="25"/>
      <c r="F32" s="57"/>
      <c r="G32" s="45"/>
    </row>
    <row r="33" spans="1:7" x14ac:dyDescent="0.25">
      <c r="A33" t="str">
        <f>+'QP-SEC'!A33</f>
        <v>Big Sandy 1 Operations Rider - Energy</v>
      </c>
      <c r="D33" s="45"/>
      <c r="E33" s="25"/>
      <c r="F33" s="54">
        <f>+'QP-SEC'!F33</f>
        <v>1.39E-3</v>
      </c>
      <c r="G33" s="45">
        <f>+F33*E14</f>
        <v>92119.076629999996</v>
      </c>
    </row>
    <row r="34" spans="1:7" x14ac:dyDescent="0.25">
      <c r="D34" s="45"/>
      <c r="E34" s="25"/>
      <c r="F34" s="57"/>
      <c r="G34" s="45"/>
    </row>
    <row r="35" spans="1:7" x14ac:dyDescent="0.25">
      <c r="A35" t="str">
        <f>+'QP-SEC'!A35</f>
        <v>Big Sandy 1 Operations Rider - Demand</v>
      </c>
      <c r="D35" s="45"/>
      <c r="E35" s="25"/>
      <c r="F35" s="57">
        <f>+'QP-SEC'!F35</f>
        <v>0.55000000000000004</v>
      </c>
      <c r="G35" s="45">
        <f>+F35*E17</f>
        <v>80206.5</v>
      </c>
    </row>
    <row r="36" spans="1:7" x14ac:dyDescent="0.25">
      <c r="D36" s="45"/>
      <c r="E36" s="25"/>
      <c r="F36" s="57"/>
      <c r="G36" s="45"/>
    </row>
    <row r="37" spans="1:7" x14ac:dyDescent="0.25">
      <c r="A37" t="str">
        <f>RS!A34</f>
        <v>Big Sandy Retirement Rider</v>
      </c>
      <c r="D37" s="45"/>
      <c r="E37" s="74">
        <f>SUM(G11:G36)-G27-G45</f>
        <v>2094194.0932999998</v>
      </c>
      <c r="F37" s="78">
        <f>SGS!$F$30</f>
        <v>4.9917999999999997E-2</v>
      </c>
      <c r="G37" s="45">
        <f>E37*F37</f>
        <v>104537.98074934939</v>
      </c>
    </row>
    <row r="38" spans="1:7" x14ac:dyDescent="0.25">
      <c r="D38" s="45"/>
      <c r="E38" s="25"/>
      <c r="F38" s="57"/>
      <c r="G38" s="45"/>
    </row>
    <row r="39" spans="1:7" x14ac:dyDescent="0.25">
      <c r="A39" t="str">
        <f>RS!A36</f>
        <v>Environmental Surcharge</v>
      </c>
      <c r="D39" s="45"/>
      <c r="E39" s="74">
        <f>E37</f>
        <v>2094194.0932999998</v>
      </c>
      <c r="F39" s="78">
        <f>SGS!$F$32</f>
        <v>9.8901000000000003E-2</v>
      </c>
      <c r="G39" s="45">
        <f>E39*F39</f>
        <v>207117.8900214633</v>
      </c>
    </row>
    <row r="40" spans="1:7" x14ac:dyDescent="0.25">
      <c r="D40" s="8"/>
      <c r="G40" s="8"/>
    </row>
    <row r="41" spans="1:7" x14ac:dyDescent="0.25">
      <c r="A41" t="s">
        <v>14</v>
      </c>
      <c r="D41" s="8">
        <f>SUM(D12:D39)</f>
        <v>4059582.108520343</v>
      </c>
      <c r="G41" s="8">
        <f>SUM(G12:G39)</f>
        <v>4423265.8252311554</v>
      </c>
    </row>
    <row r="42" spans="1:7" x14ac:dyDescent="0.25">
      <c r="G42" s="25"/>
    </row>
    <row r="45" spans="1:7" x14ac:dyDescent="0.25">
      <c r="A45" s="46" t="s">
        <v>193</v>
      </c>
      <c r="F45" s="60">
        <f>SGS!$F$38</f>
        <v>2.8400000000000002E-2</v>
      </c>
      <c r="G45" s="8">
        <f>+E14*F45</f>
        <v>1882145.1628</v>
      </c>
    </row>
  </sheetData>
  <phoneticPr fontId="0" type="noConversion"/>
  <pageMargins left="0.75" right="0.75" top="1" bottom="1" header="0.5" footer="0.5"/>
  <pageSetup scale="83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6"/>
  <sheetViews>
    <sheetView workbookViewId="0">
      <selection activeCell="D32" sqref="D32:D40"/>
    </sheetView>
  </sheetViews>
  <sheetFormatPr defaultRowHeight="13.2" x14ac:dyDescent="0.25"/>
  <cols>
    <col min="1" max="1" width="23.33203125" customWidth="1"/>
    <col min="2" max="2" width="14.44140625" customWidth="1"/>
    <col min="3" max="3" width="14.109375" customWidth="1"/>
    <col min="4" max="4" width="16.33203125" customWidth="1"/>
    <col min="5" max="5" width="16.33203125" style="21" customWidth="1"/>
    <col min="6" max="6" width="13.33203125" style="21" customWidth="1"/>
    <col min="7" max="7" width="17.8867187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69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9" t="s">
        <v>8</v>
      </c>
      <c r="B12" s="59">
        <v>1764053671</v>
      </c>
      <c r="C12" s="67">
        <v>2.9059999999999999E-2</v>
      </c>
      <c r="D12" s="8">
        <f>+B12*C12</f>
        <v>51263399.679260001</v>
      </c>
      <c r="E12" s="25">
        <f>+B12</f>
        <v>1764053671</v>
      </c>
      <c r="F12" s="65">
        <f>'QP-SUB'!F12</f>
        <v>3.2050000000000002E-2</v>
      </c>
      <c r="G12" s="8">
        <f>+E12*F12</f>
        <v>56537920.155550003</v>
      </c>
    </row>
    <row r="13" spans="1:7" x14ac:dyDescent="0.25">
      <c r="C13" s="46"/>
      <c r="D13" s="8"/>
      <c r="E13" s="25"/>
      <c r="F13" s="56"/>
      <c r="G13" s="8"/>
    </row>
    <row r="14" spans="1:7" x14ac:dyDescent="0.25">
      <c r="A14" t="s">
        <v>11</v>
      </c>
      <c r="B14" s="5">
        <f>B12</f>
        <v>1764053671</v>
      </c>
      <c r="C14" s="46"/>
      <c r="D14" s="8"/>
      <c r="E14" s="25">
        <f>+B14</f>
        <v>1764053671</v>
      </c>
      <c r="F14" s="56"/>
      <c r="G14" s="8"/>
    </row>
    <row r="15" spans="1:7" x14ac:dyDescent="0.25">
      <c r="C15" s="46"/>
      <c r="D15" s="8"/>
      <c r="E15" s="25"/>
      <c r="F15" s="56"/>
      <c r="G15" s="8"/>
    </row>
    <row r="16" spans="1:7" x14ac:dyDescent="0.25">
      <c r="A16" s="4" t="s">
        <v>56</v>
      </c>
      <c r="C16" s="46"/>
      <c r="D16" s="8"/>
      <c r="E16" s="25"/>
      <c r="F16" s="56"/>
      <c r="G16" s="8"/>
    </row>
    <row r="17" spans="1:7" x14ac:dyDescent="0.25">
      <c r="A17" t="s">
        <v>47</v>
      </c>
      <c r="B17" s="59">
        <v>2915472</v>
      </c>
      <c r="C17" s="64">
        <v>12.06</v>
      </c>
      <c r="D17" s="8">
        <f>+B17*C17</f>
        <v>35160592.32</v>
      </c>
      <c r="E17" s="25">
        <f>+B17</f>
        <v>2915472</v>
      </c>
      <c r="F17" s="66">
        <f>'QP-SUB'!F17</f>
        <v>10.02</v>
      </c>
      <c r="G17" s="8">
        <f>+E17*F17</f>
        <v>29213029.439999998</v>
      </c>
    </row>
    <row r="18" spans="1:7" x14ac:dyDescent="0.25">
      <c r="A18" t="s">
        <v>70</v>
      </c>
      <c r="B18" s="59">
        <v>3028911</v>
      </c>
      <c r="C18" s="64">
        <v>1.2</v>
      </c>
      <c r="D18" s="8">
        <f>+B18*C18</f>
        <v>3634693.1999999997</v>
      </c>
      <c r="E18" s="25">
        <f>+B18</f>
        <v>3028911</v>
      </c>
      <c r="F18" s="66">
        <f>'QP-SUB'!F19</f>
        <v>1.05</v>
      </c>
      <c r="G18" s="8">
        <f>+E18*F18</f>
        <v>3180356.5500000003</v>
      </c>
    </row>
    <row r="19" spans="1:7" x14ac:dyDescent="0.25">
      <c r="A19" t="s">
        <v>71</v>
      </c>
      <c r="B19" s="59">
        <v>87948</v>
      </c>
      <c r="C19" s="64">
        <v>12.17</v>
      </c>
      <c r="D19" s="8">
        <f>+B19*C19</f>
        <v>1070327.1599999999</v>
      </c>
      <c r="E19" s="25">
        <f>+B19</f>
        <v>87948</v>
      </c>
      <c r="F19" s="66">
        <v>11.32</v>
      </c>
      <c r="G19" s="8">
        <f>+E19*F19</f>
        <v>995571.36</v>
      </c>
    </row>
    <row r="20" spans="1:7" x14ac:dyDescent="0.25">
      <c r="A20" t="s">
        <v>121</v>
      </c>
      <c r="B20" s="59">
        <v>0</v>
      </c>
      <c r="C20" s="64"/>
      <c r="D20" s="8"/>
      <c r="E20" s="25">
        <f>+B20</f>
        <v>0</v>
      </c>
      <c r="F20" s="66"/>
      <c r="G20" s="8"/>
    </row>
    <row r="21" spans="1:7" x14ac:dyDescent="0.25">
      <c r="B21" s="56"/>
      <c r="C21" s="64"/>
      <c r="D21" s="8"/>
      <c r="E21" s="25"/>
      <c r="F21" s="66"/>
      <c r="G21" s="8"/>
    </row>
    <row r="22" spans="1:7" x14ac:dyDescent="0.25">
      <c r="A22" t="s">
        <v>66</v>
      </c>
      <c r="B22" s="59">
        <v>202954</v>
      </c>
      <c r="C22" s="64">
        <v>0.69</v>
      </c>
      <c r="D22" s="8">
        <f>+B22*C22</f>
        <v>140038.25999999998</v>
      </c>
      <c r="E22" s="25">
        <f>+B22</f>
        <v>202954</v>
      </c>
      <c r="F22" s="66">
        <f>'QP-SUB'!F21</f>
        <v>0.69</v>
      </c>
      <c r="G22" s="8">
        <f>+E22*F22</f>
        <v>140038.25999999998</v>
      </c>
    </row>
    <row r="23" spans="1:7" x14ac:dyDescent="0.25">
      <c r="B23" s="56"/>
      <c r="C23" s="68"/>
      <c r="D23" s="8"/>
      <c r="E23" s="25"/>
      <c r="F23" s="69"/>
      <c r="G23" s="8"/>
    </row>
    <row r="24" spans="1:7" x14ac:dyDescent="0.25">
      <c r="A24" t="s">
        <v>12</v>
      </c>
      <c r="B24" s="59">
        <v>107</v>
      </c>
      <c r="C24" s="64">
        <v>794</v>
      </c>
      <c r="D24" s="8">
        <f>+B24*C24</f>
        <v>84958</v>
      </c>
      <c r="E24" s="25">
        <f>+B24</f>
        <v>107</v>
      </c>
      <c r="F24" s="66">
        <f>'QP-SUB'!F23</f>
        <v>794</v>
      </c>
      <c r="G24" s="8">
        <f>+E24*F24</f>
        <v>84958</v>
      </c>
    </row>
    <row r="25" spans="1:7" x14ac:dyDescent="0.25">
      <c r="B25" s="56"/>
      <c r="C25" s="46"/>
      <c r="D25" s="8"/>
      <c r="E25" s="25"/>
      <c r="F25" s="56"/>
      <c r="G25" s="8"/>
    </row>
    <row r="26" spans="1:7" x14ac:dyDescent="0.25">
      <c r="A26" t="s">
        <v>72</v>
      </c>
      <c r="B26" s="59">
        <v>108</v>
      </c>
      <c r="C26" s="46"/>
      <c r="D26" s="8"/>
      <c r="E26" s="25">
        <f>+B26</f>
        <v>108</v>
      </c>
      <c r="F26" s="56"/>
      <c r="G26" s="8"/>
    </row>
    <row r="27" spans="1:7" x14ac:dyDescent="0.25">
      <c r="C27" s="46"/>
      <c r="D27" s="8"/>
      <c r="E27" s="25"/>
      <c r="F27" s="56"/>
      <c r="G27" s="8"/>
    </row>
    <row r="28" spans="1:7" x14ac:dyDescent="0.25">
      <c r="A28" t="str">
        <f>+RS!A$26</f>
        <v xml:space="preserve">Fuel </v>
      </c>
      <c r="C28" s="63">
        <f>+RS!C26</f>
        <v>2.0411219651722302E-3</v>
      </c>
      <c r="D28" s="8">
        <f>+B14*C28</f>
        <v>3600648.6956208069</v>
      </c>
      <c r="E28" s="25"/>
      <c r="F28" s="60">
        <f>+RS!F26</f>
        <v>2.0411219651722302E-3</v>
      </c>
      <c r="G28" s="8">
        <f>+E14*F28</f>
        <v>3600648.6956208069</v>
      </c>
    </row>
    <row r="29" spans="1:7" x14ac:dyDescent="0.25">
      <c r="D29" s="8"/>
      <c r="G29" s="8"/>
    </row>
    <row r="30" spans="1:7" x14ac:dyDescent="0.25">
      <c r="A30" t="str">
        <f>+RS!A$28</f>
        <v>Asset Transfer Rider</v>
      </c>
      <c r="D30" s="45">
        <f>+ATR!D41</f>
        <v>6060400.3700000001</v>
      </c>
      <c r="G30" s="45"/>
    </row>
    <row r="31" spans="1:7" x14ac:dyDescent="0.25">
      <c r="D31" s="45"/>
      <c r="G31" s="45"/>
    </row>
    <row r="32" spans="1:7" x14ac:dyDescent="0.25">
      <c r="A32" t="str">
        <f>RS!A30</f>
        <v>Economic Development Rider</v>
      </c>
      <c r="D32" s="45"/>
      <c r="E32" s="25">
        <f>E24</f>
        <v>107</v>
      </c>
      <c r="F32" s="66">
        <f>RS!F30</f>
        <v>0.15</v>
      </c>
      <c r="G32" s="45">
        <f>E32*F32</f>
        <v>16.05</v>
      </c>
    </row>
    <row r="33" spans="1:7" x14ac:dyDescent="0.25">
      <c r="D33" s="45"/>
      <c r="E33" s="25"/>
      <c r="F33" s="66"/>
      <c r="G33" s="45"/>
    </row>
    <row r="34" spans="1:7" x14ac:dyDescent="0.25">
      <c r="A34" t="str">
        <f>+'QP-SEC'!A33</f>
        <v>Big Sandy 1 Operations Rider - Energy</v>
      </c>
      <c r="D34" s="45"/>
      <c r="E34" s="25"/>
      <c r="F34" s="65">
        <f>+'QP-SEC'!F33</f>
        <v>1.39E-3</v>
      </c>
      <c r="G34" s="45">
        <f>+F34*E14</f>
        <v>2452034.6026900001</v>
      </c>
    </row>
    <row r="35" spans="1:7" x14ac:dyDescent="0.25">
      <c r="D35" s="45"/>
      <c r="E35" s="25"/>
      <c r="F35" s="66"/>
      <c r="G35" s="45"/>
    </row>
    <row r="36" spans="1:7" x14ac:dyDescent="0.25">
      <c r="A36" t="str">
        <f>+'QP-SEC'!A35</f>
        <v>Big Sandy 1 Operations Rider - Demand</v>
      </c>
      <c r="D36" s="45"/>
      <c r="E36" s="25"/>
      <c r="F36" s="66">
        <f>+'QP-SEC'!F35</f>
        <v>0.55000000000000004</v>
      </c>
      <c r="G36" s="45">
        <f>+F36*(E17+E19)</f>
        <v>1651881.0000000002</v>
      </c>
    </row>
    <row r="37" spans="1:7" x14ac:dyDescent="0.25">
      <c r="D37" s="45"/>
      <c r="E37" s="25"/>
      <c r="F37" s="66"/>
      <c r="G37" s="45"/>
    </row>
    <row r="38" spans="1:7" x14ac:dyDescent="0.25">
      <c r="A38" t="str">
        <f>RS!A34</f>
        <v>Big Sandy Retirement Rider</v>
      </c>
      <c r="D38" s="45"/>
      <c r="E38" s="74">
        <f>SUM(G12:G37)-G28-G46</f>
        <v>44156681.161839992</v>
      </c>
      <c r="F38" s="78">
        <f>SGS!$F$30</f>
        <v>4.9917999999999997E-2</v>
      </c>
      <c r="G38" s="45">
        <f>E38*F38</f>
        <v>2204213.2102367287</v>
      </c>
    </row>
    <row r="39" spans="1:7" x14ac:dyDescent="0.25">
      <c r="D39" s="45"/>
      <c r="E39" s="25"/>
      <c r="F39" s="57"/>
      <c r="G39" s="45"/>
    </row>
    <row r="40" spans="1:7" x14ac:dyDescent="0.25">
      <c r="A40" t="str">
        <f>+RS!A$36</f>
        <v>Environmental Surcharge</v>
      </c>
      <c r="D40" s="45"/>
      <c r="E40" s="74">
        <f>E38</f>
        <v>44156681.161839992</v>
      </c>
      <c r="F40" s="78">
        <f>SGS!$F$32</f>
        <v>9.8901000000000003E-2</v>
      </c>
      <c r="G40" s="45">
        <f>E40*F40</f>
        <v>4367139.9235871369</v>
      </c>
    </row>
    <row r="41" spans="1:7" x14ac:dyDescent="0.25">
      <c r="D41" s="8"/>
      <c r="G41" s="8"/>
    </row>
    <row r="42" spans="1:7" x14ac:dyDescent="0.25">
      <c r="A42" t="s">
        <v>14</v>
      </c>
      <c r="D42" s="8">
        <f>SUM(D12:D40)</f>
        <v>101015057.68488082</v>
      </c>
      <c r="G42" s="8">
        <f>SUM(G12:G40)</f>
        <v>104427807.24768467</v>
      </c>
    </row>
    <row r="43" spans="1:7" x14ac:dyDescent="0.25">
      <c r="G43" s="25"/>
    </row>
    <row r="44" spans="1:7" x14ac:dyDescent="0.25">
      <c r="G44" s="25"/>
    </row>
    <row r="46" spans="1:7" x14ac:dyDescent="0.25">
      <c r="A46" s="46" t="s">
        <v>193</v>
      </c>
      <c r="F46" s="60">
        <f>SGS!$F$38</f>
        <v>2.8400000000000002E-2</v>
      </c>
      <c r="G46" s="8">
        <f>+E14*F46</f>
        <v>50099124.256400004</v>
      </c>
    </row>
  </sheetData>
  <phoneticPr fontId="0" type="noConversion"/>
  <pageMargins left="0.75" right="0.75" top="1" bottom="1" header="0.5" footer="0.5"/>
  <pageSetup scale="82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46"/>
  <sheetViews>
    <sheetView workbookViewId="0">
      <selection activeCell="D32" sqref="D32:D40"/>
    </sheetView>
  </sheetViews>
  <sheetFormatPr defaultRowHeight="13.2" x14ac:dyDescent="0.25"/>
  <cols>
    <col min="1" max="1" width="21.6640625" customWidth="1"/>
    <col min="2" max="2" width="15" customWidth="1"/>
    <col min="3" max="3" width="11.6640625" customWidth="1"/>
    <col min="4" max="4" width="14" customWidth="1"/>
    <col min="5" max="5" width="16.33203125" style="21" customWidth="1"/>
    <col min="6" max="6" width="14.6640625" style="21" customWidth="1"/>
    <col min="7" max="7" width="16.10937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73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9" t="s">
        <v>8</v>
      </c>
      <c r="B12" s="59">
        <v>292348340</v>
      </c>
      <c r="C12" s="67">
        <v>2.8799999999999999E-2</v>
      </c>
      <c r="D12" s="8">
        <f>+B12*C12</f>
        <v>8419632.1919999998</v>
      </c>
      <c r="E12" s="25">
        <f>+B12</f>
        <v>292348340</v>
      </c>
      <c r="F12" s="65">
        <f>'QP-TRAN'!F12</f>
        <v>3.1669999999999997E-2</v>
      </c>
      <c r="G12" s="8">
        <f>+E12*F12</f>
        <v>9258671.9277999997</v>
      </c>
    </row>
    <row r="13" spans="1:7" x14ac:dyDescent="0.25">
      <c r="B13" s="5"/>
      <c r="C13" s="46"/>
      <c r="D13" s="8"/>
      <c r="E13" s="25"/>
      <c r="F13" s="56"/>
      <c r="G13" s="8"/>
    </row>
    <row r="14" spans="1:7" x14ac:dyDescent="0.25">
      <c r="A14" t="s">
        <v>11</v>
      </c>
      <c r="B14" s="5">
        <f>B12</f>
        <v>292348340</v>
      </c>
      <c r="C14" s="46"/>
      <c r="D14" s="8"/>
      <c r="E14" s="25">
        <f>+B14</f>
        <v>292348340</v>
      </c>
      <c r="F14" s="56"/>
      <c r="G14" s="8"/>
    </row>
    <row r="15" spans="1:7" x14ac:dyDescent="0.25">
      <c r="B15" s="5"/>
      <c r="C15" s="46"/>
      <c r="D15" s="8"/>
      <c r="E15" s="25"/>
      <c r="F15" s="56"/>
      <c r="G15" s="8"/>
    </row>
    <row r="16" spans="1:7" x14ac:dyDescent="0.25">
      <c r="A16" s="4" t="s">
        <v>56</v>
      </c>
      <c r="B16" s="5"/>
      <c r="C16" s="46"/>
      <c r="D16" s="8"/>
      <c r="E16" s="25"/>
      <c r="F16" s="56"/>
      <c r="G16" s="8"/>
    </row>
    <row r="17" spans="1:7" x14ac:dyDescent="0.25">
      <c r="A17" t="s">
        <v>47</v>
      </c>
      <c r="B17" s="59">
        <v>428879</v>
      </c>
      <c r="C17" s="64">
        <v>10.98</v>
      </c>
      <c r="D17" s="8">
        <f>+B17*C17</f>
        <v>4709091.42</v>
      </c>
      <c r="E17" s="25">
        <f>+B17</f>
        <v>428879</v>
      </c>
      <c r="F17" s="66">
        <f>'QP-TRAN'!F17</f>
        <v>9.75</v>
      </c>
      <c r="G17" s="8">
        <f>+E17*F17</f>
        <v>4181570.25</v>
      </c>
    </row>
    <row r="18" spans="1:7" x14ac:dyDescent="0.25">
      <c r="A18" t="s">
        <v>70</v>
      </c>
      <c r="B18" s="59">
        <v>414632</v>
      </c>
      <c r="C18" s="64">
        <v>1.1000000000000001</v>
      </c>
      <c r="D18" s="8">
        <f>+B18*C18</f>
        <v>456095.2</v>
      </c>
      <c r="E18" s="25">
        <f>+B18</f>
        <v>414632</v>
      </c>
      <c r="F18" s="66">
        <f>'QP-TRAN'!F19</f>
        <v>1.04</v>
      </c>
      <c r="G18" s="8">
        <f>+E18*F18</f>
        <v>431217.28</v>
      </c>
    </row>
    <row r="19" spans="1:7" x14ac:dyDescent="0.25">
      <c r="A19" t="s">
        <v>71</v>
      </c>
      <c r="B19" s="59">
        <v>124559</v>
      </c>
      <c r="C19" s="64">
        <v>11.09</v>
      </c>
      <c r="D19" s="8">
        <f>+B19*C19</f>
        <v>1381359.31</v>
      </c>
      <c r="E19" s="25">
        <f>+B19</f>
        <v>124559</v>
      </c>
      <c r="F19" s="66">
        <v>11.03</v>
      </c>
      <c r="G19" s="8">
        <f>+E19*F19</f>
        <v>1373885.77</v>
      </c>
    </row>
    <row r="20" spans="1:7" x14ac:dyDescent="0.25">
      <c r="A20" t="s">
        <v>121</v>
      </c>
      <c r="B20" s="59">
        <v>0</v>
      </c>
      <c r="C20" s="64"/>
      <c r="D20" s="8"/>
      <c r="E20" s="25">
        <f>+B20</f>
        <v>0</v>
      </c>
      <c r="F20" s="66"/>
      <c r="G20" s="8"/>
    </row>
    <row r="21" spans="1:7" x14ac:dyDescent="0.25">
      <c r="B21" s="59"/>
      <c r="C21" s="64"/>
      <c r="D21" s="8"/>
      <c r="E21" s="25"/>
      <c r="F21" s="66"/>
      <c r="G21" s="8"/>
    </row>
    <row r="22" spans="1:7" x14ac:dyDescent="0.25">
      <c r="A22" t="s">
        <v>66</v>
      </c>
      <c r="B22" s="59">
        <v>20478</v>
      </c>
      <c r="C22" s="64">
        <v>0.69</v>
      </c>
      <c r="D22" s="8">
        <f>+B22*C22</f>
        <v>14129.82</v>
      </c>
      <c r="E22" s="25">
        <f>+B22</f>
        <v>20478</v>
      </c>
      <c r="F22" s="66">
        <f>'QP-TRAN'!F21</f>
        <v>0.69</v>
      </c>
      <c r="G22" s="8">
        <f>+E22*F22</f>
        <v>14129.82</v>
      </c>
    </row>
    <row r="23" spans="1:7" x14ac:dyDescent="0.25">
      <c r="B23" s="59"/>
      <c r="C23" s="68"/>
      <c r="D23" s="8"/>
      <c r="E23" s="25"/>
      <c r="F23" s="69"/>
      <c r="G23" s="8"/>
    </row>
    <row r="24" spans="1:7" x14ac:dyDescent="0.25">
      <c r="A24" t="s">
        <v>12</v>
      </c>
      <c r="B24" s="59">
        <v>24</v>
      </c>
      <c r="C24" s="64">
        <v>1353</v>
      </c>
      <c r="D24" s="8">
        <f>+B24*C24</f>
        <v>32472</v>
      </c>
      <c r="E24" s="25">
        <f>+B24</f>
        <v>24</v>
      </c>
      <c r="F24" s="66">
        <f>'QP-TRAN'!F23</f>
        <v>1353</v>
      </c>
      <c r="G24" s="8">
        <f>+E24*F24</f>
        <v>32472</v>
      </c>
    </row>
    <row r="25" spans="1:7" x14ac:dyDescent="0.25">
      <c r="B25" s="59"/>
      <c r="C25" s="46"/>
      <c r="D25" s="8"/>
      <c r="E25" s="25"/>
      <c r="F25" s="56"/>
      <c r="G25" s="8"/>
    </row>
    <row r="26" spans="1:7" x14ac:dyDescent="0.25">
      <c r="A26" t="s">
        <v>13</v>
      </c>
      <c r="B26" s="59">
        <v>24</v>
      </c>
      <c r="C26" s="46"/>
      <c r="D26" s="8"/>
      <c r="E26" s="25">
        <f>+B26</f>
        <v>24</v>
      </c>
      <c r="F26" s="56"/>
      <c r="G26" s="8"/>
    </row>
    <row r="27" spans="1:7" x14ac:dyDescent="0.25">
      <c r="C27" s="46"/>
      <c r="D27" s="8"/>
      <c r="E27" s="25"/>
      <c r="F27" s="56"/>
      <c r="G27" s="8"/>
    </row>
    <row r="28" spans="1:7" x14ac:dyDescent="0.25">
      <c r="A28" t="str">
        <f>+RS!A$26</f>
        <v xml:space="preserve">Fuel </v>
      </c>
      <c r="C28" s="63">
        <f>+RS!C26</f>
        <v>2.0411219651722302E-3</v>
      </c>
      <c r="D28" s="8">
        <f>+B14*C28</f>
        <v>596718.61825563933</v>
      </c>
      <c r="F28" s="60">
        <f>+RS!F26</f>
        <v>2.0411219651722302E-3</v>
      </c>
      <c r="G28" s="8">
        <f>+E14*F28</f>
        <v>596718.61825563933</v>
      </c>
    </row>
    <row r="29" spans="1:7" x14ac:dyDescent="0.25">
      <c r="D29" s="8"/>
      <c r="G29" s="8"/>
    </row>
    <row r="30" spans="1:7" x14ac:dyDescent="0.25">
      <c r="A30" t="str">
        <f>+RS!A$28</f>
        <v>Asset Transfer Rider</v>
      </c>
      <c r="D30" s="45">
        <f>+ATR!D42</f>
        <v>798685</v>
      </c>
      <c r="G30" s="45"/>
    </row>
    <row r="31" spans="1:7" x14ac:dyDescent="0.25">
      <c r="D31" s="45"/>
      <c r="G31" s="45"/>
    </row>
    <row r="32" spans="1:7" x14ac:dyDescent="0.25">
      <c r="A32" t="str">
        <f>RS!A30</f>
        <v>Economic Development Rider</v>
      </c>
      <c r="D32" s="45"/>
      <c r="E32" s="25">
        <f>E24</f>
        <v>24</v>
      </c>
      <c r="F32" s="66">
        <f>RS!F30</f>
        <v>0.15</v>
      </c>
      <c r="G32" s="45">
        <f>E32*F32</f>
        <v>3.5999999999999996</v>
      </c>
    </row>
    <row r="33" spans="1:7" x14ac:dyDescent="0.25">
      <c r="D33" s="45"/>
      <c r="E33" s="25"/>
      <c r="F33" s="66"/>
      <c r="G33" s="45"/>
    </row>
    <row r="34" spans="1:7" x14ac:dyDescent="0.25">
      <c r="A34" t="str">
        <f>+'QP-SEC'!A33</f>
        <v>Big Sandy 1 Operations Rider - Energy</v>
      </c>
      <c r="D34" s="45"/>
      <c r="E34" s="25"/>
      <c r="F34" s="65">
        <f>+'QP-SEC'!F33</f>
        <v>1.39E-3</v>
      </c>
      <c r="G34" s="45">
        <f>+F34*E14</f>
        <v>406364.19260000001</v>
      </c>
    </row>
    <row r="35" spans="1:7" x14ac:dyDescent="0.25">
      <c r="D35" s="45"/>
      <c r="E35" s="25"/>
      <c r="F35" s="66"/>
      <c r="G35" s="45"/>
    </row>
    <row r="36" spans="1:7" x14ac:dyDescent="0.25">
      <c r="A36" t="str">
        <f>+'QP-SEC'!A35</f>
        <v>Big Sandy 1 Operations Rider - Demand</v>
      </c>
      <c r="D36" s="45"/>
      <c r="E36" s="25"/>
      <c r="F36" s="66">
        <f>+'QP-SEC'!F35</f>
        <v>0.55000000000000004</v>
      </c>
      <c r="G36" s="45">
        <f>+F36*(E17+E19)</f>
        <v>304390.90000000002</v>
      </c>
    </row>
    <row r="37" spans="1:7" x14ac:dyDescent="0.25">
      <c r="D37" s="45"/>
      <c r="E37" s="25"/>
      <c r="F37" s="66"/>
      <c r="G37" s="45"/>
    </row>
    <row r="38" spans="1:7" x14ac:dyDescent="0.25">
      <c r="A38" t="str">
        <f>RS!A34</f>
        <v>Big Sandy Retirement Rider</v>
      </c>
      <c r="D38" s="45"/>
      <c r="E38" s="74">
        <f>SUM(G12:G37)-G28-G46</f>
        <v>7700012.8843999989</v>
      </c>
      <c r="F38" s="78">
        <f>SGS!$F$30</f>
        <v>4.9917999999999997E-2</v>
      </c>
      <c r="G38" s="45">
        <f>E38*F38</f>
        <v>384369.24316347914</v>
      </c>
    </row>
    <row r="39" spans="1:7" x14ac:dyDescent="0.25">
      <c r="D39" s="45"/>
      <c r="E39" s="25"/>
      <c r="F39" s="57"/>
      <c r="G39" s="45"/>
    </row>
    <row r="40" spans="1:7" x14ac:dyDescent="0.25">
      <c r="A40" t="str">
        <f>RS!A36</f>
        <v>Environmental Surcharge</v>
      </c>
      <c r="D40" s="45"/>
      <c r="E40" s="74">
        <f>E38</f>
        <v>7700012.8843999989</v>
      </c>
      <c r="F40" s="78">
        <f>SGS!$F$32</f>
        <v>9.8901000000000003E-2</v>
      </c>
      <c r="G40" s="45">
        <f>E40*F40</f>
        <v>761538.97428004432</v>
      </c>
    </row>
    <row r="41" spans="1:7" x14ac:dyDescent="0.25">
      <c r="D41" s="8"/>
      <c r="G41" s="8"/>
    </row>
    <row r="42" spans="1:7" x14ac:dyDescent="0.25">
      <c r="A42" t="s">
        <v>14</v>
      </c>
      <c r="D42" s="8">
        <f>SUM(D12:D40)</f>
        <v>16408183.560255639</v>
      </c>
      <c r="G42" s="8">
        <f>SUM(G12:G40)</f>
        <v>17745332.576099161</v>
      </c>
    </row>
    <row r="43" spans="1:7" x14ac:dyDescent="0.25">
      <c r="G43" s="25"/>
    </row>
    <row r="46" spans="1:7" x14ac:dyDescent="0.25">
      <c r="A46" s="46" t="s">
        <v>193</v>
      </c>
      <c r="F46" s="60">
        <f>SGS!$F$38</f>
        <v>2.8400000000000002E-2</v>
      </c>
      <c r="G46" s="8">
        <f>+E14*F46</f>
        <v>8302692.8560000006</v>
      </c>
    </row>
  </sheetData>
  <phoneticPr fontId="0" type="noConversion"/>
  <pageMargins left="0.75" right="0.75" top="1" bottom="1" header="0.5" footer="0.5"/>
  <pageSetup scale="82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N39"/>
  <sheetViews>
    <sheetView workbookViewId="0">
      <selection activeCell="D27" sqref="D27:D33"/>
    </sheetView>
  </sheetViews>
  <sheetFormatPr defaultRowHeight="13.2" x14ac:dyDescent="0.25"/>
  <cols>
    <col min="1" max="1" width="22" customWidth="1"/>
    <col min="2" max="2" width="13.6640625" customWidth="1"/>
    <col min="3" max="3" width="13.33203125" customWidth="1"/>
    <col min="4" max="4" width="14.44140625" customWidth="1"/>
    <col min="5" max="5" width="16.33203125" style="21" customWidth="1"/>
    <col min="6" max="6" width="13" style="21" customWidth="1"/>
    <col min="7" max="7" width="14.33203125" style="21" customWidth="1"/>
    <col min="8" max="10" width="8.88671875" style="21" customWidth="1"/>
  </cols>
  <sheetData>
    <row r="1" spans="1:14" x14ac:dyDescent="0.25">
      <c r="A1" t="str">
        <f>+RS!A1</f>
        <v>KENTUCKY POWER BILLING ANALYSIS</v>
      </c>
    </row>
    <row r="2" spans="1:14" x14ac:dyDescent="0.25">
      <c r="A2" t="str">
        <f>+RS!A2</f>
        <v>SETTLEMENT</v>
      </c>
    </row>
    <row r="3" spans="1:14" x14ac:dyDescent="0.25">
      <c r="A3" t="str">
        <f>+RS!A3</f>
        <v>TEST YEAR ENDED SEPTEMBER 30, 2014</v>
      </c>
    </row>
    <row r="5" spans="1:14" x14ac:dyDescent="0.25">
      <c r="A5" t="s">
        <v>82</v>
      </c>
    </row>
    <row r="8" spans="1:14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14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14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14" x14ac:dyDescent="0.25">
      <c r="A12" t="s">
        <v>52</v>
      </c>
      <c r="B12" s="59">
        <v>3841169</v>
      </c>
      <c r="C12" s="67">
        <v>8.3000000000000004E-2</v>
      </c>
      <c r="D12" s="8">
        <f>+B12*C12</f>
        <v>318817.027</v>
      </c>
      <c r="E12" s="25">
        <f>+B12</f>
        <v>3841169</v>
      </c>
      <c r="F12" s="65">
        <v>8.6300000000000002E-2</v>
      </c>
      <c r="G12" s="8">
        <f>+E12*F12</f>
        <v>331492.8847</v>
      </c>
    </row>
    <row r="13" spans="1:14" x14ac:dyDescent="0.25">
      <c r="A13" t="s">
        <v>83</v>
      </c>
      <c r="B13" s="59">
        <v>22870</v>
      </c>
      <c r="C13" s="51"/>
      <c r="D13" s="8"/>
      <c r="E13" s="75">
        <f>+B13</f>
        <v>22870</v>
      </c>
      <c r="F13" s="76"/>
      <c r="G13" s="12"/>
      <c r="H13" s="77"/>
      <c r="I13" s="77"/>
      <c r="J13" s="77"/>
      <c r="K13" s="19"/>
      <c r="L13" s="19"/>
      <c r="M13" s="19"/>
      <c r="N13" s="19"/>
    </row>
    <row r="14" spans="1:14" x14ac:dyDescent="0.25">
      <c r="C14" s="46"/>
      <c r="D14" s="8"/>
      <c r="E14" s="25"/>
      <c r="F14" s="56"/>
      <c r="G14" s="8"/>
    </row>
    <row r="15" spans="1:14" x14ac:dyDescent="0.25">
      <c r="A15" t="s">
        <v>11</v>
      </c>
      <c r="B15" s="5">
        <f>SUM(B12:B13)</f>
        <v>3864039</v>
      </c>
      <c r="C15" s="46"/>
      <c r="D15" s="8"/>
      <c r="E15" s="25">
        <f>+B15</f>
        <v>3864039</v>
      </c>
      <c r="F15" s="56"/>
      <c r="G15" s="8"/>
    </row>
    <row r="16" spans="1:14" x14ac:dyDescent="0.25">
      <c r="C16" s="46"/>
      <c r="D16" s="8"/>
      <c r="E16" s="25"/>
      <c r="F16" s="56"/>
      <c r="G16" s="8"/>
    </row>
    <row r="17" spans="1:7" x14ac:dyDescent="0.25">
      <c r="A17" t="s">
        <v>84</v>
      </c>
      <c r="B17" s="59">
        <v>714</v>
      </c>
      <c r="C17" s="64">
        <v>4.0999999999999996</v>
      </c>
      <c r="D17" s="8">
        <f>+B17*C17</f>
        <v>2927.3999999999996</v>
      </c>
      <c r="E17" s="25">
        <f>+B17</f>
        <v>714</v>
      </c>
      <c r="F17" s="66">
        <v>8.1999999999999993</v>
      </c>
      <c r="G17" s="8">
        <f>+E17*F17</f>
        <v>5854.7999999999993</v>
      </c>
    </row>
    <row r="18" spans="1:7" x14ac:dyDescent="0.25">
      <c r="B18" s="56"/>
      <c r="C18" s="64"/>
      <c r="D18" s="8"/>
      <c r="E18" s="25"/>
      <c r="F18" s="66"/>
      <c r="G18" s="8"/>
    </row>
    <row r="19" spans="1:7" x14ac:dyDescent="0.25">
      <c r="A19" t="s">
        <v>12</v>
      </c>
      <c r="B19" s="59">
        <v>132</v>
      </c>
      <c r="C19" s="64">
        <v>22.9</v>
      </c>
      <c r="D19" s="8">
        <f>+B19*C19</f>
        <v>3022.7999999999997</v>
      </c>
      <c r="E19" s="25">
        <f>+B19</f>
        <v>132</v>
      </c>
      <c r="F19" s="66">
        <v>22.9</v>
      </c>
      <c r="G19" s="8">
        <f>+E19*F19</f>
        <v>3022.7999999999997</v>
      </c>
    </row>
    <row r="20" spans="1:7" x14ac:dyDescent="0.25">
      <c r="B20" s="56"/>
      <c r="C20" s="46"/>
      <c r="D20" s="8"/>
      <c r="E20" s="25"/>
      <c r="F20" s="56"/>
      <c r="G20" s="8"/>
    </row>
    <row r="21" spans="1:7" x14ac:dyDescent="0.25">
      <c r="A21" t="s">
        <v>13</v>
      </c>
      <c r="B21" s="59">
        <v>132</v>
      </c>
      <c r="C21" s="46"/>
      <c r="D21" s="8"/>
      <c r="E21" s="25">
        <f>+B21</f>
        <v>132</v>
      </c>
      <c r="F21" s="56"/>
      <c r="G21" s="8"/>
    </row>
    <row r="22" spans="1:7" x14ac:dyDescent="0.25">
      <c r="C22" s="46"/>
      <c r="D22" s="8"/>
      <c r="E22" s="25"/>
      <c r="F22" s="56"/>
      <c r="G22" s="8"/>
    </row>
    <row r="23" spans="1:7" x14ac:dyDescent="0.25">
      <c r="A23" t="str">
        <f>+RS!A$26</f>
        <v xml:space="preserve">Fuel </v>
      </c>
      <c r="C23" s="63">
        <f>+RS!C26</f>
        <v>2.0411219651722302E-3</v>
      </c>
      <c r="D23" s="8">
        <f>+B15*C23</f>
        <v>7886.9748771821396</v>
      </c>
      <c r="E23" s="25"/>
      <c r="F23" s="60">
        <f>+RS!F26</f>
        <v>2.0411219651722302E-3</v>
      </c>
      <c r="G23" s="8">
        <f>+E15*F23</f>
        <v>7886.9748771821396</v>
      </c>
    </row>
    <row r="24" spans="1:7" x14ac:dyDescent="0.25">
      <c r="D24" s="8"/>
      <c r="G24" s="8"/>
    </row>
    <row r="25" spans="1:7" x14ac:dyDescent="0.25">
      <c r="A25" t="str">
        <f>+RS!A$28</f>
        <v>Asset Transfer Rider</v>
      </c>
      <c r="D25" s="45">
        <f>+ATR!D47</f>
        <v>31629.360000000001</v>
      </c>
      <c r="G25" s="45"/>
    </row>
    <row r="26" spans="1:7" x14ac:dyDescent="0.25">
      <c r="D26" s="45"/>
      <c r="G26" s="45"/>
    </row>
    <row r="27" spans="1:7" x14ac:dyDescent="0.25">
      <c r="A27" t="str">
        <f>RS!A30</f>
        <v>Economic Development Rider</v>
      </c>
      <c r="D27" s="45"/>
      <c r="E27" s="25">
        <f>E19</f>
        <v>132</v>
      </c>
      <c r="F27" s="66">
        <f>RS!F30</f>
        <v>0.15</v>
      </c>
      <c r="G27" s="45">
        <f>E27*F27</f>
        <v>19.8</v>
      </c>
    </row>
    <row r="28" spans="1:7" x14ac:dyDescent="0.25">
      <c r="D28" s="45"/>
      <c r="E28" s="25"/>
      <c r="F28" s="66"/>
      <c r="G28" s="45"/>
    </row>
    <row r="29" spans="1:7" x14ac:dyDescent="0.25">
      <c r="A29" t="str">
        <f>RS!A32</f>
        <v>Big Sandy 1 Operations Rider</v>
      </c>
      <c r="D29" s="45"/>
      <c r="E29" s="25"/>
      <c r="F29" s="65">
        <v>2.48E-3</v>
      </c>
      <c r="G29" s="45">
        <f>+F29*E15</f>
        <v>9582.8167200000007</v>
      </c>
    </row>
    <row r="30" spans="1:7" x14ac:dyDescent="0.25">
      <c r="D30" s="45"/>
      <c r="E30" s="25"/>
      <c r="F30" s="66"/>
      <c r="G30" s="45"/>
    </row>
    <row r="31" spans="1:7" x14ac:dyDescent="0.25">
      <c r="A31" t="str">
        <f>RS!A34</f>
        <v>Big Sandy Retirement Rider</v>
      </c>
      <c r="D31" s="45"/>
      <c r="E31" s="74">
        <f>SUM(G11:G30)-G23-G39</f>
        <v>240234.39381999994</v>
      </c>
      <c r="F31" s="78">
        <f>SGS!$F$30</f>
        <v>4.9917999999999997E-2</v>
      </c>
      <c r="G31" s="45">
        <f>E31*F31</f>
        <v>11992.020470706757</v>
      </c>
    </row>
    <row r="32" spans="1:7" x14ac:dyDescent="0.25">
      <c r="D32" s="45"/>
      <c r="E32" s="25"/>
      <c r="F32" s="57"/>
      <c r="G32" s="45"/>
    </row>
    <row r="33" spans="1:7" x14ac:dyDescent="0.25">
      <c r="A33" t="str">
        <f>+RS!A$36</f>
        <v>Environmental Surcharge</v>
      </c>
      <c r="D33" s="45"/>
      <c r="E33" s="74">
        <f>E31</f>
        <v>240234.39381999994</v>
      </c>
      <c r="F33" s="78">
        <f>SGS!$F$32</f>
        <v>9.8901000000000003E-2</v>
      </c>
      <c r="G33" s="45">
        <f>E33*F33</f>
        <v>23759.421783191814</v>
      </c>
    </row>
    <row r="34" spans="1:7" x14ac:dyDescent="0.25">
      <c r="D34" s="8"/>
      <c r="G34" s="8"/>
    </row>
    <row r="35" spans="1:7" x14ac:dyDescent="0.25">
      <c r="A35" t="s">
        <v>14</v>
      </c>
      <c r="D35" s="8">
        <f>SUM(D12:D33)</f>
        <v>364283.56187718216</v>
      </c>
      <c r="G35" s="8">
        <f>SUM(G12:G33)</f>
        <v>393611.51855108066</v>
      </c>
    </row>
    <row r="36" spans="1:7" x14ac:dyDescent="0.25">
      <c r="G36" s="25"/>
    </row>
    <row r="39" spans="1:7" x14ac:dyDescent="0.25">
      <c r="A39" s="46" t="s">
        <v>193</v>
      </c>
      <c r="F39" s="60">
        <f>SGS!$F$38</f>
        <v>2.8400000000000002E-2</v>
      </c>
      <c r="G39" s="8">
        <f>+E15*F39</f>
        <v>109738.70760000001</v>
      </c>
    </row>
  </sheetData>
  <phoneticPr fontId="0" type="noConversion"/>
  <pageMargins left="0.75" right="0.75" top="1" bottom="1" header="0.5" footer="0.5"/>
  <pageSetup scale="96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72"/>
  <sheetViews>
    <sheetView topLeftCell="A44" workbookViewId="0">
      <selection activeCell="D62" sqref="D62:D66"/>
    </sheetView>
  </sheetViews>
  <sheetFormatPr defaultRowHeight="13.2" x14ac:dyDescent="0.25"/>
  <cols>
    <col min="1" max="1" width="31.5546875" customWidth="1"/>
    <col min="2" max="2" width="10.6640625" customWidth="1"/>
    <col min="3" max="3" width="14" customWidth="1"/>
    <col min="4" max="4" width="11.88671875" customWidth="1"/>
    <col min="5" max="5" width="16.33203125" style="21" customWidth="1"/>
    <col min="6" max="6" width="15.5546875" style="21" customWidth="1"/>
    <col min="7" max="7" width="14.44140625" style="21" bestFit="1" customWidth="1"/>
    <col min="8" max="8" width="8.88671875" style="21" customWidth="1"/>
    <col min="9" max="9" width="12.88671875" style="21" bestFit="1" customWidth="1"/>
    <col min="10" max="10" width="8.88671875" style="21" customWidth="1"/>
  </cols>
  <sheetData>
    <row r="1" spans="1:9" x14ac:dyDescent="0.25">
      <c r="A1" t="str">
        <f>+RS!A1</f>
        <v>KENTUCKY POWER BILLING ANALYSIS</v>
      </c>
    </row>
    <row r="2" spans="1:9" x14ac:dyDescent="0.25">
      <c r="A2" t="str">
        <f>+RS!A2</f>
        <v>SETTLEMENT</v>
      </c>
    </row>
    <row r="3" spans="1:9" x14ac:dyDescent="0.25">
      <c r="A3" t="str">
        <f>+RS!A3</f>
        <v>TEST YEAR ENDED SEPTEMBER 30, 2014</v>
      </c>
    </row>
    <row r="5" spans="1:9" x14ac:dyDescent="0.25">
      <c r="A5" t="s">
        <v>133</v>
      </c>
    </row>
    <row r="8" spans="1:9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9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9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9" x14ac:dyDescent="0.25">
      <c r="A12" s="4" t="s">
        <v>24</v>
      </c>
    </row>
    <row r="13" spans="1:9" x14ac:dyDescent="0.25">
      <c r="A13" t="s">
        <v>25</v>
      </c>
    </row>
    <row r="14" spans="1:9" x14ac:dyDescent="0.25">
      <c r="A14" t="s">
        <v>26</v>
      </c>
      <c r="B14" s="59">
        <v>235073.40000000002</v>
      </c>
      <c r="C14" s="64">
        <v>8.75</v>
      </c>
      <c r="D14" s="8">
        <f>+B14*C14</f>
        <v>2056892.2500000002</v>
      </c>
      <c r="E14" s="48">
        <f>+B14</f>
        <v>235073.40000000002</v>
      </c>
      <c r="F14" s="66">
        <v>9.35</v>
      </c>
      <c r="G14" s="8">
        <f>+E14*F14</f>
        <v>2197936.29</v>
      </c>
      <c r="I14" s="8"/>
    </row>
    <row r="15" spans="1:9" x14ac:dyDescent="0.25">
      <c r="A15" t="s">
        <v>27</v>
      </c>
      <c r="B15" s="59">
        <v>221760.12</v>
      </c>
      <c r="C15" s="64">
        <v>9.9</v>
      </c>
      <c r="D15" s="8">
        <f>+B15*C15</f>
        <v>2195425.1880000001</v>
      </c>
      <c r="E15" s="48">
        <f>+B15</f>
        <v>221760.12</v>
      </c>
      <c r="F15" s="66">
        <v>10.65</v>
      </c>
      <c r="G15" s="8">
        <f>+E15*F15</f>
        <v>2361745.2779999999</v>
      </c>
      <c r="I15" s="8"/>
    </row>
    <row r="16" spans="1:9" x14ac:dyDescent="0.25">
      <c r="A16" t="s">
        <v>28</v>
      </c>
      <c r="B16" s="59">
        <v>21654.720000000001</v>
      </c>
      <c r="C16" s="64">
        <v>12.2</v>
      </c>
      <c r="D16" s="8">
        <f>+B16*C16</f>
        <v>264187.58399999997</v>
      </c>
      <c r="E16" s="48">
        <f>+B16</f>
        <v>21654.720000000001</v>
      </c>
      <c r="F16" s="66">
        <v>12.4</v>
      </c>
      <c r="G16" s="8">
        <f>+E16*F16</f>
        <v>268518.52800000005</v>
      </c>
      <c r="I16" s="8"/>
    </row>
    <row r="17" spans="1:9" x14ac:dyDescent="0.25">
      <c r="A17" t="s">
        <v>137</v>
      </c>
      <c r="B17" s="70">
        <v>0</v>
      </c>
      <c r="C17" s="64">
        <v>13.35</v>
      </c>
      <c r="D17" s="8">
        <f>+B17*C17</f>
        <v>0</v>
      </c>
      <c r="E17" s="71">
        <f>+B17</f>
        <v>0</v>
      </c>
      <c r="F17" s="66">
        <v>17.75</v>
      </c>
      <c r="G17" s="8">
        <f>+E17*F17</f>
        <v>0</v>
      </c>
      <c r="I17" s="8"/>
    </row>
    <row r="18" spans="1:9" x14ac:dyDescent="0.25">
      <c r="A18" t="s">
        <v>29</v>
      </c>
      <c r="B18" s="59">
        <v>2061.6000000000004</v>
      </c>
      <c r="C18" s="64">
        <v>19.149999999999999</v>
      </c>
      <c r="D18" s="8">
        <f>+B18*C18</f>
        <v>39479.640000000007</v>
      </c>
      <c r="E18" s="48">
        <f>+B18</f>
        <v>2061.6000000000004</v>
      </c>
      <c r="F18" s="66">
        <v>19.2</v>
      </c>
      <c r="G18" s="8">
        <f>+E18*F18</f>
        <v>39582.720000000008</v>
      </c>
      <c r="I18" s="8"/>
    </row>
    <row r="19" spans="1:9" x14ac:dyDescent="0.25">
      <c r="B19" s="56"/>
      <c r="C19" s="64"/>
      <c r="D19" s="8"/>
      <c r="E19" s="46"/>
      <c r="F19" s="66"/>
      <c r="G19" s="8"/>
      <c r="I19" s="8"/>
    </row>
    <row r="20" spans="1:9" x14ac:dyDescent="0.25">
      <c r="A20" t="s">
        <v>30</v>
      </c>
      <c r="B20" s="56"/>
      <c r="C20" s="64"/>
      <c r="D20" s="8"/>
      <c r="E20" s="46"/>
      <c r="F20" s="66"/>
      <c r="G20" s="8"/>
      <c r="I20" s="8"/>
    </row>
    <row r="21" spans="1:9" x14ac:dyDescent="0.25">
      <c r="A21" t="s">
        <v>31</v>
      </c>
      <c r="B21" s="59">
        <v>10577.76</v>
      </c>
      <c r="C21" s="64">
        <v>9.75</v>
      </c>
      <c r="D21" s="8">
        <f>+B21*C21</f>
        <v>103133.16</v>
      </c>
      <c r="E21" s="48">
        <f>+B21</f>
        <v>10577.76</v>
      </c>
      <c r="F21" s="66">
        <v>10.55</v>
      </c>
      <c r="G21" s="8">
        <f>+E21*F21</f>
        <v>111595.36800000002</v>
      </c>
      <c r="I21" s="8"/>
    </row>
    <row r="22" spans="1:9" x14ac:dyDescent="0.25">
      <c r="A22" t="s">
        <v>32</v>
      </c>
      <c r="B22" s="59">
        <v>1023.24</v>
      </c>
      <c r="C22" s="64">
        <v>16.850000000000001</v>
      </c>
      <c r="D22" s="8">
        <f>+B22*C22</f>
        <v>17241.594000000001</v>
      </c>
      <c r="E22" s="48">
        <f>+B22</f>
        <v>1023.24</v>
      </c>
      <c r="F22" s="66">
        <v>18.25</v>
      </c>
      <c r="G22" s="8">
        <f>+E22*F22</f>
        <v>18674.13</v>
      </c>
      <c r="I22" s="8"/>
    </row>
    <row r="23" spans="1:9" x14ac:dyDescent="0.25">
      <c r="B23" s="56"/>
      <c r="C23" s="64"/>
      <c r="D23" s="8"/>
      <c r="E23" s="46"/>
      <c r="F23" s="66"/>
      <c r="G23" s="8"/>
      <c r="I23" s="8"/>
    </row>
    <row r="24" spans="1:9" x14ac:dyDescent="0.25">
      <c r="A24" s="4" t="s">
        <v>33</v>
      </c>
      <c r="B24" s="56"/>
      <c r="C24" s="64"/>
      <c r="D24" s="8"/>
      <c r="E24" s="46"/>
      <c r="F24" s="66"/>
      <c r="G24" s="8"/>
      <c r="I24" s="8"/>
    </row>
    <row r="25" spans="1:9" x14ac:dyDescent="0.25">
      <c r="A25" t="s">
        <v>138</v>
      </c>
      <c r="B25" s="56"/>
      <c r="C25" s="64"/>
      <c r="D25" s="8"/>
      <c r="E25" s="46"/>
      <c r="F25" s="66"/>
      <c r="G25" s="8"/>
      <c r="I25" s="8"/>
    </row>
    <row r="26" spans="1:9" x14ac:dyDescent="0.25">
      <c r="A26" t="s">
        <v>34</v>
      </c>
      <c r="B26" s="59">
        <v>8322.119999999999</v>
      </c>
      <c r="C26" s="64">
        <v>13.1</v>
      </c>
      <c r="D26" s="8">
        <f>+B26*C26</f>
        <v>109019.77199999998</v>
      </c>
      <c r="E26" s="48">
        <f>+B26</f>
        <v>8322.119999999999</v>
      </c>
      <c r="F26" s="66">
        <v>14.15</v>
      </c>
      <c r="G26" s="8">
        <f>+E26*F26</f>
        <v>117757.99799999999</v>
      </c>
      <c r="I26" s="8"/>
    </row>
    <row r="27" spans="1:9" x14ac:dyDescent="0.25">
      <c r="A27" t="s">
        <v>35</v>
      </c>
      <c r="B27" s="59">
        <v>735.12</v>
      </c>
      <c r="C27" s="64">
        <v>21.45</v>
      </c>
      <c r="D27" s="8">
        <f>+B27*C27</f>
        <v>15768.323999999999</v>
      </c>
      <c r="E27" s="48">
        <f>+B27</f>
        <v>735.12</v>
      </c>
      <c r="F27" s="66">
        <v>23.2</v>
      </c>
      <c r="G27" s="8">
        <f>+E27*F27</f>
        <v>17054.784</v>
      </c>
      <c r="I27" s="8"/>
    </row>
    <row r="28" spans="1:9" x14ac:dyDescent="0.25">
      <c r="B28" s="56"/>
      <c r="C28" s="64"/>
      <c r="D28" s="8"/>
      <c r="E28" s="46"/>
      <c r="F28" s="66"/>
      <c r="G28" s="8"/>
      <c r="I28" s="8"/>
    </row>
    <row r="29" spans="1:9" x14ac:dyDescent="0.25">
      <c r="A29" t="s">
        <v>140</v>
      </c>
      <c r="B29" s="56"/>
      <c r="C29" s="64"/>
      <c r="D29" s="8"/>
      <c r="E29" s="46"/>
      <c r="F29" s="66"/>
      <c r="G29" s="8"/>
      <c r="I29" s="8"/>
    </row>
    <row r="30" spans="1:9" x14ac:dyDescent="0.25">
      <c r="A30" t="s">
        <v>36</v>
      </c>
      <c r="B30" s="59">
        <v>93.12</v>
      </c>
      <c r="C30" s="64">
        <v>11.2</v>
      </c>
      <c r="D30" s="8">
        <f>+B30*C30</f>
        <v>1042.944</v>
      </c>
      <c r="E30" s="48">
        <f>+B30</f>
        <v>93.12</v>
      </c>
      <c r="F30" s="66">
        <v>12.1</v>
      </c>
      <c r="G30" s="8">
        <f>+E30*F30</f>
        <v>1126.752</v>
      </c>
      <c r="I30" s="8"/>
    </row>
    <row r="31" spans="1:9" x14ac:dyDescent="0.25">
      <c r="B31" s="59"/>
      <c r="C31" s="64"/>
      <c r="D31" s="8"/>
      <c r="E31" s="48"/>
      <c r="F31" s="66"/>
      <c r="G31" s="8"/>
      <c r="I31" s="8"/>
    </row>
    <row r="32" spans="1:9" x14ac:dyDescent="0.25">
      <c r="A32" t="s">
        <v>139</v>
      </c>
      <c r="B32" s="56"/>
      <c r="C32" s="64"/>
      <c r="D32" s="8"/>
      <c r="E32" s="46"/>
      <c r="F32" s="66"/>
      <c r="G32" s="8"/>
      <c r="I32" s="8"/>
    </row>
    <row r="33" spans="1:9" x14ac:dyDescent="0.25">
      <c r="A33" t="s">
        <v>141</v>
      </c>
      <c r="B33" s="59">
        <v>0</v>
      </c>
      <c r="C33" s="64">
        <v>20</v>
      </c>
      <c r="D33" s="8">
        <f>+B33*C33</f>
        <v>0</v>
      </c>
      <c r="E33" s="48">
        <f>+B33</f>
        <v>0</v>
      </c>
      <c r="F33" s="66">
        <v>32.9</v>
      </c>
      <c r="G33" s="8">
        <f>+E33*F33</f>
        <v>0</v>
      </c>
      <c r="I33" s="8"/>
    </row>
    <row r="34" spans="1:9" x14ac:dyDescent="0.25">
      <c r="A34" t="s">
        <v>132</v>
      </c>
      <c r="B34" s="59">
        <v>10.32</v>
      </c>
      <c r="C34" s="64">
        <v>24</v>
      </c>
      <c r="D34" s="8">
        <f>+B34*C34</f>
        <v>247.68</v>
      </c>
      <c r="E34" s="48">
        <f>+B34</f>
        <v>10.32</v>
      </c>
      <c r="F34" s="66">
        <v>25.95</v>
      </c>
      <c r="G34" s="8">
        <f>+E34*F34</f>
        <v>267.80399999999997</v>
      </c>
      <c r="I34" s="8"/>
    </row>
    <row r="35" spans="1:9" x14ac:dyDescent="0.25">
      <c r="A35" t="s">
        <v>142</v>
      </c>
      <c r="B35" s="59">
        <v>0</v>
      </c>
      <c r="C35" s="64">
        <v>27.9</v>
      </c>
      <c r="D35" s="8">
        <f>+B35*C35</f>
        <v>0</v>
      </c>
      <c r="E35" s="48">
        <f>+B35</f>
        <v>0</v>
      </c>
      <c r="F35" s="66">
        <v>43.15</v>
      </c>
      <c r="G35" s="8">
        <f>+E35*F35</f>
        <v>0</v>
      </c>
      <c r="I35" s="8"/>
    </row>
    <row r="36" spans="1:9" x14ac:dyDescent="0.25">
      <c r="B36" s="56"/>
      <c r="C36" s="64"/>
      <c r="D36" s="8"/>
      <c r="E36" s="46"/>
      <c r="F36" s="66"/>
      <c r="G36" s="8"/>
      <c r="I36" s="8"/>
    </row>
    <row r="37" spans="1:9" x14ac:dyDescent="0.25">
      <c r="A37" s="4" t="s">
        <v>37</v>
      </c>
      <c r="B37" s="56"/>
      <c r="C37" s="64"/>
      <c r="D37" s="8"/>
      <c r="E37" s="46"/>
      <c r="F37" s="66"/>
      <c r="G37" s="8"/>
      <c r="I37" s="8"/>
    </row>
    <row r="38" spans="1:9" x14ac:dyDescent="0.25">
      <c r="A38" t="s">
        <v>134</v>
      </c>
      <c r="B38" s="56"/>
      <c r="C38" s="64"/>
      <c r="D38" s="8"/>
      <c r="E38" s="46"/>
      <c r="F38" s="66"/>
      <c r="G38" s="8"/>
      <c r="I38" s="8"/>
    </row>
    <row r="39" spans="1:9" x14ac:dyDescent="0.25">
      <c r="A39" t="s">
        <v>38</v>
      </c>
      <c r="B39" s="59">
        <v>18371.16</v>
      </c>
      <c r="C39" s="64">
        <v>13.6</v>
      </c>
      <c r="D39" s="8">
        <f>+B39*C39</f>
        <v>249847.77599999998</v>
      </c>
      <c r="E39" s="48">
        <f>+B39</f>
        <v>18371.16</v>
      </c>
      <c r="F39" s="66">
        <v>14.5</v>
      </c>
      <c r="G39" s="8">
        <f>+E39*F39</f>
        <v>266381.82</v>
      </c>
      <c r="I39" s="8"/>
    </row>
    <row r="40" spans="1:9" x14ac:dyDescent="0.25">
      <c r="A40" t="s">
        <v>39</v>
      </c>
      <c r="B40" s="59">
        <v>45422.04</v>
      </c>
      <c r="C40" s="64">
        <v>18.850000000000001</v>
      </c>
      <c r="D40" s="8">
        <f>+B40*C40</f>
        <v>856205.45400000003</v>
      </c>
      <c r="E40" s="48">
        <f>+B40</f>
        <v>45422.04</v>
      </c>
      <c r="F40" s="66">
        <v>20.350000000000001</v>
      </c>
      <c r="G40" s="8">
        <f>+E40*F40</f>
        <v>924338.51400000008</v>
      </c>
      <c r="I40" s="8"/>
    </row>
    <row r="41" spans="1:9" x14ac:dyDescent="0.25">
      <c r="B41" s="56"/>
      <c r="C41" s="64"/>
      <c r="D41" s="8"/>
      <c r="E41" s="46"/>
      <c r="F41" s="66"/>
      <c r="G41" s="8"/>
      <c r="I41" s="8"/>
    </row>
    <row r="42" spans="1:9" x14ac:dyDescent="0.25">
      <c r="A42" t="s">
        <v>135</v>
      </c>
      <c r="B42" s="56"/>
      <c r="C42" s="64"/>
      <c r="D42" s="8"/>
      <c r="E42" s="46"/>
      <c r="F42" s="66"/>
      <c r="G42" s="8"/>
      <c r="I42" s="8"/>
    </row>
    <row r="43" spans="1:9" x14ac:dyDescent="0.25">
      <c r="A43" t="s">
        <v>40</v>
      </c>
      <c r="B43" s="59">
        <v>1382.6399999999999</v>
      </c>
      <c r="C43" s="64">
        <v>18.2</v>
      </c>
      <c r="D43" s="8">
        <f>+B43*C43</f>
        <v>25164.047999999995</v>
      </c>
      <c r="E43" s="48">
        <f>+B43</f>
        <v>1382.6399999999999</v>
      </c>
      <c r="F43" s="66">
        <v>18</v>
      </c>
      <c r="G43" s="8">
        <f>+E43*F43</f>
        <v>24887.519999999997</v>
      </c>
      <c r="I43" s="8"/>
    </row>
    <row r="44" spans="1:9" x14ac:dyDescent="0.25">
      <c r="A44" t="s">
        <v>41</v>
      </c>
      <c r="B44" s="59">
        <v>9594</v>
      </c>
      <c r="C44" s="64">
        <v>24.1</v>
      </c>
      <c r="D44" s="8">
        <f>+B44*C44</f>
        <v>231215.40000000002</v>
      </c>
      <c r="E44" s="48">
        <f>+B44</f>
        <v>9594</v>
      </c>
      <c r="F44" s="66">
        <v>22.75</v>
      </c>
      <c r="G44" s="8">
        <f>+E44*F44</f>
        <v>218263.5</v>
      </c>
      <c r="I44" s="8"/>
    </row>
    <row r="45" spans="1:9" x14ac:dyDescent="0.25">
      <c r="A45" t="s">
        <v>42</v>
      </c>
      <c r="B45" s="59">
        <v>693.59999999999991</v>
      </c>
      <c r="C45" s="64">
        <v>52.2</v>
      </c>
      <c r="D45" s="8">
        <f>+B45*C45</f>
        <v>36205.919999999998</v>
      </c>
      <c r="E45" s="48">
        <f>+B45</f>
        <v>693.59999999999991</v>
      </c>
      <c r="F45" s="66">
        <v>41.5</v>
      </c>
      <c r="G45" s="8">
        <f>+E45*F45</f>
        <v>28784.399999999998</v>
      </c>
      <c r="I45" s="8"/>
    </row>
    <row r="46" spans="1:9" x14ac:dyDescent="0.25">
      <c r="B46" s="59"/>
      <c r="C46" s="64"/>
      <c r="D46" s="8"/>
      <c r="E46" s="48"/>
      <c r="F46" s="66"/>
      <c r="G46" s="8"/>
      <c r="I46" s="8"/>
    </row>
    <row r="47" spans="1:9" x14ac:dyDescent="0.25">
      <c r="A47" t="s">
        <v>136</v>
      </c>
      <c r="B47" s="56"/>
      <c r="C47" s="64"/>
      <c r="D47" s="8"/>
      <c r="E47" s="46"/>
      <c r="F47" s="66"/>
      <c r="G47" s="8"/>
      <c r="I47" s="8"/>
    </row>
    <row r="48" spans="1:9" x14ac:dyDescent="0.25">
      <c r="A48" t="s">
        <v>143</v>
      </c>
      <c r="B48" s="59">
        <v>0</v>
      </c>
      <c r="C48" s="64">
        <v>21.8</v>
      </c>
      <c r="D48" s="8">
        <f>+B48*C48</f>
        <v>0</v>
      </c>
      <c r="E48" s="48">
        <f>+B48</f>
        <v>0</v>
      </c>
      <c r="F48" s="66">
        <v>24.75</v>
      </c>
      <c r="G48" s="8">
        <f>+E48*F48</f>
        <v>0</v>
      </c>
      <c r="I48" s="8"/>
    </row>
    <row r="49" spans="1:9" x14ac:dyDescent="0.25">
      <c r="A49" t="s">
        <v>144</v>
      </c>
      <c r="B49" s="59">
        <v>0</v>
      </c>
      <c r="C49" s="64">
        <v>25.5</v>
      </c>
      <c r="D49" s="8">
        <f>+B49*C49</f>
        <v>0</v>
      </c>
      <c r="E49" s="48">
        <f>+B49</f>
        <v>0</v>
      </c>
      <c r="F49" s="66">
        <v>29.6</v>
      </c>
      <c r="G49" s="8">
        <f>+E49*F49</f>
        <v>0</v>
      </c>
      <c r="I49" s="8"/>
    </row>
    <row r="50" spans="1:9" x14ac:dyDescent="0.25">
      <c r="B50" s="56"/>
      <c r="C50" s="64"/>
      <c r="D50" s="8"/>
      <c r="E50" s="46"/>
      <c r="F50" s="66"/>
      <c r="G50" s="8"/>
      <c r="I50" s="8"/>
    </row>
    <row r="51" spans="1:9" x14ac:dyDescent="0.25">
      <c r="A51" t="s">
        <v>11</v>
      </c>
      <c r="B51" s="59">
        <v>37640598</v>
      </c>
      <c r="C51" s="64"/>
      <c r="D51" s="8"/>
      <c r="E51" s="48">
        <f>+B51</f>
        <v>37640598</v>
      </c>
      <c r="F51" s="66"/>
      <c r="G51" s="8"/>
      <c r="I51" s="8"/>
    </row>
    <row r="52" spans="1:9" x14ac:dyDescent="0.25">
      <c r="B52" s="56"/>
      <c r="C52" s="64"/>
      <c r="D52" s="8"/>
      <c r="E52" s="46"/>
      <c r="F52" s="66"/>
      <c r="G52" s="8"/>
      <c r="I52" s="8"/>
    </row>
    <row r="53" spans="1:9" x14ac:dyDescent="0.25">
      <c r="A53" t="s">
        <v>43</v>
      </c>
      <c r="B53" s="56"/>
      <c r="C53" s="64"/>
      <c r="D53" s="8"/>
      <c r="E53" s="46"/>
      <c r="F53" s="66"/>
      <c r="G53" s="8"/>
      <c r="I53" s="8"/>
    </row>
    <row r="54" spans="1:9" x14ac:dyDescent="0.25">
      <c r="A54" t="s">
        <v>44</v>
      </c>
      <c r="B54" s="59">
        <v>45137.88</v>
      </c>
      <c r="C54" s="64">
        <v>2.85</v>
      </c>
      <c r="D54" s="8">
        <f>+B54*C54</f>
        <v>128642.958</v>
      </c>
      <c r="E54" s="48">
        <f>+B54</f>
        <v>45137.88</v>
      </c>
      <c r="F54" s="66">
        <v>3.1</v>
      </c>
      <c r="G54" s="8">
        <f>+E54*F54</f>
        <v>139927.42799999999</v>
      </c>
      <c r="I54" s="8"/>
    </row>
    <row r="55" spans="1:9" x14ac:dyDescent="0.25">
      <c r="A55" t="s">
        <v>45</v>
      </c>
      <c r="B55" s="59">
        <v>48867.96</v>
      </c>
      <c r="C55" s="64">
        <v>1.6</v>
      </c>
      <c r="D55" s="8">
        <f>+B55*C55</f>
        <v>78188.736000000004</v>
      </c>
      <c r="E55" s="48">
        <f>+B55</f>
        <v>48867.96</v>
      </c>
      <c r="F55" s="66">
        <v>1.8</v>
      </c>
      <c r="G55" s="8">
        <f>+E55*F55</f>
        <v>87962.327999999994</v>
      </c>
      <c r="I55" s="8"/>
    </row>
    <row r="56" spans="1:9" x14ac:dyDescent="0.25">
      <c r="A56" t="s">
        <v>46</v>
      </c>
      <c r="B56" s="59">
        <v>641.88</v>
      </c>
      <c r="C56" s="64">
        <v>6.25</v>
      </c>
      <c r="D56" s="8">
        <f>+B56*C56</f>
        <v>4011.75</v>
      </c>
      <c r="E56" s="48">
        <f>+B56</f>
        <v>641.88</v>
      </c>
      <c r="F56" s="66">
        <v>6.75</v>
      </c>
      <c r="G56" s="8">
        <f>+E56*F56</f>
        <v>4332.6899999999996</v>
      </c>
      <c r="I56" s="8"/>
    </row>
    <row r="57" spans="1:9" x14ac:dyDescent="0.25">
      <c r="B57" s="17"/>
      <c r="C57" s="64"/>
      <c r="D57" s="8"/>
      <c r="E57" s="46"/>
      <c r="F57" s="66"/>
      <c r="G57" s="8"/>
      <c r="I57" s="8"/>
    </row>
    <row r="58" spans="1:9" x14ac:dyDescent="0.25">
      <c r="A58" t="str">
        <f>+RS!A$26</f>
        <v xml:space="preserve">Fuel </v>
      </c>
      <c r="C58" s="63">
        <f>+RS!C26</f>
        <v>2.0411219651722302E-3</v>
      </c>
      <c r="D58" s="8">
        <f>+B51*C58</f>
        <v>76829.051360017926</v>
      </c>
      <c r="E58" s="46"/>
      <c r="F58" s="60">
        <f>+RS!F26</f>
        <v>2.0411219651722302E-3</v>
      </c>
      <c r="G58" s="8">
        <f>+E51*F58</f>
        <v>76829.051360017926</v>
      </c>
      <c r="I58" s="8"/>
    </row>
    <row r="59" spans="1:9" x14ac:dyDescent="0.25">
      <c r="C59" s="63"/>
      <c r="D59" s="8"/>
      <c r="E59" s="46"/>
      <c r="F59" s="60"/>
      <c r="G59" s="8"/>
      <c r="I59" s="8"/>
    </row>
    <row r="60" spans="1:9" x14ac:dyDescent="0.25">
      <c r="A60" t="str">
        <f>+RS!A$28</f>
        <v>Asset Transfer Rider</v>
      </c>
      <c r="D60" s="45">
        <f>+ATR!D12</f>
        <v>767570.9</v>
      </c>
      <c r="G60" s="45"/>
      <c r="I60" s="45"/>
    </row>
    <row r="61" spans="1:9" x14ac:dyDescent="0.25">
      <c r="C61" s="6"/>
      <c r="D61" s="8"/>
      <c r="E61" s="46"/>
      <c r="G61" s="8"/>
      <c r="I61" s="8"/>
    </row>
    <row r="62" spans="1:9" x14ac:dyDescent="0.25">
      <c r="A62" t="str">
        <f>+RS!A32</f>
        <v>Big Sandy 1 Operations Rider</v>
      </c>
      <c r="C62" s="6"/>
      <c r="D62" s="8"/>
      <c r="E62" s="48"/>
      <c r="F62" s="54">
        <v>1.47E-3</v>
      </c>
      <c r="G62" s="45">
        <f>+B51*F62</f>
        <v>55331.679059999995</v>
      </c>
      <c r="I62" s="45"/>
    </row>
    <row r="63" spans="1:9" x14ac:dyDescent="0.25">
      <c r="C63" s="6"/>
      <c r="D63" s="8"/>
      <c r="E63" s="46"/>
      <c r="G63" s="8"/>
      <c r="I63" s="8"/>
    </row>
    <row r="64" spans="1:9" x14ac:dyDescent="0.25">
      <c r="A64" t="str">
        <f>+RS!A34</f>
        <v>Big Sandy Retirement Rider</v>
      </c>
      <c r="D64" s="8"/>
      <c r="E64" s="74">
        <f>SUM(G12:G63)-G58-G72</f>
        <v>5815476.5478600003</v>
      </c>
      <c r="F64" s="78">
        <f>SGS!$F$30</f>
        <v>4.9917999999999997E-2</v>
      </c>
      <c r="G64" s="45">
        <f>+E64*F64</f>
        <v>290296.9583160755</v>
      </c>
      <c r="I64" s="45"/>
    </row>
    <row r="65" spans="1:9" x14ac:dyDescent="0.25">
      <c r="D65" s="45"/>
      <c r="E65" s="25"/>
      <c r="F65" s="57"/>
      <c r="G65" s="45"/>
      <c r="I65" s="45"/>
    </row>
    <row r="66" spans="1:9" x14ac:dyDescent="0.25">
      <c r="A66" t="str">
        <f>+RS!A$36</f>
        <v>Environmental Surcharge</v>
      </c>
      <c r="D66" s="45"/>
      <c r="E66" s="74">
        <f>E64</f>
        <v>5815476.5478600003</v>
      </c>
      <c r="F66" s="78">
        <f>SGS!$F$32</f>
        <v>9.8901000000000003E-2</v>
      </c>
      <c r="G66" s="45">
        <f>+E66*F66</f>
        <v>575156.44605990185</v>
      </c>
      <c r="I66" s="45"/>
    </row>
    <row r="67" spans="1:9" x14ac:dyDescent="0.25">
      <c r="D67" s="8"/>
      <c r="G67" s="8"/>
      <c r="I67" s="8"/>
    </row>
    <row r="68" spans="1:9" x14ac:dyDescent="0.25">
      <c r="A68" t="s">
        <v>14</v>
      </c>
      <c r="C68" s="8"/>
      <c r="D68" s="8">
        <f>SUM(D14:D67)</f>
        <v>7256320.1293600164</v>
      </c>
      <c r="G68" s="8">
        <f>SUM(G14:G67)</f>
        <v>7826751.9867959954</v>
      </c>
      <c r="I68" s="8"/>
    </row>
    <row r="69" spans="1:9" x14ac:dyDescent="0.25">
      <c r="G69" s="25"/>
      <c r="I69" s="25"/>
    </row>
    <row r="70" spans="1:9" x14ac:dyDescent="0.25">
      <c r="G70" s="25"/>
      <c r="I70" s="25"/>
    </row>
    <row r="72" spans="1:9" x14ac:dyDescent="0.25">
      <c r="A72" s="46" t="s">
        <v>193</v>
      </c>
      <c r="F72" s="60">
        <f>SGS!$F$38</f>
        <v>2.8400000000000002E-2</v>
      </c>
      <c r="G72" s="8">
        <f>+E51*F72</f>
        <v>1068992.9832000001</v>
      </c>
    </row>
  </sheetData>
  <phoneticPr fontId="0" type="noConversion"/>
  <pageMargins left="0.75" right="0.75" top="1" bottom="0.5" header="0.5" footer="0.5"/>
  <pageSetup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40"/>
  <sheetViews>
    <sheetView workbookViewId="0">
      <selection activeCell="D32" sqref="D32:D38"/>
    </sheetView>
  </sheetViews>
  <sheetFormatPr defaultRowHeight="13.2" x14ac:dyDescent="0.25"/>
  <cols>
    <col min="1" max="1" width="22.33203125" customWidth="1"/>
    <col min="2" max="2" width="12.6640625" customWidth="1"/>
    <col min="3" max="3" width="12.88671875" customWidth="1"/>
    <col min="4" max="4" width="12.6640625" customWidth="1"/>
    <col min="5" max="5" width="16.33203125" style="21" customWidth="1"/>
    <col min="6" max="6" width="13.6640625" style="21" customWidth="1"/>
    <col min="7" max="7" width="14.33203125" style="21" customWidth="1"/>
    <col min="8" max="10" width="8.88671875" style="21" customWidth="1"/>
  </cols>
  <sheetData>
    <row r="1" spans="1:10" x14ac:dyDescent="0.25">
      <c r="A1" t="str">
        <f>+RS!A1</f>
        <v>KENTUCKY POWER BILLING ANALYSIS</v>
      </c>
    </row>
    <row r="2" spans="1:10" x14ac:dyDescent="0.25">
      <c r="A2" t="str">
        <f>+RS!A2</f>
        <v>SETTLEMENT</v>
      </c>
    </row>
    <row r="3" spans="1:10" x14ac:dyDescent="0.25">
      <c r="A3" t="str">
        <f>+RS!A3</f>
        <v>TEST YEAR ENDED SEPTEMBER 30, 2014</v>
      </c>
    </row>
    <row r="5" spans="1:10" x14ac:dyDescent="0.25">
      <c r="A5" t="s">
        <v>112</v>
      </c>
    </row>
    <row r="8" spans="1:10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10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10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10" x14ac:dyDescent="0.25">
      <c r="A12" s="4" t="s">
        <v>8</v>
      </c>
    </row>
    <row r="13" spans="1:10" x14ac:dyDescent="0.25">
      <c r="A13" t="s">
        <v>21</v>
      </c>
      <c r="B13" s="59">
        <v>1479989</v>
      </c>
      <c r="C13" s="49">
        <v>0.13227</v>
      </c>
      <c r="D13" s="8">
        <f>+B13*C13</f>
        <v>195758.14502999999</v>
      </c>
      <c r="E13" s="25">
        <f>+B13</f>
        <v>1479989</v>
      </c>
      <c r="F13" s="54">
        <v>0.13109000000000001</v>
      </c>
      <c r="G13" s="8">
        <f>+E13*F13</f>
        <v>194011.75801000002</v>
      </c>
      <c r="I13" s="74"/>
      <c r="J13" s="74"/>
    </row>
    <row r="14" spans="1:10" x14ac:dyDescent="0.25">
      <c r="A14" t="s">
        <v>22</v>
      </c>
      <c r="B14" s="59">
        <v>2745767</v>
      </c>
      <c r="C14" s="49">
        <f>RS!C15</f>
        <v>4.9399999999999999E-2</v>
      </c>
      <c r="D14" s="8">
        <f>+B14*C14</f>
        <v>135640.8898</v>
      </c>
      <c r="E14" s="25">
        <f>+B14</f>
        <v>2745767</v>
      </c>
      <c r="F14" s="54">
        <v>5.2040000000000003E-2</v>
      </c>
      <c r="G14" s="8">
        <f>+E14*F14</f>
        <v>142889.71468</v>
      </c>
      <c r="I14" s="74"/>
    </row>
    <row r="15" spans="1:10" x14ac:dyDescent="0.25">
      <c r="C15" s="51"/>
      <c r="D15" s="8"/>
      <c r="E15" s="25"/>
      <c r="F15" s="55"/>
      <c r="G15" s="8"/>
    </row>
    <row r="16" spans="1:10" x14ac:dyDescent="0.25">
      <c r="A16" t="s">
        <v>11</v>
      </c>
      <c r="B16" s="5">
        <f>SUM(B13:B14)</f>
        <v>4225756</v>
      </c>
      <c r="C16" s="51"/>
      <c r="D16" s="8"/>
      <c r="E16" s="25">
        <f>+B16</f>
        <v>4225756</v>
      </c>
      <c r="F16" s="55"/>
      <c r="G16" s="8"/>
    </row>
    <row r="17" spans="1:13" x14ac:dyDescent="0.25">
      <c r="C17" s="51"/>
      <c r="D17" s="8"/>
      <c r="E17" s="25"/>
      <c r="F17" s="55"/>
      <c r="G17" s="8"/>
    </row>
    <row r="18" spans="1:13" x14ac:dyDescent="0.25">
      <c r="A18" t="s">
        <v>23</v>
      </c>
      <c r="B18" s="59">
        <v>0</v>
      </c>
      <c r="C18" s="49">
        <v>-7.45E-3</v>
      </c>
      <c r="D18" s="8">
        <f>+B18*C18</f>
        <v>0</v>
      </c>
      <c r="E18" s="25">
        <f>+B18</f>
        <v>0</v>
      </c>
      <c r="F18" s="54">
        <v>-7.45E-3</v>
      </c>
      <c r="G18" s="8">
        <f>+E18*F18</f>
        <v>0</v>
      </c>
    </row>
    <row r="19" spans="1:13" x14ac:dyDescent="0.25">
      <c r="B19" s="56"/>
      <c r="C19" s="46"/>
      <c r="D19" s="8"/>
      <c r="E19" s="25"/>
      <c r="F19" s="56"/>
      <c r="G19" s="8"/>
    </row>
    <row r="20" spans="1:13" x14ac:dyDescent="0.25">
      <c r="A20" s="46" t="s">
        <v>12</v>
      </c>
      <c r="B20" s="59">
        <v>1957</v>
      </c>
      <c r="C20" s="52">
        <v>10.55</v>
      </c>
      <c r="D20" s="8">
        <f>+B20*C20-1</f>
        <v>20645.350000000002</v>
      </c>
      <c r="E20" s="25">
        <f>+B20</f>
        <v>1957</v>
      </c>
      <c r="F20" s="57">
        <v>16.649999999999999</v>
      </c>
      <c r="G20" s="8">
        <f>+E20*F20</f>
        <v>32584.049999999996</v>
      </c>
      <c r="I20" s="74"/>
      <c r="L20" s="74"/>
    </row>
    <row r="21" spans="1:13" x14ac:dyDescent="0.25">
      <c r="A21" s="46" t="s">
        <v>202</v>
      </c>
      <c r="B21" s="59">
        <v>107</v>
      </c>
      <c r="C21" s="52">
        <v>3</v>
      </c>
      <c r="D21" s="8">
        <f>+B21*C21</f>
        <v>321</v>
      </c>
      <c r="E21" s="25">
        <f>+B21</f>
        <v>107</v>
      </c>
      <c r="F21" s="57">
        <v>3.75</v>
      </c>
      <c r="G21" s="8">
        <f>+E21*F21</f>
        <v>401.25</v>
      </c>
    </row>
    <row r="22" spans="1:13" x14ac:dyDescent="0.25">
      <c r="A22" t="s">
        <v>187</v>
      </c>
      <c r="B22" s="59">
        <f>+B20+B21</f>
        <v>2064</v>
      </c>
      <c r="C22" s="52">
        <v>0.15</v>
      </c>
      <c r="D22" s="8">
        <f>+B22*C22</f>
        <v>309.59999999999997</v>
      </c>
      <c r="E22" s="25">
        <f>B22</f>
        <v>2064</v>
      </c>
      <c r="F22" s="57">
        <f>C22</f>
        <v>0.15</v>
      </c>
      <c r="G22" s="8">
        <f>+E22*F22</f>
        <v>309.59999999999997</v>
      </c>
    </row>
    <row r="23" spans="1:13" x14ac:dyDescent="0.25">
      <c r="B23" s="56"/>
      <c r="D23" s="8"/>
      <c r="E23" s="25"/>
      <c r="F23"/>
      <c r="G23" s="8"/>
    </row>
    <row r="24" spans="1:13" x14ac:dyDescent="0.25">
      <c r="A24" t="s">
        <v>13</v>
      </c>
      <c r="B24" s="59">
        <v>2064</v>
      </c>
      <c r="D24" s="8"/>
      <c r="E24" s="25">
        <f>+B24</f>
        <v>2064</v>
      </c>
      <c r="F24"/>
      <c r="G24" s="8"/>
    </row>
    <row r="25" spans="1:13" x14ac:dyDescent="0.25">
      <c r="D25" s="8"/>
      <c r="E25" s="25"/>
      <c r="F25"/>
      <c r="G25" s="8"/>
    </row>
    <row r="26" spans="1:13" x14ac:dyDescent="0.25">
      <c r="A26" t="s">
        <v>16</v>
      </c>
      <c r="D26" s="8">
        <v>-1762.26</v>
      </c>
      <c r="F26"/>
      <c r="G26" s="8">
        <f>-167*10.8</f>
        <v>-1803.6000000000001</v>
      </c>
      <c r="M26" s="8"/>
    </row>
    <row r="27" spans="1:13" x14ac:dyDescent="0.25">
      <c r="D27" s="8"/>
      <c r="F27"/>
      <c r="G27" s="8"/>
    </row>
    <row r="28" spans="1:13" x14ac:dyDescent="0.25">
      <c r="A28" t="str">
        <f>+RS!A$26</f>
        <v xml:space="preserve">Fuel </v>
      </c>
      <c r="C28" s="11">
        <f>+RS!C26</f>
        <v>2.0411219651722302E-3</v>
      </c>
      <c r="D28" s="8">
        <f>+B16*C28</f>
        <v>8625.2833910583431</v>
      </c>
      <c r="F28" s="11">
        <f>+RS!F26</f>
        <v>2.0411219651722302E-3</v>
      </c>
      <c r="G28" s="8">
        <f>+E16*F28</f>
        <v>8625.2833910583431</v>
      </c>
    </row>
    <row r="29" spans="1:13" x14ac:dyDescent="0.25">
      <c r="D29" s="8"/>
      <c r="G29" s="8"/>
    </row>
    <row r="30" spans="1:13" x14ac:dyDescent="0.25">
      <c r="A30" t="str">
        <f>+RS!A$28</f>
        <v>Asset Transfer Rider</v>
      </c>
      <c r="D30" s="45">
        <f>+ATR!D8</f>
        <v>30819.49</v>
      </c>
      <c r="G30" s="45"/>
    </row>
    <row r="31" spans="1:13" x14ac:dyDescent="0.25">
      <c r="D31" s="45"/>
      <c r="G31" s="45"/>
    </row>
    <row r="32" spans="1:13" x14ac:dyDescent="0.25">
      <c r="A32" t="str">
        <f>+RS!A30</f>
        <v>Economic Development Rider</v>
      </c>
      <c r="D32" s="45"/>
      <c r="E32" s="25">
        <f>+E20+E21</f>
        <v>2064</v>
      </c>
      <c r="F32" s="57">
        <f>+RS!F30</f>
        <v>0.15</v>
      </c>
      <c r="G32" s="45">
        <f>+E32*F32</f>
        <v>309.59999999999997</v>
      </c>
    </row>
    <row r="33" spans="1:7" x14ac:dyDescent="0.25">
      <c r="D33" s="45"/>
      <c r="E33" s="25"/>
      <c r="F33" s="26"/>
      <c r="G33" s="45"/>
    </row>
    <row r="34" spans="1:7" x14ac:dyDescent="0.25">
      <c r="A34" t="str">
        <f>+RS!A32</f>
        <v>Big Sandy 1 Operations Rider</v>
      </c>
      <c r="D34" s="45"/>
      <c r="E34" s="25">
        <f>+E16</f>
        <v>4225756</v>
      </c>
      <c r="F34" s="54">
        <f>+RS!F32</f>
        <v>3.3E-3</v>
      </c>
      <c r="G34" s="45">
        <f>+E34*F34</f>
        <v>13944.9948</v>
      </c>
    </row>
    <row r="36" spans="1:7" x14ac:dyDescent="0.25">
      <c r="A36" t="str">
        <f>+RS!A34</f>
        <v>Big Sandy Retirement Rider</v>
      </c>
      <c r="D36" s="45"/>
      <c r="E36" s="8">
        <f>SUM(G13:G34)</f>
        <v>391272.6508810583</v>
      </c>
      <c r="F36" s="78">
        <f>RS!$F$34</f>
        <v>3.0071000000000001E-2</v>
      </c>
      <c r="G36" s="45">
        <f>+E36*F36</f>
        <v>11765.959884644304</v>
      </c>
    </row>
    <row r="37" spans="1:7" x14ac:dyDescent="0.25">
      <c r="D37" s="45"/>
      <c r="E37" s="25"/>
      <c r="F37" s="57"/>
      <c r="G37" s="45"/>
    </row>
    <row r="38" spans="1:7" x14ac:dyDescent="0.25">
      <c r="A38" t="str">
        <f>+RS!A$36</f>
        <v>Environmental Surcharge</v>
      </c>
      <c r="D38" s="45"/>
      <c r="E38" s="8">
        <f>E36</f>
        <v>391272.6508810583</v>
      </c>
      <c r="F38" s="78">
        <f>RS!$F$36</f>
        <v>5.9580000000000001E-2</v>
      </c>
      <c r="G38" s="45">
        <f>+E38*F38</f>
        <v>23312.024539493454</v>
      </c>
    </row>
    <row r="39" spans="1:7" x14ac:dyDescent="0.25">
      <c r="D39" s="8"/>
      <c r="G39" s="8"/>
    </row>
    <row r="40" spans="1:7" x14ac:dyDescent="0.25">
      <c r="A40" t="s">
        <v>14</v>
      </c>
      <c r="D40" s="8">
        <f>SUM(D13:D39)</f>
        <v>390357.49822105828</v>
      </c>
      <c r="G40" s="8">
        <f>SUM(G13:G38)</f>
        <v>426350.63530519605</v>
      </c>
    </row>
  </sheetData>
  <phoneticPr fontId="0" type="noConversion"/>
  <pageMargins left="0.75" right="0.75" top="1" bottom="1" header="0.5" footer="0.5"/>
  <pageSetup scale="94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53"/>
  <sheetViews>
    <sheetView topLeftCell="A19" workbookViewId="0">
      <selection activeCell="D41" sqref="D41:D47"/>
    </sheetView>
  </sheetViews>
  <sheetFormatPr defaultRowHeight="13.2" x14ac:dyDescent="0.25"/>
  <cols>
    <col min="1" max="1" width="36.33203125" customWidth="1"/>
    <col min="2" max="3" width="12.88671875" customWidth="1"/>
    <col min="4" max="4" width="13.44140625" customWidth="1"/>
    <col min="5" max="5" width="16.33203125" style="21" customWidth="1"/>
    <col min="6" max="6" width="13.33203125" style="21" customWidth="1"/>
    <col min="7" max="7" width="14.554687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74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t="s">
        <v>75</v>
      </c>
    </row>
    <row r="13" spans="1:7" x14ac:dyDescent="0.25">
      <c r="A13" t="s">
        <v>25</v>
      </c>
    </row>
    <row r="14" spans="1:7" x14ac:dyDescent="0.25">
      <c r="A14" t="s">
        <v>76</v>
      </c>
      <c r="B14" s="72">
        <v>95940.203999999998</v>
      </c>
      <c r="C14" s="64">
        <v>7.25</v>
      </c>
      <c r="D14" s="8">
        <f>+B14*C14</f>
        <v>695566.47899999993</v>
      </c>
      <c r="E14" s="47">
        <f>+B14</f>
        <v>95940.203999999998</v>
      </c>
      <c r="F14" s="66">
        <v>7.85</v>
      </c>
      <c r="G14" s="8">
        <f>+E14*F14</f>
        <v>753130.60139999993</v>
      </c>
    </row>
    <row r="15" spans="1:7" x14ac:dyDescent="0.25">
      <c r="A15" t="s">
        <v>77</v>
      </c>
      <c r="B15" s="72">
        <v>1037.556</v>
      </c>
      <c r="C15" s="64">
        <v>8.3000000000000007</v>
      </c>
      <c r="D15" s="8">
        <f>+B15*C15</f>
        <v>8611.7148000000016</v>
      </c>
      <c r="E15" s="47">
        <f>+B15</f>
        <v>1037.556</v>
      </c>
      <c r="F15" s="66">
        <v>8.9499999999999993</v>
      </c>
      <c r="G15" s="8">
        <f>+E15*F15</f>
        <v>9286.1261999999988</v>
      </c>
    </row>
    <row r="16" spans="1:7" x14ac:dyDescent="0.25">
      <c r="A16" t="s">
        <v>78</v>
      </c>
      <c r="B16" s="72">
        <v>28868.412</v>
      </c>
      <c r="C16" s="64">
        <v>10.3</v>
      </c>
      <c r="D16" s="8">
        <f>+B16*C16</f>
        <v>297344.64360000001</v>
      </c>
      <c r="E16" s="47">
        <f>+B16</f>
        <v>28868.412</v>
      </c>
      <c r="F16" s="66">
        <v>10.8</v>
      </c>
      <c r="G16" s="8">
        <f>+E16*F16</f>
        <v>311778.84960000002</v>
      </c>
    </row>
    <row r="17" spans="1:7" x14ac:dyDescent="0.25">
      <c r="A17" t="s">
        <v>79</v>
      </c>
      <c r="B17" s="72">
        <v>5702.1479999999992</v>
      </c>
      <c r="C17" s="64">
        <v>16.05</v>
      </c>
      <c r="D17" s="8">
        <f>+B17*C17</f>
        <v>91519.475399999996</v>
      </c>
      <c r="E17" s="47">
        <f>+B17</f>
        <v>5702.1479999999992</v>
      </c>
      <c r="F17" s="66">
        <v>16.149999999999999</v>
      </c>
      <c r="G17" s="8">
        <f>+E17*F17</f>
        <v>92089.690199999983</v>
      </c>
    </row>
    <row r="18" spans="1:7" x14ac:dyDescent="0.25">
      <c r="B18" s="56"/>
      <c r="C18" s="64"/>
      <c r="D18" s="8"/>
      <c r="E18" s="47"/>
      <c r="F18" s="66"/>
      <c r="G18" s="8"/>
    </row>
    <row r="19" spans="1:7" x14ac:dyDescent="0.25">
      <c r="A19" t="s">
        <v>80</v>
      </c>
      <c r="B19" s="56"/>
      <c r="C19" s="64"/>
      <c r="D19" s="8"/>
      <c r="E19" s="47"/>
      <c r="F19" s="66"/>
      <c r="G19" s="8"/>
    </row>
    <row r="20" spans="1:7" x14ac:dyDescent="0.25">
      <c r="A20" t="s">
        <v>25</v>
      </c>
      <c r="B20" s="56"/>
      <c r="C20" s="64"/>
      <c r="D20" s="8"/>
      <c r="E20" s="47"/>
      <c r="F20" s="66"/>
      <c r="G20" s="8"/>
    </row>
    <row r="21" spans="1:7" x14ac:dyDescent="0.25">
      <c r="A21" t="s">
        <v>76</v>
      </c>
      <c r="B21" s="72">
        <v>4619.28</v>
      </c>
      <c r="C21" s="64">
        <v>10.25</v>
      </c>
      <c r="D21" s="8">
        <f>+B21*C21</f>
        <v>47347.619999999995</v>
      </c>
      <c r="E21" s="47">
        <f>+B21</f>
        <v>4619.28</v>
      </c>
      <c r="F21" s="66">
        <v>11.1</v>
      </c>
      <c r="G21" s="8">
        <f>+E21*F21</f>
        <v>51274.007999999994</v>
      </c>
    </row>
    <row r="22" spans="1:7" x14ac:dyDescent="0.25">
      <c r="A22" t="s">
        <v>77</v>
      </c>
      <c r="B22" s="72">
        <v>241.62</v>
      </c>
      <c r="C22" s="64">
        <v>11.4</v>
      </c>
      <c r="D22" s="8">
        <f>+B22*C22</f>
        <v>2754.4680000000003</v>
      </c>
      <c r="E22" s="47">
        <f>+B22</f>
        <v>241.62</v>
      </c>
      <c r="F22" s="66">
        <v>12.3</v>
      </c>
      <c r="G22" s="8">
        <f>+E22*F22</f>
        <v>2971.9260000000004</v>
      </c>
    </row>
    <row r="23" spans="1:7" x14ac:dyDescent="0.25">
      <c r="A23" t="s">
        <v>78</v>
      </c>
      <c r="B23" s="72">
        <v>5045.6760000000004</v>
      </c>
      <c r="C23" s="64">
        <v>13.15</v>
      </c>
      <c r="D23" s="8">
        <f>+B23*C23</f>
        <v>66350.6394</v>
      </c>
      <c r="E23" s="47">
        <f>+B23</f>
        <v>5045.6760000000004</v>
      </c>
      <c r="F23" s="66">
        <v>14.25</v>
      </c>
      <c r="G23" s="8">
        <f>+E23*F23</f>
        <v>71900.883000000002</v>
      </c>
    </row>
    <row r="24" spans="1:7" x14ac:dyDescent="0.25">
      <c r="A24" t="s">
        <v>79</v>
      </c>
      <c r="B24" s="72">
        <v>954.96</v>
      </c>
      <c r="C24" s="64">
        <v>18.45</v>
      </c>
      <c r="D24" s="8">
        <f>+B24*C24</f>
        <v>17619.011999999999</v>
      </c>
      <c r="E24" s="47">
        <f>+B24</f>
        <v>954.96</v>
      </c>
      <c r="F24" s="66">
        <v>19.95</v>
      </c>
      <c r="G24" s="8">
        <f>+E24*F24</f>
        <v>19051.452000000001</v>
      </c>
    </row>
    <row r="25" spans="1:7" x14ac:dyDescent="0.25">
      <c r="B25" s="56"/>
      <c r="C25" s="64"/>
      <c r="D25" s="8"/>
      <c r="E25" s="47"/>
      <c r="F25" s="66"/>
      <c r="G25" s="8"/>
    </row>
    <row r="26" spans="1:7" x14ac:dyDescent="0.25">
      <c r="A26" t="s">
        <v>81</v>
      </c>
      <c r="B26" s="56"/>
      <c r="C26" s="64"/>
      <c r="D26" s="8"/>
      <c r="E26" s="47"/>
      <c r="F26" s="66"/>
      <c r="G26" s="8"/>
    </row>
    <row r="27" spans="1:7" x14ac:dyDescent="0.25">
      <c r="A27" t="s">
        <v>25</v>
      </c>
      <c r="B27" s="56"/>
      <c r="C27" s="64"/>
      <c r="D27" s="8"/>
      <c r="E27" s="47"/>
      <c r="F27" s="66"/>
      <c r="G27" s="8"/>
    </row>
    <row r="28" spans="1:7" x14ac:dyDescent="0.25">
      <c r="A28" s="9" t="s">
        <v>76</v>
      </c>
      <c r="B28" s="72">
        <v>0</v>
      </c>
      <c r="C28" s="64">
        <v>18.899999999999999</v>
      </c>
      <c r="D28" s="8">
        <f>+B28*C28</f>
        <v>0</v>
      </c>
      <c r="E28" s="47">
        <f>+B28</f>
        <v>0</v>
      </c>
      <c r="F28" s="66">
        <v>20.45</v>
      </c>
      <c r="G28" s="8">
        <f>+E28*F28</f>
        <v>0</v>
      </c>
    </row>
    <row r="29" spans="1:7" x14ac:dyDescent="0.25">
      <c r="A29" s="9" t="s">
        <v>77</v>
      </c>
      <c r="B29" s="72">
        <v>0</v>
      </c>
      <c r="C29" s="64">
        <v>19.850000000000001</v>
      </c>
      <c r="D29" s="8">
        <f>+B29*C29</f>
        <v>0</v>
      </c>
      <c r="E29" s="47">
        <f>+B29</f>
        <v>0</v>
      </c>
      <c r="F29" s="66">
        <v>21.45</v>
      </c>
      <c r="G29" s="8">
        <f>+E29*F29</f>
        <v>0</v>
      </c>
    </row>
    <row r="30" spans="1:7" x14ac:dyDescent="0.25">
      <c r="A30" s="9" t="s">
        <v>78</v>
      </c>
      <c r="B30" s="72">
        <v>1080.204</v>
      </c>
      <c r="C30" s="64">
        <v>25.25</v>
      </c>
      <c r="D30" s="8">
        <f>+B30*C30</f>
        <v>27275.150999999998</v>
      </c>
      <c r="E30" s="47">
        <f>+B30</f>
        <v>1080.204</v>
      </c>
      <c r="F30" s="66">
        <v>27.3</v>
      </c>
      <c r="G30" s="8">
        <f>+E30*F30</f>
        <v>29489.569199999998</v>
      </c>
    </row>
    <row r="31" spans="1:7" x14ac:dyDescent="0.25">
      <c r="A31" s="9" t="s">
        <v>79</v>
      </c>
      <c r="B31" s="72">
        <v>0</v>
      </c>
      <c r="C31" s="64">
        <v>27.45</v>
      </c>
      <c r="D31" s="8">
        <f>+B31*C31</f>
        <v>0</v>
      </c>
      <c r="E31" s="47">
        <f>+B31</f>
        <v>0</v>
      </c>
      <c r="F31" s="66">
        <v>29.65</v>
      </c>
      <c r="G31" s="8">
        <f>+E31*F31</f>
        <v>0</v>
      </c>
    </row>
    <row r="32" spans="1:7" x14ac:dyDescent="0.25">
      <c r="B32" s="73"/>
      <c r="D32" s="8"/>
      <c r="E32" s="47"/>
      <c r="F32" s="56"/>
      <c r="G32" s="8"/>
    </row>
    <row r="33" spans="1:7" x14ac:dyDescent="0.25">
      <c r="A33" t="s">
        <v>11</v>
      </c>
      <c r="B33" s="59">
        <v>8190082</v>
      </c>
      <c r="D33" s="8"/>
      <c r="E33" s="47">
        <f>B33</f>
        <v>8190082</v>
      </c>
      <c r="F33" s="56"/>
      <c r="G33" s="8"/>
    </row>
    <row r="34" spans="1:7" x14ac:dyDescent="0.25">
      <c r="B34" s="59"/>
      <c r="D34" s="8"/>
      <c r="E34" s="47"/>
      <c r="F34" s="56"/>
      <c r="G34" s="8"/>
    </row>
    <row r="35" spans="1:7" x14ac:dyDescent="0.25">
      <c r="A35" s="46" t="s">
        <v>13</v>
      </c>
      <c r="B35" s="59">
        <f>56*12</f>
        <v>672</v>
      </c>
      <c r="D35" s="8"/>
      <c r="E35" s="47">
        <f>+B35</f>
        <v>672</v>
      </c>
      <c r="F35" s="56"/>
      <c r="G35" s="8"/>
    </row>
    <row r="36" spans="1:7" x14ac:dyDescent="0.25">
      <c r="B36" s="17"/>
      <c r="D36" s="8"/>
      <c r="E36" s="47"/>
      <c r="F36" s="56"/>
      <c r="G36" s="8"/>
    </row>
    <row r="37" spans="1:7" x14ac:dyDescent="0.25">
      <c r="A37" t="str">
        <f>+RS!A$26</f>
        <v xml:space="preserve">Fuel </v>
      </c>
      <c r="C37" s="11">
        <f>+RS!C26</f>
        <v>2.0411219651722302E-3</v>
      </c>
      <c r="D37" s="8">
        <f>+B33*C37</f>
        <v>16716.95626676171</v>
      </c>
      <c r="E37" s="47"/>
      <c r="F37" s="60">
        <f>+RS!F26</f>
        <v>2.0411219651722302E-3</v>
      </c>
      <c r="G37" s="8">
        <f>+E33*F37</f>
        <v>16716.95626676171</v>
      </c>
    </row>
    <row r="38" spans="1:7" x14ac:dyDescent="0.25">
      <c r="D38" s="8"/>
      <c r="E38" s="47"/>
      <c r="G38" s="8"/>
    </row>
    <row r="39" spans="1:7" x14ac:dyDescent="0.25">
      <c r="A39" t="str">
        <f>+RS!A$28</f>
        <v>Asset Transfer Rider</v>
      </c>
      <c r="D39" s="8">
        <f>+ATR!D45</f>
        <v>151602.35</v>
      </c>
      <c r="E39" s="47"/>
      <c r="G39" s="8"/>
    </row>
    <row r="40" spans="1:7" x14ac:dyDescent="0.25">
      <c r="D40" s="8"/>
      <c r="E40" s="47"/>
      <c r="G40" s="8"/>
    </row>
    <row r="41" spans="1:7" x14ac:dyDescent="0.25">
      <c r="A41" t="str">
        <f>RS!A30</f>
        <v>Economic Development Rider</v>
      </c>
      <c r="D41" s="8"/>
      <c r="E41" s="47">
        <f>E35</f>
        <v>672</v>
      </c>
      <c r="F41" s="66">
        <f>RS!F30</f>
        <v>0.15</v>
      </c>
      <c r="G41" s="8">
        <f>E41*F41</f>
        <v>100.8</v>
      </c>
    </row>
    <row r="42" spans="1:7" x14ac:dyDescent="0.25">
      <c r="D42" s="8"/>
      <c r="E42" s="47"/>
      <c r="F42" s="66"/>
      <c r="G42" s="8"/>
    </row>
    <row r="43" spans="1:7" x14ac:dyDescent="0.25">
      <c r="A43" t="str">
        <f>RS!A32</f>
        <v>Big Sandy 1 Operations Rider</v>
      </c>
      <c r="D43" s="8"/>
      <c r="E43" s="47"/>
      <c r="F43" s="65">
        <v>1.47E-3</v>
      </c>
      <c r="G43" s="8">
        <f>+F43*E33</f>
        <v>12039.420539999999</v>
      </c>
    </row>
    <row r="44" spans="1:7" x14ac:dyDescent="0.25">
      <c r="D44" s="8"/>
      <c r="E44" s="47"/>
      <c r="F44" s="66"/>
      <c r="G44" s="8"/>
    </row>
    <row r="45" spans="1:7" x14ac:dyDescent="0.25">
      <c r="A45" t="str">
        <f>RS!A34</f>
        <v>Big Sandy Retirement Rider</v>
      </c>
      <c r="D45" s="8"/>
      <c r="E45" s="74">
        <f>SUM(G12:G43)-G37-G53</f>
        <v>1120514.99734</v>
      </c>
      <c r="F45" s="78">
        <f>SGS!$F$30</f>
        <v>4.9917999999999997E-2</v>
      </c>
      <c r="G45" s="8">
        <f>E45*F45</f>
        <v>55933.867637218114</v>
      </c>
    </row>
    <row r="46" spans="1:7" x14ac:dyDescent="0.25">
      <c r="D46" s="8"/>
      <c r="E46" s="25"/>
      <c r="F46" s="57"/>
      <c r="G46" s="8"/>
    </row>
    <row r="47" spans="1:7" x14ac:dyDescent="0.25">
      <c r="A47" t="str">
        <f>+RS!A$36</f>
        <v>Environmental Surcharge</v>
      </c>
      <c r="D47" s="45"/>
      <c r="E47" s="74">
        <f>E45</f>
        <v>1120514.99734</v>
      </c>
      <c r="F47" s="78">
        <f>SGS!$F$32</f>
        <v>9.8901000000000003E-2</v>
      </c>
      <c r="G47" s="8">
        <f>E47*F47</f>
        <v>110820.05375192335</v>
      </c>
    </row>
    <row r="48" spans="1:7" x14ac:dyDescent="0.25">
      <c r="D48" s="8"/>
      <c r="E48" s="47"/>
      <c r="G48" s="8"/>
    </row>
    <row r="49" spans="1:7" x14ac:dyDescent="0.25">
      <c r="A49" t="s">
        <v>14</v>
      </c>
      <c r="D49" s="8">
        <f>SUM(D14:D47)</f>
        <v>1422708.5094667622</v>
      </c>
      <c r="E49" s="47"/>
      <c r="F49" s="74"/>
      <c r="G49" s="8">
        <f>SUM(G14:G47)</f>
        <v>1536584.2037959034</v>
      </c>
    </row>
    <row r="50" spans="1:7" x14ac:dyDescent="0.25">
      <c r="D50" s="8"/>
    </row>
    <row r="51" spans="1:7" x14ac:dyDescent="0.25">
      <c r="D51" s="8"/>
    </row>
    <row r="53" spans="1:7" x14ac:dyDescent="0.25">
      <c r="A53" s="46" t="s">
        <v>193</v>
      </c>
      <c r="F53" s="60">
        <f>SGS!$F$38</f>
        <v>2.8400000000000002E-2</v>
      </c>
      <c r="G53" s="8">
        <f>+E33*F53</f>
        <v>232598.32880000002</v>
      </c>
    </row>
  </sheetData>
  <phoneticPr fontId="0" type="noConversion"/>
  <pageMargins left="0.75" right="0.75" top="1" bottom="0.75" header="0.5" footer="0.5"/>
  <pageSetup scale="74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H68"/>
  <sheetViews>
    <sheetView topLeftCell="A4" workbookViewId="0">
      <pane xSplit="1" ySplit="6" topLeftCell="B13" activePane="bottomRight" state="frozen"/>
      <selection activeCell="A4" sqref="A4"/>
      <selection pane="topRight" activeCell="B4" sqref="B4"/>
      <selection pane="bottomLeft" activeCell="A10" sqref="A10"/>
      <selection pane="bottomRight" activeCell="I30" sqref="I30"/>
    </sheetView>
  </sheetViews>
  <sheetFormatPr defaultRowHeight="13.2" x14ac:dyDescent="0.25"/>
  <cols>
    <col min="1" max="1" width="23.33203125" customWidth="1"/>
    <col min="2" max="2" width="16.88671875" customWidth="1"/>
    <col min="3" max="3" width="15.33203125" customWidth="1"/>
    <col min="4" max="4" width="15.88671875" customWidth="1"/>
    <col min="5" max="5" width="13.109375" customWidth="1"/>
    <col min="6" max="6" width="3.6640625" customWidth="1"/>
    <col min="7" max="7" width="10" style="79" bestFit="1" customWidth="1"/>
    <col min="8" max="8" width="10.6640625" bestFit="1" customWidth="1"/>
  </cols>
  <sheetData>
    <row r="1" spans="1:8" ht="18.600000000000001" customHeight="1" x14ac:dyDescent="0.25">
      <c r="A1" s="29" t="str">
        <f>+RS!A1</f>
        <v>KENTUCKY POWER BILLING ANALYSIS</v>
      </c>
    </row>
    <row r="2" spans="1:8" ht="18.600000000000001" customHeight="1" x14ac:dyDescent="0.25">
      <c r="A2" s="29" t="str">
        <f>+RS!A3</f>
        <v>TEST YEAR ENDED SEPTEMBER 30, 2014</v>
      </c>
    </row>
    <row r="3" spans="1:8" ht="18.600000000000001" customHeight="1" x14ac:dyDescent="0.25">
      <c r="A3" s="29" t="s">
        <v>192</v>
      </c>
    </row>
    <row r="6" spans="1:8" x14ac:dyDescent="0.25">
      <c r="B6" s="1" t="s">
        <v>14</v>
      </c>
      <c r="C6" s="1" t="s">
        <v>49</v>
      </c>
      <c r="D6" s="1"/>
      <c r="E6" s="1"/>
    </row>
    <row r="7" spans="1:8" x14ac:dyDescent="0.25">
      <c r="B7" s="1" t="s">
        <v>4</v>
      </c>
      <c r="C7" s="1" t="s">
        <v>2</v>
      </c>
      <c r="D7" s="1"/>
      <c r="E7" s="1" t="s">
        <v>107</v>
      </c>
      <c r="G7" s="80" t="s">
        <v>194</v>
      </c>
    </row>
    <row r="8" spans="1:8" x14ac:dyDescent="0.25">
      <c r="A8" s="3" t="s">
        <v>85</v>
      </c>
      <c r="B8" s="3" t="s">
        <v>7</v>
      </c>
      <c r="C8" s="3" t="s">
        <v>7</v>
      </c>
      <c r="D8" s="3" t="s">
        <v>106</v>
      </c>
      <c r="E8" s="3" t="s">
        <v>106</v>
      </c>
      <c r="G8" s="81" t="s">
        <v>195</v>
      </c>
    </row>
    <row r="9" spans="1:8" x14ac:dyDescent="0.25">
      <c r="A9" s="3"/>
    </row>
    <row r="10" spans="1:8" x14ac:dyDescent="0.25">
      <c r="A10" t="s">
        <v>86</v>
      </c>
      <c r="B10" s="8">
        <f>+RS!D38</f>
        <v>229745817.70068783</v>
      </c>
      <c r="C10" s="8">
        <f>+RS!G38</f>
        <v>252478588.92680481</v>
      </c>
      <c r="D10" s="8">
        <f>+C10-B10</f>
        <v>22732771.226116985</v>
      </c>
      <c r="E10" s="10">
        <f>IF(B10&gt;0,D10/B10,0)</f>
        <v>9.8947486633829268E-2</v>
      </c>
      <c r="G10" s="79">
        <f>ROUND(RS!B22/12,0)</f>
        <v>138125</v>
      </c>
    </row>
    <row r="11" spans="1:8" x14ac:dyDescent="0.25">
      <c r="B11" s="8"/>
      <c r="C11" s="8"/>
      <c r="D11" s="8"/>
    </row>
    <row r="12" spans="1:8" x14ac:dyDescent="0.25">
      <c r="A12" t="s">
        <v>87</v>
      </c>
      <c r="B12" s="8">
        <f>+RSLMTOD!D40</f>
        <v>390357.49822105828</v>
      </c>
      <c r="C12" s="8">
        <f>+RSLMTOD!G40</f>
        <v>426350.63530519605</v>
      </c>
      <c r="D12" s="8">
        <f>+C12-B12</f>
        <v>35993.137084137765</v>
      </c>
      <c r="E12" s="10">
        <f>IF(B12&gt;0,D12/B12,0)</f>
        <v>9.2205573732197038E-2</v>
      </c>
      <c r="G12" s="79">
        <f>ROUND(RSLMTOD!B24/12,0)</f>
        <v>172</v>
      </c>
    </row>
    <row r="13" spans="1:8" x14ac:dyDescent="0.25">
      <c r="B13" s="8"/>
      <c r="C13" s="8"/>
      <c r="D13" s="8"/>
    </row>
    <row r="14" spans="1:8" x14ac:dyDescent="0.25">
      <c r="A14" t="s">
        <v>114</v>
      </c>
      <c r="B14" s="8">
        <f>RSTOD!D37</f>
        <v>4391.3511512828227</v>
      </c>
      <c r="C14" s="8">
        <f>RSTOD!G37</f>
        <v>4905.6033442463176</v>
      </c>
      <c r="D14" s="8">
        <f>+C14-B14</f>
        <v>514.25219296349496</v>
      </c>
      <c r="E14" s="10">
        <f>IF(B14&gt;0,D14/B14,0)</f>
        <v>0.11710568689394588</v>
      </c>
      <c r="G14" s="79">
        <f>ROUND(RSTOD!B21/12,0)</f>
        <v>3</v>
      </c>
    </row>
    <row r="15" spans="1:8" x14ac:dyDescent="0.25">
      <c r="B15" s="8"/>
      <c r="C15" s="8"/>
      <c r="D15" s="8"/>
    </row>
    <row r="16" spans="1:8" x14ac:dyDescent="0.25">
      <c r="A16" t="s">
        <v>88</v>
      </c>
      <c r="B16" s="8">
        <f>+OL!D68</f>
        <v>7256320.1293600164</v>
      </c>
      <c r="C16" s="8">
        <f>+OL!G68</f>
        <v>7826751.9867959954</v>
      </c>
      <c r="D16" s="8">
        <f>+C16-B16</f>
        <v>570431.85743597895</v>
      </c>
      <c r="E16" s="10">
        <f>IF(B16&gt;0,D16/B16,0)</f>
        <v>7.8611727055417163E-2</v>
      </c>
      <c r="H16" s="8"/>
    </row>
    <row r="17" spans="1:7" x14ac:dyDescent="0.25">
      <c r="B17" s="8"/>
      <c r="C17" s="8"/>
      <c r="D17" s="8"/>
    </row>
    <row r="18" spans="1:7" x14ac:dyDescent="0.25">
      <c r="A18" t="s">
        <v>89</v>
      </c>
      <c r="B18" s="12">
        <f>+SGS!D34</f>
        <v>18901992.612135407</v>
      </c>
      <c r="C18" s="8">
        <f>+SGS!G34</f>
        <v>20531875.637461476</v>
      </c>
      <c r="D18" s="8">
        <f>+C18-B18</f>
        <v>1629883.0253260694</v>
      </c>
      <c r="E18" s="10">
        <f>IF(B18&gt;0,D18/B18,0)</f>
        <v>8.622810614578573E-2</v>
      </c>
      <c r="G18" s="79">
        <f>ROUND(SGS!B20/12,0)</f>
        <v>22622</v>
      </c>
    </row>
    <row r="19" spans="1:7" x14ac:dyDescent="0.25">
      <c r="B19" s="8"/>
      <c r="C19" s="8"/>
      <c r="D19" s="8"/>
      <c r="E19" s="10"/>
    </row>
    <row r="20" spans="1:7" x14ac:dyDescent="0.25">
      <c r="A20" t="s">
        <v>123</v>
      </c>
      <c r="B20" s="8">
        <f>+SGSLMTOD!D34</f>
        <v>546.68081935909879</v>
      </c>
      <c r="C20" s="8">
        <f>+SGSLMTOD!G34</f>
        <v>581.49136218265869</v>
      </c>
      <c r="D20" s="8">
        <f>+C20-B20</f>
        <v>34.810542823559899</v>
      </c>
      <c r="E20" s="10">
        <f>IF(B20&gt;0,D20/B20,0)</f>
        <v>6.3676173721203599E-2</v>
      </c>
      <c r="G20" s="79">
        <f>ROUND(SGSLMTOD!B20/12,0)</f>
        <v>1</v>
      </c>
    </row>
    <row r="21" spans="1:7" x14ac:dyDescent="0.25">
      <c r="B21" s="8"/>
      <c r="C21" s="8"/>
      <c r="D21" s="8"/>
      <c r="E21" s="10"/>
    </row>
    <row r="22" spans="1:7" x14ac:dyDescent="0.25">
      <c r="A22" t="s">
        <v>129</v>
      </c>
      <c r="B22" s="8">
        <f>+SGSEXPTOD!D35</f>
        <v>55172.543223243876</v>
      </c>
      <c r="C22" s="8">
        <f>+SGSEXPTOD!G35</f>
        <v>57807.475989466409</v>
      </c>
      <c r="D22" s="8">
        <f>+C22-B22</f>
        <v>2634.9327662225332</v>
      </c>
      <c r="E22" s="10">
        <f>IF(B22&gt;0,D22/B22,0)</f>
        <v>4.7758044351170155E-2</v>
      </c>
      <c r="G22" s="79">
        <f>ROUND(SGSEXPTOD!B21/12,0)</f>
        <v>76</v>
      </c>
    </row>
    <row r="23" spans="1:7" x14ac:dyDescent="0.25">
      <c r="B23" s="8"/>
      <c r="C23" s="8"/>
      <c r="D23" s="8"/>
    </row>
    <row r="24" spans="1:7" x14ac:dyDescent="0.25">
      <c r="A24" t="s">
        <v>90</v>
      </c>
      <c r="B24" s="8">
        <f>+'SGS-NM'!D34</f>
        <v>654133.83659822191</v>
      </c>
      <c r="C24" s="8">
        <f>+'SGS-NM'!G34</f>
        <v>755873.62186222163</v>
      </c>
      <c r="D24" s="8">
        <f>+C24-B24</f>
        <v>101739.78526399971</v>
      </c>
      <c r="E24" s="10">
        <f>IF(B24&gt;0,D24/B24,0)</f>
        <v>0.15553359201396841</v>
      </c>
      <c r="G24" s="79">
        <f>ROUND('SGS-NM'!B20/12,0)</f>
        <v>1124</v>
      </c>
    </row>
    <row r="25" spans="1:7" x14ac:dyDescent="0.25">
      <c r="B25" s="8"/>
      <c r="C25" s="8"/>
      <c r="D25" s="8"/>
    </row>
    <row r="26" spans="1:7" x14ac:dyDescent="0.25">
      <c r="A26" t="s">
        <v>91</v>
      </c>
      <c r="B26" s="8">
        <f>+'MGS RL'!D32</f>
        <v>171931.06706976128</v>
      </c>
      <c r="C26" s="8">
        <f>+'MGS RL'!G32</f>
        <v>188862.47270504828</v>
      </c>
      <c r="D26" s="8">
        <f>+C26-B26</f>
        <v>16931.405635286996</v>
      </c>
      <c r="E26" s="10">
        <f>IF(B26&gt;0,D26/B26,0)</f>
        <v>9.8477872113810899E-2</v>
      </c>
      <c r="G26" s="79">
        <f>ROUND('MGS RL'!B18/12,0)</f>
        <v>77</v>
      </c>
    </row>
    <row r="27" spans="1:7" x14ac:dyDescent="0.25">
      <c r="B27" s="8"/>
      <c r="C27" s="8"/>
      <c r="D27" s="8"/>
    </row>
    <row r="28" spans="1:7" x14ac:dyDescent="0.25">
      <c r="A28" t="s">
        <v>122</v>
      </c>
      <c r="B28" s="8">
        <f>+'MGS-SEC'!D40</f>
        <v>57857120.424422897</v>
      </c>
      <c r="C28" s="8">
        <f>+'MGS-SEC'!G40</f>
        <v>62912584.582771897</v>
      </c>
      <c r="D28" s="8">
        <f>+C28-B28</f>
        <v>5055464.1583489999</v>
      </c>
      <c r="E28" s="10">
        <f>IF(B28&gt;0,D28/B28,0)</f>
        <v>8.7378426739243065E-2</v>
      </c>
      <c r="G28" s="79">
        <f>ROUND('MGS-SEC'!B24/12,0)</f>
        <v>7004</v>
      </c>
    </row>
    <row r="29" spans="1:7" x14ac:dyDescent="0.25">
      <c r="B29" s="8"/>
      <c r="C29" s="8"/>
      <c r="D29" s="8"/>
    </row>
    <row r="30" spans="1:7" x14ac:dyDescent="0.25">
      <c r="A30" t="s">
        <v>92</v>
      </c>
      <c r="B30" s="8">
        <f>+MGSLMTOD!D34</f>
        <v>109959.15791559833</v>
      </c>
      <c r="C30" s="8">
        <f>+MGSLMTOD!G34</f>
        <v>121550.22713806377</v>
      </c>
      <c r="D30" s="8">
        <f>+C30-B30</f>
        <v>11591.069222465434</v>
      </c>
      <c r="E30" s="10">
        <f>IF(B30&gt;0,D30/B30,0)</f>
        <v>0.10541249534997735</v>
      </c>
      <c r="G30" s="79">
        <f>ROUND(MGSLMTOD!B20/12,0)</f>
        <v>46</v>
      </c>
    </row>
    <row r="31" spans="1:7" x14ac:dyDescent="0.25">
      <c r="B31" s="8"/>
      <c r="C31" s="8"/>
      <c r="D31" s="8"/>
    </row>
    <row r="32" spans="1:7" x14ac:dyDescent="0.25">
      <c r="A32" t="s">
        <v>93</v>
      </c>
      <c r="B32" s="8">
        <f>+MGSTOD!D34</f>
        <v>392705.60995126609</v>
      </c>
      <c r="C32" s="8">
        <f>+MGSTOD!G34</f>
        <v>437088.68694140995</v>
      </c>
      <c r="D32" s="8">
        <f>+C32-B32</f>
        <v>44383.076990143862</v>
      </c>
      <c r="E32" s="10">
        <f>IF(B32&gt;0,D32/B32,0)</f>
        <v>0.11301869865228487</v>
      </c>
      <c r="G32" s="79">
        <f>ROUND(MGSTOD!B20/12,0)</f>
        <v>76</v>
      </c>
    </row>
    <row r="33" spans="1:7" x14ac:dyDescent="0.25">
      <c r="B33" s="8"/>
      <c r="C33" s="8"/>
      <c r="D33" s="8"/>
    </row>
    <row r="34" spans="1:7" x14ac:dyDescent="0.25">
      <c r="A34" t="s">
        <v>94</v>
      </c>
      <c r="B34" s="8">
        <f>+'MGS-PRI'!D41</f>
        <v>1024183.6873391911</v>
      </c>
      <c r="C34" s="8">
        <f>+'MGS-PRI'!G41</f>
        <v>1146828.0989363862</v>
      </c>
      <c r="D34" s="8">
        <f>+C34-B34</f>
        <v>122644.41159719508</v>
      </c>
      <c r="E34" s="10">
        <f>IF(B34&gt;0,D34/B34,0)</f>
        <v>0.11974845246346662</v>
      </c>
      <c r="G34" s="79">
        <f>ROUND('MGS-PRI'!B25/12,0)</f>
        <v>84</v>
      </c>
    </row>
    <row r="35" spans="1:7" x14ac:dyDescent="0.25">
      <c r="B35" s="8"/>
      <c r="C35" s="8"/>
      <c r="D35" s="8"/>
    </row>
    <row r="36" spans="1:7" x14ac:dyDescent="0.25">
      <c r="A36" t="s">
        <v>95</v>
      </c>
      <c r="B36" s="8">
        <f>+'MGS-SUB'!D40</f>
        <v>121691.88195059769</v>
      </c>
      <c r="C36" s="8">
        <f>+'MGS-SUB'!G40</f>
        <v>155642.67727166894</v>
      </c>
      <c r="D36" s="8">
        <f>+C36-B36</f>
        <v>33950.795321071259</v>
      </c>
      <c r="E36" s="10">
        <f>IF(B36&gt;0,D36/B36,0)</f>
        <v>0.27898981244167131</v>
      </c>
      <c r="G36" s="82">
        <f>ROUND('MGS-SUB'!B24/12,0)</f>
        <v>10</v>
      </c>
    </row>
    <row r="37" spans="1:7" x14ac:dyDescent="0.25">
      <c r="B37" s="8"/>
      <c r="C37" s="8"/>
      <c r="D37" s="8"/>
      <c r="G37" s="82"/>
    </row>
    <row r="38" spans="1:7" x14ac:dyDescent="0.25">
      <c r="A38" s="46" t="s">
        <v>205</v>
      </c>
      <c r="B38" s="8">
        <f>'School Sec'!D38</f>
        <v>13461835.845601846</v>
      </c>
      <c r="C38" s="8">
        <f>'School Sec'!G38</f>
        <v>14149664.523249594</v>
      </c>
      <c r="D38" s="8">
        <f>+C38-B38</f>
        <v>687828.67764774896</v>
      </c>
      <c r="E38" s="10">
        <f>IF(B38&gt;0,D38/B38,0)</f>
        <v>5.1094715872090461E-2</v>
      </c>
      <c r="G38" s="82">
        <f>ROUND('School Sec'!B22/12,0)</f>
        <v>182</v>
      </c>
    </row>
    <row r="39" spans="1:7" x14ac:dyDescent="0.25">
      <c r="B39" s="8"/>
      <c r="C39" s="8"/>
      <c r="D39" s="8"/>
      <c r="G39" s="82"/>
    </row>
    <row r="40" spans="1:7" x14ac:dyDescent="0.25">
      <c r="A40" s="46" t="s">
        <v>206</v>
      </c>
      <c r="B40" s="8">
        <f>'School Pri'!D38</f>
        <v>186567.61119990234</v>
      </c>
      <c r="C40" s="8">
        <f>'School Pri'!G38</f>
        <v>198420.01128484271</v>
      </c>
      <c r="D40" s="8">
        <f>+C40-B40</f>
        <v>11852.400084940367</v>
      </c>
      <c r="E40" s="10">
        <f>IF(B40&gt;0,D40/B40,0)</f>
        <v>6.3528712238486176E-2</v>
      </c>
      <c r="G40" s="82">
        <f>ROUND('School Pri'!B22/12,0)</f>
        <v>1</v>
      </c>
    </row>
    <row r="41" spans="1:7" x14ac:dyDescent="0.25">
      <c r="B41" s="8"/>
      <c r="C41" s="8"/>
      <c r="D41" s="8"/>
      <c r="G41" s="82"/>
    </row>
    <row r="42" spans="1:7" x14ac:dyDescent="0.25">
      <c r="A42" t="s">
        <v>96</v>
      </c>
      <c r="B42" s="8">
        <f>+'LGS-SEC'!D38</f>
        <v>44076975.213344753</v>
      </c>
      <c r="C42" s="8">
        <f>+'LGS-SEC'!G38</f>
        <v>47704017.781404257</v>
      </c>
      <c r="D42" s="8">
        <f>+C42-B42</f>
        <v>3627042.568059504</v>
      </c>
      <c r="E42" s="10">
        <f>IF(B42&gt;0,D42/B42,0)</f>
        <v>8.2288826547275873E-2</v>
      </c>
      <c r="G42" s="82">
        <f>ROUND('LGS-SEC'!B22/12,0)</f>
        <v>566</v>
      </c>
    </row>
    <row r="43" spans="1:7" x14ac:dyDescent="0.25">
      <c r="B43" s="8"/>
      <c r="C43" s="8"/>
      <c r="D43" s="8"/>
      <c r="G43" s="82"/>
    </row>
    <row r="44" spans="1:7" x14ac:dyDescent="0.25">
      <c r="A44" t="s">
        <v>97</v>
      </c>
      <c r="B44" s="8">
        <f>+LGSLMTOD!D36</f>
        <v>198602.4885332977</v>
      </c>
      <c r="C44" s="8">
        <f>+LGSLMTOD!G36</f>
        <v>212472.64247300688</v>
      </c>
      <c r="D44" s="8">
        <f>+C44-B44</f>
        <v>13870.153939709184</v>
      </c>
      <c r="E44" s="10">
        <f>IF(B44&gt;0,D44/B44,0)</f>
        <v>6.9838772122856427E-2</v>
      </c>
      <c r="G44" s="82">
        <f>ROUND(LGSLMTOD!B20/12,0)</f>
        <v>9</v>
      </c>
    </row>
    <row r="45" spans="1:7" x14ac:dyDescent="0.25">
      <c r="B45" s="8"/>
      <c r="C45" s="8"/>
      <c r="D45" s="8"/>
      <c r="G45" s="82"/>
    </row>
    <row r="46" spans="1:7" x14ac:dyDescent="0.25">
      <c r="A46" t="s">
        <v>98</v>
      </c>
      <c r="B46" s="8">
        <f>+'LGS-PRI'!D38</f>
        <v>10088650.994031489</v>
      </c>
      <c r="C46" s="8">
        <f>+'LGS-PRI'!G38</f>
        <v>11251038.462878587</v>
      </c>
      <c r="D46" s="8">
        <f>+C46-B46</f>
        <v>1162387.4688470978</v>
      </c>
      <c r="E46" s="10">
        <f>IF(B46&gt;0,D46/B46,0)</f>
        <v>0.11521733376789164</v>
      </c>
      <c r="G46" s="82">
        <f>ROUND('LGS-PRI'!B22/12,0)</f>
        <v>77</v>
      </c>
    </row>
    <row r="47" spans="1:7" x14ac:dyDescent="0.25">
      <c r="B47" s="8"/>
      <c r="C47" s="8"/>
      <c r="D47" s="8"/>
    </row>
    <row r="48" spans="1:7" x14ac:dyDescent="0.25">
      <c r="A48" t="s">
        <v>99</v>
      </c>
      <c r="B48" s="8">
        <f>+'LGS-SUB'!D38</f>
        <v>2490132.0656530946</v>
      </c>
      <c r="C48" s="8">
        <f>+'LGS-SUB'!G38</f>
        <v>2707888.1080496875</v>
      </c>
      <c r="D48" s="8">
        <f>+C48-B48</f>
        <v>217756.04239659291</v>
      </c>
      <c r="E48" s="10">
        <f>IF(B48&gt;0,D48/B48,0)</f>
        <v>8.7447587780643016E-2</v>
      </c>
      <c r="G48" s="79">
        <f>ROUND('LGS-SUB'!B22/12,0)</f>
        <v>20</v>
      </c>
    </row>
    <row r="49" spans="1:7" x14ac:dyDescent="0.25">
      <c r="B49" s="8"/>
      <c r="C49" s="8"/>
      <c r="D49" s="8"/>
      <c r="E49" s="10"/>
    </row>
    <row r="50" spans="1:7" x14ac:dyDescent="0.25">
      <c r="A50" t="s">
        <v>145</v>
      </c>
      <c r="B50" s="8">
        <f>+'LGS-TRAN'!D38</f>
        <v>66883.1854385529</v>
      </c>
      <c r="C50" s="8">
        <f>+'LGS-TRAN'!G38</f>
        <v>84976.635302661889</v>
      </c>
      <c r="D50" s="8">
        <f>+C50-B50</f>
        <v>18093.449864108989</v>
      </c>
      <c r="E50" s="10">
        <f>IF(B50&gt;0,D50/B50,0)</f>
        <v>0.27052314786549531</v>
      </c>
      <c r="G50" s="79">
        <f>ROUND('LGS-TRAN'!B22/12,0)</f>
        <v>1</v>
      </c>
    </row>
    <row r="51" spans="1:7" x14ac:dyDescent="0.25">
      <c r="B51" s="8"/>
      <c r="C51" s="8"/>
      <c r="D51" s="8"/>
    </row>
    <row r="52" spans="1:7" x14ac:dyDescent="0.25">
      <c r="A52" t="s">
        <v>108</v>
      </c>
      <c r="B52" s="8">
        <f>'QP-SEC'!D41</f>
        <v>1945247.2805559579</v>
      </c>
      <c r="C52" s="8">
        <f>'QP-SEC'!G41</f>
        <v>2061446.8096070823</v>
      </c>
      <c r="D52" s="8">
        <f>+C52-B52</f>
        <v>116199.52905112435</v>
      </c>
      <c r="E52" s="10">
        <f>IF(B52&gt;0,D52/B52,0)</f>
        <v>5.9735093945441298E-2</v>
      </c>
      <c r="G52" s="79">
        <f>ROUND('QP-SEC'!B25/12,0)</f>
        <v>6</v>
      </c>
    </row>
    <row r="53" spans="1:7" x14ac:dyDescent="0.25">
      <c r="B53" s="8"/>
      <c r="C53" s="8"/>
      <c r="D53" s="8"/>
    </row>
    <row r="54" spans="1:7" x14ac:dyDescent="0.25">
      <c r="A54" t="s">
        <v>109</v>
      </c>
      <c r="B54" s="8">
        <f>+'QP-PRI'!D44</f>
        <v>24885642.179880876</v>
      </c>
      <c r="C54" s="8">
        <f>+'QP-PRI'!G44</f>
        <v>26881823.187467851</v>
      </c>
      <c r="D54" s="8">
        <f>+C54-B54</f>
        <v>1996181.0075869747</v>
      </c>
      <c r="E54" s="10">
        <f>IF(B54&gt;0,D54/B54,0)</f>
        <v>8.0214164985495662E-2</v>
      </c>
      <c r="G54" s="79">
        <f>ROUND('QP-PRI'!B28/12,0)</f>
        <v>40</v>
      </c>
    </row>
    <row r="55" spans="1:7" x14ac:dyDescent="0.25">
      <c r="B55" s="8"/>
      <c r="C55" s="8"/>
      <c r="D55" s="8"/>
    </row>
    <row r="56" spans="1:7" x14ac:dyDescent="0.25">
      <c r="A56" t="s">
        <v>100</v>
      </c>
      <c r="B56" s="8">
        <f>+'QP-SUB'!D41</f>
        <v>23236396.380925223</v>
      </c>
      <c r="C56" s="8">
        <f>+'QP-SUB'!G41</f>
        <v>25158174.076884508</v>
      </c>
      <c r="D56" s="8">
        <f>+C56-B56</f>
        <v>1921777.6959592849</v>
      </c>
      <c r="E56" s="10">
        <f>IF(B56&gt;0,D56/B56,0)</f>
        <v>8.2705496345245419E-2</v>
      </c>
      <c r="G56" s="79">
        <f>ROUND('QP-SUB'!B25/12,0)</f>
        <v>26</v>
      </c>
    </row>
    <row r="57" spans="1:7" x14ac:dyDescent="0.25">
      <c r="B57" s="8"/>
      <c r="C57" s="8"/>
      <c r="D57" s="8"/>
    </row>
    <row r="58" spans="1:7" x14ac:dyDescent="0.25">
      <c r="A58" t="s">
        <v>101</v>
      </c>
      <c r="B58" s="8">
        <f>+'QP-TRAN'!D41</f>
        <v>4059582.108520343</v>
      </c>
      <c r="C58" s="8">
        <f>+'QP-TRAN'!G41</f>
        <v>4423265.8252311554</v>
      </c>
      <c r="D58" s="8">
        <f>+C58-B58</f>
        <v>363683.71671081241</v>
      </c>
      <c r="E58" s="10">
        <f>IF(B58&gt;0,D58/B58,0)</f>
        <v>8.9586491168020671E-2</v>
      </c>
      <c r="G58" s="79">
        <f>ROUND('QP-TRAN'!B25/12,0)</f>
        <v>5</v>
      </c>
    </row>
    <row r="59" spans="1:7" x14ac:dyDescent="0.25">
      <c r="B59" s="8"/>
      <c r="C59" s="8"/>
      <c r="D59" s="8"/>
    </row>
    <row r="60" spans="1:7" x14ac:dyDescent="0.25">
      <c r="A60" t="s">
        <v>102</v>
      </c>
      <c r="B60" s="8">
        <f>+'CIPTOD-SUB'!D42</f>
        <v>101015057.68488082</v>
      </c>
      <c r="C60" s="8">
        <f>+'CIPTOD-SUB'!G42</f>
        <v>104427807.24768467</v>
      </c>
      <c r="D60" s="8">
        <f>+C60-B60</f>
        <v>3412749.5628038496</v>
      </c>
      <c r="E60" s="10">
        <f>IF(B60&gt;0,D60/B60,0)</f>
        <v>3.3784562826762059E-2</v>
      </c>
      <c r="G60" s="79">
        <f>ROUND('CIPTOD-SUB'!B26/12,0)</f>
        <v>9</v>
      </c>
    </row>
    <row r="61" spans="1:7" x14ac:dyDescent="0.25">
      <c r="B61" s="8"/>
      <c r="C61" s="8"/>
      <c r="D61" s="8"/>
    </row>
    <row r="62" spans="1:7" x14ac:dyDescent="0.25">
      <c r="A62" t="s">
        <v>103</v>
      </c>
      <c r="B62" s="8">
        <f>+'CIPTOD-TRAN'!D42</f>
        <v>16408183.560255639</v>
      </c>
      <c r="C62" s="8">
        <f>+'CIPTOD-TRAN'!G42</f>
        <v>17745332.576099161</v>
      </c>
      <c r="D62" s="8">
        <f>+C62-B62</f>
        <v>1337149.0158435218</v>
      </c>
      <c r="E62" s="10">
        <f>IF(B62&gt;0,D62/B62,0)</f>
        <v>8.1492811860198924E-2</v>
      </c>
      <c r="G62" s="79">
        <f>ROUND('CIPTOD-TRAN'!B26/12,0)</f>
        <v>2</v>
      </c>
    </row>
    <row r="63" spans="1:7" x14ac:dyDescent="0.25">
      <c r="B63" s="8"/>
      <c r="C63" s="8"/>
      <c r="D63" s="8"/>
    </row>
    <row r="64" spans="1:7" x14ac:dyDescent="0.25">
      <c r="A64" t="s">
        <v>104</v>
      </c>
      <c r="B64" s="8">
        <f>+SL!D49</f>
        <v>1422708.5094667622</v>
      </c>
      <c r="C64" s="8">
        <f>+SL!G49</f>
        <v>1536584.2037959034</v>
      </c>
      <c r="D64" s="8">
        <f>+C64-B64</f>
        <v>113875.69432914117</v>
      </c>
      <c r="E64" s="10">
        <f>IF(B64&gt;0,D64/B64,0)</f>
        <v>8.0041479734891244E-2</v>
      </c>
      <c r="G64" s="79">
        <f>ROUND(SL!B35/12,0)</f>
        <v>56</v>
      </c>
    </row>
    <row r="65" spans="1:7" x14ac:dyDescent="0.25">
      <c r="B65" s="8"/>
      <c r="C65" s="8"/>
      <c r="D65" s="8"/>
    </row>
    <row r="66" spans="1:7" x14ac:dyDescent="0.25">
      <c r="A66" s="15" t="s">
        <v>105</v>
      </c>
      <c r="B66" s="16">
        <f>+MW!D35</f>
        <v>364283.56187718216</v>
      </c>
      <c r="C66" s="16">
        <f>+MW!G35</f>
        <v>393611.51855108066</v>
      </c>
      <c r="D66" s="16">
        <f>+C66-B66</f>
        <v>29327.956673898501</v>
      </c>
      <c r="E66" s="20">
        <f>IF(B66&gt;0,D66/B66,0)</f>
        <v>8.0508592050569636E-2</v>
      </c>
      <c r="G66" s="79">
        <f>ROUND(MW!B21/12,0)</f>
        <v>11</v>
      </c>
    </row>
    <row r="67" spans="1:7" x14ac:dyDescent="0.25">
      <c r="A67" s="8"/>
      <c r="B67" s="8"/>
      <c r="C67" s="8"/>
      <c r="D67" s="8"/>
    </row>
    <row r="68" spans="1:7" x14ac:dyDescent="0.25">
      <c r="A68" s="28" t="s">
        <v>14</v>
      </c>
      <c r="B68" s="30">
        <f>SUM(B10:B67)</f>
        <v>560593072.85101151</v>
      </c>
      <c r="C68" s="30">
        <f>SUM(C10:C67)</f>
        <v>605981815.73465407</v>
      </c>
      <c r="D68" s="30">
        <f>+C68-B68</f>
        <v>45388742.883642554</v>
      </c>
      <c r="E68" s="31">
        <f>IF(B68&gt;0,D68/B68,0)</f>
        <v>8.0965579279830835E-2</v>
      </c>
    </row>
  </sheetData>
  <phoneticPr fontId="0" type="noConversion"/>
  <printOptions horizontalCentered="1"/>
  <pageMargins left="0.75" right="0.75" top="0.75" bottom="0.75" header="0.5" footer="0.5"/>
  <pageSetup scale="8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52"/>
  <sheetViews>
    <sheetView topLeftCell="A13" workbookViewId="0">
      <selection activeCell="B31" sqref="B31"/>
    </sheetView>
  </sheetViews>
  <sheetFormatPr defaultRowHeight="13.2" x14ac:dyDescent="0.25"/>
  <cols>
    <col min="1" max="1" width="37.109375" style="32" customWidth="1"/>
    <col min="2" max="2" width="17.6640625" style="33" customWidth="1"/>
    <col min="3" max="4" width="17.6640625" customWidth="1"/>
  </cols>
  <sheetData>
    <row r="1" spans="1:5" ht="17.399999999999999" x14ac:dyDescent="0.3">
      <c r="A1" s="40" t="s">
        <v>181</v>
      </c>
    </row>
    <row r="4" spans="1:5" x14ac:dyDescent="0.25">
      <c r="D4" s="35" t="s">
        <v>178</v>
      </c>
    </row>
    <row r="5" spans="1:5" x14ac:dyDescent="0.25">
      <c r="B5" s="35" t="s">
        <v>182</v>
      </c>
      <c r="C5" s="36"/>
      <c r="D5" s="35" t="s">
        <v>182</v>
      </c>
    </row>
    <row r="6" spans="1:5" x14ac:dyDescent="0.25">
      <c r="A6" s="37" t="s">
        <v>146</v>
      </c>
      <c r="B6" s="35" t="s">
        <v>183</v>
      </c>
      <c r="C6" s="35" t="s">
        <v>184</v>
      </c>
      <c r="D6" s="35" t="s">
        <v>183</v>
      </c>
    </row>
    <row r="7" spans="1:5" x14ac:dyDescent="0.25">
      <c r="A7" s="32" t="s">
        <v>147</v>
      </c>
      <c r="B7" s="18">
        <v>16434417.310000001</v>
      </c>
      <c r="C7" s="18">
        <f>ROUND(3615459*B7/B$49,0)+1</f>
        <v>1471306</v>
      </c>
      <c r="D7" s="25">
        <f>+B7+C7</f>
        <v>17905723.310000002</v>
      </c>
    </row>
    <row r="8" spans="1:5" x14ac:dyDescent="0.25">
      <c r="A8" s="39" t="s">
        <v>153</v>
      </c>
      <c r="B8" s="18">
        <v>28287.49</v>
      </c>
      <c r="C8" s="18">
        <f t="shared" ref="C8:C9" si="0">ROUND(3615459*B8/B$49,0)</f>
        <v>2532</v>
      </c>
      <c r="D8" s="25">
        <f t="shared" ref="D8:D10" si="1">+B8+C8</f>
        <v>30819.49</v>
      </c>
    </row>
    <row r="9" spans="1:5" x14ac:dyDescent="0.25">
      <c r="A9" s="39" t="s">
        <v>152</v>
      </c>
      <c r="B9" s="41">
        <v>304.36</v>
      </c>
      <c r="C9" s="41">
        <f t="shared" si="0"/>
        <v>27</v>
      </c>
      <c r="D9" s="42">
        <f t="shared" si="1"/>
        <v>331.36</v>
      </c>
    </row>
    <row r="10" spans="1:5" x14ac:dyDescent="0.25">
      <c r="A10" s="32" t="s">
        <v>148</v>
      </c>
      <c r="B10" s="33">
        <f>SUM(B7:B9)</f>
        <v>16463009.16</v>
      </c>
      <c r="C10" s="33">
        <f>SUM(C7:C9)</f>
        <v>1473865</v>
      </c>
      <c r="D10" s="25">
        <f t="shared" si="1"/>
        <v>17936874.16</v>
      </c>
    </row>
    <row r="11" spans="1:5" x14ac:dyDescent="0.25">
      <c r="C11" s="33"/>
      <c r="D11" s="25"/>
    </row>
    <row r="12" spans="1:5" x14ac:dyDescent="0.25">
      <c r="A12" s="32" t="s">
        <v>88</v>
      </c>
      <c r="B12" s="18">
        <v>704499.9</v>
      </c>
      <c r="C12" s="18">
        <f>ROUND(3615459*B12/B$49,0)</f>
        <v>63071</v>
      </c>
      <c r="D12" s="25">
        <f>+B12+C12</f>
        <v>767570.9</v>
      </c>
    </row>
    <row r="13" spans="1:5" x14ac:dyDescent="0.25">
      <c r="C13" s="33"/>
      <c r="D13" s="25"/>
    </row>
    <row r="14" spans="1:5" x14ac:dyDescent="0.25">
      <c r="A14" s="39" t="s">
        <v>154</v>
      </c>
      <c r="B14" s="18">
        <v>1747159.11</v>
      </c>
      <c r="C14" s="18">
        <f t="shared" ref="C14:C17" si="2">ROUND(3615459*B14/B$49,0)</f>
        <v>156416</v>
      </c>
      <c r="D14" s="25">
        <f t="shared" ref="D14:D18" si="3">+B14+C14</f>
        <v>1903575.11</v>
      </c>
    </row>
    <row r="15" spans="1:5" x14ac:dyDescent="0.25">
      <c r="A15" s="39" t="s">
        <v>155</v>
      </c>
      <c r="B15" s="18">
        <v>54.32</v>
      </c>
      <c r="C15" s="18">
        <f t="shared" si="2"/>
        <v>5</v>
      </c>
      <c r="D15" s="25">
        <f t="shared" si="3"/>
        <v>59.32</v>
      </c>
    </row>
    <row r="16" spans="1:5" x14ac:dyDescent="0.25">
      <c r="A16" s="39" t="s">
        <v>156</v>
      </c>
      <c r="B16" s="18">
        <v>5158</v>
      </c>
      <c r="C16" s="18">
        <f t="shared" si="2"/>
        <v>462</v>
      </c>
      <c r="D16" s="25">
        <f t="shared" si="3"/>
        <v>5620</v>
      </c>
      <c r="E16" s="34"/>
    </row>
    <row r="17" spans="1:5" x14ac:dyDescent="0.25">
      <c r="A17" s="39" t="s">
        <v>157</v>
      </c>
      <c r="B17" s="41">
        <v>61256.07</v>
      </c>
      <c r="C17" s="41">
        <f t="shared" si="2"/>
        <v>5484</v>
      </c>
      <c r="D17" s="42">
        <f t="shared" si="3"/>
        <v>66740.070000000007</v>
      </c>
      <c r="E17" s="34"/>
    </row>
    <row r="18" spans="1:5" x14ac:dyDescent="0.25">
      <c r="A18" s="39" t="s">
        <v>158</v>
      </c>
      <c r="B18" s="33">
        <f>SUM(B14:B17)</f>
        <v>1813627.5000000002</v>
      </c>
      <c r="C18" s="33">
        <f>SUM(C14:C17)</f>
        <v>162367</v>
      </c>
      <c r="D18" s="25">
        <f t="shared" si="3"/>
        <v>1975994.5000000002</v>
      </c>
    </row>
    <row r="19" spans="1:5" x14ac:dyDescent="0.25">
      <c r="A19" s="39"/>
      <c r="C19" s="33"/>
      <c r="D19" s="43"/>
    </row>
    <row r="20" spans="1:5" x14ac:dyDescent="0.25">
      <c r="A20" s="46" t="s">
        <v>185</v>
      </c>
      <c r="B20" s="18">
        <v>14246.29</v>
      </c>
      <c r="C20" s="18">
        <f t="shared" ref="C20:C23" si="4">ROUND(3615459*B20/B$49,0)</f>
        <v>1275</v>
      </c>
      <c r="D20" s="25">
        <f t="shared" ref="D20:D26" si="5">+B20+C20</f>
        <v>15521.29</v>
      </c>
    </row>
    <row r="21" spans="1:5" x14ac:dyDescent="0.25">
      <c r="A21" s="39" t="s">
        <v>162</v>
      </c>
      <c r="B21" s="18">
        <v>5133976.95</v>
      </c>
      <c r="C21" s="18">
        <f t="shared" si="4"/>
        <v>459623</v>
      </c>
      <c r="D21" s="25">
        <f t="shared" si="5"/>
        <v>5593599.9500000002</v>
      </c>
    </row>
    <row r="22" spans="1:5" x14ac:dyDescent="0.25">
      <c r="A22" s="39" t="s">
        <v>163</v>
      </c>
      <c r="B22" s="18">
        <v>10026.1</v>
      </c>
      <c r="C22" s="18">
        <f t="shared" si="4"/>
        <v>898</v>
      </c>
      <c r="D22" s="25">
        <f t="shared" si="5"/>
        <v>10924.1</v>
      </c>
    </row>
    <row r="23" spans="1:5" x14ac:dyDescent="0.25">
      <c r="A23" s="39" t="s">
        <v>164</v>
      </c>
      <c r="B23" s="18">
        <v>33872.160000000003</v>
      </c>
      <c r="C23" s="18">
        <f t="shared" si="4"/>
        <v>3032</v>
      </c>
      <c r="D23" s="25">
        <f t="shared" si="5"/>
        <v>36904.160000000003</v>
      </c>
    </row>
    <row r="24" spans="1:5" x14ac:dyDescent="0.25">
      <c r="A24" s="39" t="s">
        <v>165</v>
      </c>
      <c r="B24" s="18">
        <v>84910.16</v>
      </c>
      <c r="C24" s="18">
        <f>ROUND(3615459*B24/B$49,0)</f>
        <v>7602</v>
      </c>
      <c r="D24" s="25">
        <f t="shared" si="5"/>
        <v>92512.16</v>
      </c>
    </row>
    <row r="25" spans="1:5" x14ac:dyDescent="0.25">
      <c r="A25" s="39" t="s">
        <v>166</v>
      </c>
      <c r="B25" s="41">
        <v>10198.86</v>
      </c>
      <c r="C25" s="41">
        <f>ROUND(3615459*B25/B$49,0)</f>
        <v>913</v>
      </c>
      <c r="D25" s="42">
        <f t="shared" si="5"/>
        <v>11111.86</v>
      </c>
    </row>
    <row r="26" spans="1:5" x14ac:dyDescent="0.25">
      <c r="A26" s="39" t="s">
        <v>149</v>
      </c>
      <c r="B26" s="33">
        <f>SUM(B20:B25)</f>
        <v>5287230.5200000005</v>
      </c>
      <c r="C26" s="33">
        <f>SUM(C20:C25)</f>
        <v>473343</v>
      </c>
      <c r="D26" s="25">
        <f t="shared" si="5"/>
        <v>5760573.5200000005</v>
      </c>
    </row>
    <row r="27" spans="1:5" x14ac:dyDescent="0.25">
      <c r="A27" s="39"/>
      <c r="C27" s="33"/>
      <c r="D27" s="25"/>
    </row>
    <row r="28" spans="1:5" x14ac:dyDescent="0.25">
      <c r="A28" s="39" t="s">
        <v>167</v>
      </c>
      <c r="B28" s="18">
        <v>4783461.63</v>
      </c>
      <c r="C28" s="18">
        <f t="shared" ref="C28:C29" si="6">ROUND(3615459*B28/B$49,0)</f>
        <v>428243</v>
      </c>
      <c r="D28" s="25">
        <f t="shared" ref="D28:D33" si="7">+B28+C28</f>
        <v>5211704.63</v>
      </c>
    </row>
    <row r="29" spans="1:5" x14ac:dyDescent="0.25">
      <c r="A29" s="39" t="s">
        <v>168</v>
      </c>
      <c r="B29" s="18">
        <v>16218.28</v>
      </c>
      <c r="C29" s="18">
        <f t="shared" si="6"/>
        <v>1452</v>
      </c>
      <c r="D29" s="25">
        <f t="shared" si="7"/>
        <v>17670.28</v>
      </c>
    </row>
    <row r="30" spans="1:5" x14ac:dyDescent="0.25">
      <c r="A30" s="39" t="s">
        <v>169</v>
      </c>
      <c r="B30" s="18">
        <v>822524.48</v>
      </c>
      <c r="C30" s="18">
        <f>ROUND(3615459*B30/B$49,0)</f>
        <v>73637</v>
      </c>
      <c r="D30" s="25">
        <f t="shared" si="7"/>
        <v>896161.48</v>
      </c>
    </row>
    <row r="31" spans="1:5" x14ac:dyDescent="0.25">
      <c r="A31" s="39" t="s">
        <v>170</v>
      </c>
      <c r="B31" s="18">
        <v>167393.04</v>
      </c>
      <c r="C31" s="18">
        <f>ROUND(3615459*B31/B$49,0)</f>
        <v>14986</v>
      </c>
      <c r="D31" s="25">
        <f t="shared" si="7"/>
        <v>182379.04</v>
      </c>
    </row>
    <row r="32" spans="1:5" x14ac:dyDescent="0.25">
      <c r="A32" s="39" t="s">
        <v>171</v>
      </c>
      <c r="B32" s="41">
        <v>-677.22</v>
      </c>
      <c r="C32" s="41">
        <f>ROUND(3615459*B32/B$49,0)</f>
        <v>-61</v>
      </c>
      <c r="D32" s="42">
        <f t="shared" si="7"/>
        <v>-738.22</v>
      </c>
    </row>
    <row r="33" spans="1:4" x14ac:dyDescent="0.25">
      <c r="A33" s="39" t="s">
        <v>150</v>
      </c>
      <c r="B33" s="33">
        <f>SUM(B28:B32)</f>
        <v>5788920.2100000009</v>
      </c>
      <c r="C33" s="33">
        <f>SUM(C28:C32)</f>
        <v>518257</v>
      </c>
      <c r="D33" s="25">
        <f t="shared" si="7"/>
        <v>6307177.2100000009</v>
      </c>
    </row>
    <row r="34" spans="1:4" x14ac:dyDescent="0.25">
      <c r="A34" s="39"/>
      <c r="C34" s="33"/>
      <c r="D34" s="25"/>
    </row>
    <row r="35" spans="1:4" x14ac:dyDescent="0.25">
      <c r="A35" s="39" t="s">
        <v>172</v>
      </c>
      <c r="B35" s="18">
        <v>152214.34</v>
      </c>
      <c r="C35" s="18">
        <f>ROUND(3615459*B35/B$49,0)</f>
        <v>13627</v>
      </c>
      <c r="D35" s="25">
        <f t="shared" ref="D35:D39" si="8">+B35+C35</f>
        <v>165841.34</v>
      </c>
    </row>
    <row r="36" spans="1:4" x14ac:dyDescent="0.25">
      <c r="A36" s="39" t="s">
        <v>173</v>
      </c>
      <c r="B36" s="18">
        <v>1749874.07</v>
      </c>
      <c r="C36" s="18">
        <f>ROUND(3615459*B36/B$49,0)</f>
        <v>156659</v>
      </c>
      <c r="D36" s="25">
        <f t="shared" si="8"/>
        <v>1906533.07</v>
      </c>
    </row>
    <row r="37" spans="1:4" x14ac:dyDescent="0.25">
      <c r="A37" s="39" t="s">
        <v>174</v>
      </c>
      <c r="B37" s="18">
        <v>1622561.28</v>
      </c>
      <c r="C37" s="18">
        <f>ROUND(3615459*B37/B$49,0)</f>
        <v>145261</v>
      </c>
      <c r="D37" s="25">
        <f t="shared" si="8"/>
        <v>1767822.28</v>
      </c>
    </row>
    <row r="38" spans="1:4" x14ac:dyDescent="0.25">
      <c r="A38" s="39" t="s">
        <v>175</v>
      </c>
      <c r="B38" s="41">
        <v>338950.99</v>
      </c>
      <c r="C38" s="41">
        <f>ROUND(3615459*B38/B$49,0)</f>
        <v>30345</v>
      </c>
      <c r="D38" s="42">
        <f t="shared" si="8"/>
        <v>369295.99</v>
      </c>
    </row>
    <row r="39" spans="1:4" x14ac:dyDescent="0.25">
      <c r="A39" s="39" t="s">
        <v>159</v>
      </c>
      <c r="B39" s="33">
        <f>SUM(B35:B38)</f>
        <v>3863600.6800000006</v>
      </c>
      <c r="C39" s="33">
        <f>SUM(C35:C38)</f>
        <v>345892</v>
      </c>
      <c r="D39" s="25">
        <f t="shared" si="8"/>
        <v>4209492.6800000006</v>
      </c>
    </row>
    <row r="40" spans="1:4" x14ac:dyDescent="0.25">
      <c r="A40" s="39"/>
      <c r="C40" s="33"/>
      <c r="D40" s="25"/>
    </row>
    <row r="41" spans="1:4" x14ac:dyDescent="0.25">
      <c r="A41" s="39" t="s">
        <v>176</v>
      </c>
      <c r="B41" s="18">
        <v>5562420.3700000001</v>
      </c>
      <c r="C41" s="18">
        <f>ROUND(3615459*B41/B$49,0)</f>
        <v>497980</v>
      </c>
      <c r="D41" s="25">
        <f t="shared" ref="D41:D43" si="9">+B41+C41</f>
        <v>6060400.3700000001</v>
      </c>
    </row>
    <row r="42" spans="1:4" x14ac:dyDescent="0.25">
      <c r="A42" s="39" t="s">
        <v>177</v>
      </c>
      <c r="B42" s="41">
        <v>733057</v>
      </c>
      <c r="C42" s="41">
        <f>ROUND(3615459*B42/B$49,0)</f>
        <v>65628</v>
      </c>
      <c r="D42" s="42">
        <f t="shared" si="9"/>
        <v>798685</v>
      </c>
    </row>
    <row r="43" spans="1:4" x14ac:dyDescent="0.25">
      <c r="A43" s="39" t="s">
        <v>161</v>
      </c>
      <c r="B43" s="33">
        <f>SUM(B41:B42)</f>
        <v>6295477.3700000001</v>
      </c>
      <c r="C43" s="33">
        <f>SUM(C41:C42)</f>
        <v>563608</v>
      </c>
      <c r="D43" s="25">
        <f t="shared" si="9"/>
        <v>6859085.3700000001</v>
      </c>
    </row>
    <row r="44" spans="1:4" x14ac:dyDescent="0.25">
      <c r="C44" s="33"/>
      <c r="D44" s="25"/>
    </row>
    <row r="45" spans="1:4" x14ac:dyDescent="0.25">
      <c r="A45" s="39" t="s">
        <v>151</v>
      </c>
      <c r="B45" s="18">
        <v>139145.35</v>
      </c>
      <c r="C45" s="18">
        <f>ROUND(3615459*B45/B$49,0)</f>
        <v>12457</v>
      </c>
      <c r="D45" s="25">
        <f>+B45+C45</f>
        <v>151602.35</v>
      </c>
    </row>
    <row r="46" spans="1:4" x14ac:dyDescent="0.25">
      <c r="A46" s="39"/>
      <c r="B46" s="38"/>
      <c r="C46" s="38"/>
      <c r="D46" s="44"/>
    </row>
    <row r="47" spans="1:4" x14ac:dyDescent="0.25">
      <c r="A47" s="39" t="s">
        <v>160</v>
      </c>
      <c r="B47" s="18">
        <v>29030.36</v>
      </c>
      <c r="C47" s="18">
        <f>ROUND(3615459*B47/B$49,0)</f>
        <v>2599</v>
      </c>
      <c r="D47" s="25">
        <f>+B47+C47</f>
        <v>31629.360000000001</v>
      </c>
    </row>
    <row r="48" spans="1:4" x14ac:dyDescent="0.25">
      <c r="C48" s="33"/>
      <c r="D48" s="25"/>
    </row>
    <row r="49" spans="1:6" x14ac:dyDescent="0.25">
      <c r="A49" s="32" t="s">
        <v>14</v>
      </c>
      <c r="B49" s="34">
        <f>SUM(B10,B12,B18,B26,B33,B39,B43:B47)</f>
        <v>40384541.049999997</v>
      </c>
      <c r="C49" s="34">
        <f>SUM(C10,C12,C18,C26,C33,C39,C43:C47)</f>
        <v>3615459</v>
      </c>
      <c r="D49" s="25">
        <f>SUM(D10,D12,D18,D26,D33,D39,D43:D47)</f>
        <v>44000000.049999997</v>
      </c>
      <c r="F49" s="34"/>
    </row>
    <row r="50" spans="1:6" x14ac:dyDescent="0.25">
      <c r="C50" s="34"/>
    </row>
    <row r="51" spans="1:6" x14ac:dyDescent="0.25">
      <c r="D51" s="8"/>
    </row>
    <row r="52" spans="1:6" x14ac:dyDescent="0.25">
      <c r="A52" s="28"/>
      <c r="D52" s="8"/>
    </row>
  </sheetData>
  <printOptions horizontalCentered="1"/>
  <pageMargins left="0.25" right="0.25" top="1" bottom="0.75" header="0.5" footer="0.25"/>
  <pageSetup scale="79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37"/>
  <sheetViews>
    <sheetView workbookViewId="0">
      <selection activeCell="D29" sqref="D29:D35"/>
    </sheetView>
  </sheetViews>
  <sheetFormatPr defaultRowHeight="13.2" x14ac:dyDescent="0.25"/>
  <cols>
    <col min="1" max="1" width="22.33203125" customWidth="1"/>
    <col min="2" max="2" width="12.6640625" customWidth="1"/>
    <col min="3" max="3" width="12.88671875" customWidth="1"/>
    <col min="4" max="4" width="12.6640625" customWidth="1"/>
    <col min="5" max="5" width="16.33203125" style="21" customWidth="1"/>
    <col min="6" max="6" width="13.6640625" style="21" customWidth="1"/>
    <col min="7" max="7" width="13.44140625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113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4" t="s">
        <v>8</v>
      </c>
    </row>
    <row r="13" spans="1:7" x14ac:dyDescent="0.25">
      <c r="A13" t="s">
        <v>21</v>
      </c>
      <c r="B13" s="59">
        <v>15485</v>
      </c>
      <c r="C13" s="13">
        <f>RSLMTOD!C13</f>
        <v>0.13227</v>
      </c>
      <c r="D13" s="8">
        <f>+B13*C13</f>
        <v>2048.2009499999999</v>
      </c>
      <c r="E13" s="25">
        <f>+B13</f>
        <v>15485</v>
      </c>
      <c r="F13" s="54">
        <f>RSLMTOD!F13</f>
        <v>0.13109000000000001</v>
      </c>
      <c r="G13" s="8">
        <f>+E13*F13</f>
        <v>2029.9286500000003</v>
      </c>
    </row>
    <row r="14" spans="1:7" x14ac:dyDescent="0.25">
      <c r="A14" t="s">
        <v>22</v>
      </c>
      <c r="B14" s="59">
        <v>31006</v>
      </c>
      <c r="C14" s="13">
        <f>RSLMTOD!C14</f>
        <v>4.9399999999999999E-2</v>
      </c>
      <c r="D14" s="8">
        <f>+B14*C14</f>
        <v>1531.6964</v>
      </c>
      <c r="E14" s="25">
        <f>+B14</f>
        <v>31006</v>
      </c>
      <c r="F14" s="54">
        <f>RSLMTOD!F14</f>
        <v>5.2040000000000003E-2</v>
      </c>
      <c r="G14" s="8">
        <f>+E14*F14</f>
        <v>1613.55224</v>
      </c>
    </row>
    <row r="15" spans="1:7" x14ac:dyDescent="0.25">
      <c r="D15" s="8"/>
      <c r="E15" s="25"/>
      <c r="F15" s="56"/>
      <c r="G15" s="8"/>
    </row>
    <row r="16" spans="1:7" x14ac:dyDescent="0.25">
      <c r="A16" t="s">
        <v>11</v>
      </c>
      <c r="B16" s="5">
        <f>SUM(B13:B14)</f>
        <v>46491</v>
      </c>
      <c r="D16" s="8"/>
      <c r="E16" s="25">
        <f>+B16</f>
        <v>46491</v>
      </c>
      <c r="F16" s="56"/>
      <c r="G16" s="8"/>
    </row>
    <row r="17" spans="1:10" x14ac:dyDescent="0.25">
      <c r="D17" s="8"/>
      <c r="E17" s="25"/>
      <c r="F17" s="56"/>
      <c r="G17" s="8"/>
    </row>
    <row r="18" spans="1:10" x14ac:dyDescent="0.25">
      <c r="A18" s="46" t="s">
        <v>12</v>
      </c>
      <c r="B18" s="59">
        <v>36</v>
      </c>
      <c r="C18" s="27">
        <f>+RSLMTOD!C20</f>
        <v>10.55</v>
      </c>
      <c r="D18" s="8">
        <f>+B18*C18</f>
        <v>379.8</v>
      </c>
      <c r="E18" s="25">
        <f>+B18</f>
        <v>36</v>
      </c>
      <c r="F18" s="57">
        <f>RSLMTOD!F20</f>
        <v>16.649999999999999</v>
      </c>
      <c r="G18" s="8">
        <f>+E18*F18</f>
        <v>599.4</v>
      </c>
    </row>
    <row r="19" spans="1:10" x14ac:dyDescent="0.25">
      <c r="A19" s="46" t="s">
        <v>187</v>
      </c>
      <c r="B19" s="59">
        <f>+B18</f>
        <v>36</v>
      </c>
      <c r="C19" s="27">
        <v>0.15</v>
      </c>
      <c r="D19" s="8">
        <f>+B19*C19</f>
        <v>5.3999999999999995</v>
      </c>
      <c r="E19" s="25">
        <f>B19</f>
        <v>36</v>
      </c>
      <c r="F19" s="57">
        <f>C19</f>
        <v>0.15</v>
      </c>
      <c r="G19" s="8">
        <f>+E19*F19</f>
        <v>5.3999999999999995</v>
      </c>
      <c r="J19" s="74"/>
    </row>
    <row r="20" spans="1:10" x14ac:dyDescent="0.25">
      <c r="B20" s="56"/>
      <c r="D20" s="8"/>
      <c r="E20" s="25"/>
      <c r="F20" s="56"/>
      <c r="G20" s="8"/>
    </row>
    <row r="21" spans="1:10" x14ac:dyDescent="0.25">
      <c r="A21" t="s">
        <v>13</v>
      </c>
      <c r="B21" s="59">
        <v>36</v>
      </c>
      <c r="D21" s="8"/>
      <c r="E21" s="25">
        <f>+B21</f>
        <v>36</v>
      </c>
      <c r="F21" s="56"/>
      <c r="G21" s="8"/>
    </row>
    <row r="22" spans="1:10" x14ac:dyDescent="0.25">
      <c r="D22" s="8"/>
      <c r="E22" s="25"/>
      <c r="F22" s="56"/>
      <c r="G22" s="8"/>
    </row>
    <row r="23" spans="1:10" x14ac:dyDescent="0.25">
      <c r="A23" t="s">
        <v>16</v>
      </c>
      <c r="C23" s="11"/>
      <c r="D23" s="8">
        <v>0</v>
      </c>
      <c r="F23" s="60"/>
      <c r="G23" s="8">
        <v>0</v>
      </c>
    </row>
    <row r="24" spans="1:10" x14ac:dyDescent="0.25">
      <c r="D24" s="8"/>
      <c r="F24" s="56"/>
      <c r="G24" s="8"/>
    </row>
    <row r="25" spans="1:10" x14ac:dyDescent="0.25">
      <c r="A25" t="str">
        <f>+RS!A$26</f>
        <v xml:space="preserve">Fuel </v>
      </c>
      <c r="C25" s="11">
        <f>+RS!C26</f>
        <v>2.0411219651722302E-3</v>
      </c>
      <c r="D25" s="8">
        <f>+B16*C25</f>
        <v>94.893801282822153</v>
      </c>
      <c r="F25" s="60">
        <f>+RS!F26</f>
        <v>2.0411219651722302E-3</v>
      </c>
      <c r="G25" s="8">
        <f>+E16*F25</f>
        <v>94.893801282822153</v>
      </c>
    </row>
    <row r="26" spans="1:10" x14ac:dyDescent="0.25">
      <c r="D26" s="8"/>
      <c r="F26" s="61"/>
      <c r="G26" s="8"/>
    </row>
    <row r="27" spans="1:10" x14ac:dyDescent="0.25">
      <c r="A27" t="str">
        <f>+RS!A$28</f>
        <v>Asset Transfer Rider</v>
      </c>
      <c r="D27" s="8">
        <f>+ATR!D9</f>
        <v>331.36</v>
      </c>
      <c r="F27" s="61"/>
      <c r="G27" s="8"/>
    </row>
    <row r="28" spans="1:10" x14ac:dyDescent="0.25">
      <c r="D28" s="8"/>
      <c r="F28" s="61"/>
      <c r="G28" s="8"/>
    </row>
    <row r="29" spans="1:10" x14ac:dyDescent="0.25">
      <c r="A29" t="str">
        <f>+RS!A30</f>
        <v>Economic Development Rider</v>
      </c>
      <c r="D29" s="8"/>
      <c r="E29" s="25">
        <f>+E18</f>
        <v>36</v>
      </c>
      <c r="F29" s="57">
        <f>+RS!F30</f>
        <v>0.15</v>
      </c>
      <c r="G29" s="8">
        <f>+E29*F29</f>
        <v>5.3999999999999995</v>
      </c>
    </row>
    <row r="30" spans="1:10" x14ac:dyDescent="0.25">
      <c r="D30" s="8"/>
      <c r="E30" s="25"/>
      <c r="F30" s="57"/>
      <c r="G30" s="8"/>
    </row>
    <row r="31" spans="1:10" x14ac:dyDescent="0.25">
      <c r="A31" t="str">
        <f>+RS!A32</f>
        <v>Big Sandy 1 Operations Rider</v>
      </c>
      <c r="D31" s="8"/>
      <c r="E31" s="25">
        <f>+E16</f>
        <v>46491</v>
      </c>
      <c r="F31" s="54">
        <f>+RS!F32</f>
        <v>3.3E-3</v>
      </c>
      <c r="G31" s="8">
        <f>+E31*F31</f>
        <v>153.4203</v>
      </c>
    </row>
    <row r="32" spans="1:10" x14ac:dyDescent="0.25">
      <c r="D32" s="8"/>
      <c r="E32" s="25"/>
      <c r="F32" s="57"/>
      <c r="G32" s="8"/>
    </row>
    <row r="33" spans="1:7" x14ac:dyDescent="0.25">
      <c r="A33" t="str">
        <f>+RS!A34</f>
        <v>Big Sandy Retirement Rider</v>
      </c>
      <c r="D33" s="8"/>
      <c r="E33" s="8">
        <f>SUM(G13:G31)</f>
        <v>4501.9949912828215</v>
      </c>
      <c r="F33" s="78">
        <f>RS!$F$34</f>
        <v>3.0071000000000001E-2</v>
      </c>
      <c r="G33" s="8">
        <f>+E33*F33</f>
        <v>135.37949138286572</v>
      </c>
    </row>
    <row r="34" spans="1:7" x14ac:dyDescent="0.25">
      <c r="D34" s="8"/>
      <c r="E34" s="25"/>
      <c r="F34" s="57"/>
      <c r="G34" s="8"/>
    </row>
    <row r="35" spans="1:7" x14ac:dyDescent="0.25">
      <c r="A35" t="str">
        <f>+RS!A$36</f>
        <v>Environmental Surcharge</v>
      </c>
      <c r="D35" s="45"/>
      <c r="E35" s="8">
        <f>SUM(G13:G31)</f>
        <v>4501.9949912828215</v>
      </c>
      <c r="F35" s="78">
        <f>RS!$F$36</f>
        <v>5.9580000000000001E-2</v>
      </c>
      <c r="G35" s="8">
        <f>+E35*F35</f>
        <v>268.22886158063051</v>
      </c>
    </row>
    <row r="36" spans="1:7" x14ac:dyDescent="0.25">
      <c r="D36" s="8"/>
      <c r="G36" s="8"/>
    </row>
    <row r="37" spans="1:7" x14ac:dyDescent="0.25">
      <c r="A37" s="46" t="s">
        <v>14</v>
      </c>
      <c r="D37" s="8">
        <f>SUM(D13:D36)</f>
        <v>4391.3511512828227</v>
      </c>
      <c r="G37" s="8">
        <f>SUM(G13:G36)</f>
        <v>4905.6033442463176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38"/>
  <sheetViews>
    <sheetView workbookViewId="0">
      <selection activeCell="D32" sqref="D26:D32"/>
    </sheetView>
  </sheetViews>
  <sheetFormatPr defaultRowHeight="13.2" x14ac:dyDescent="0.25"/>
  <cols>
    <col min="1" max="1" width="21.88671875" customWidth="1"/>
    <col min="2" max="2" width="12.88671875" customWidth="1"/>
    <col min="3" max="3" width="12.44140625" customWidth="1"/>
    <col min="4" max="4" width="14.44140625" bestFit="1" customWidth="1"/>
    <col min="5" max="5" width="16.33203125" style="21" customWidth="1"/>
    <col min="6" max="7" width="14.33203125" style="21" customWidth="1"/>
    <col min="8" max="8" width="16.5546875" style="21" customWidth="1"/>
    <col min="9" max="9" width="10.6640625" style="21" bestFit="1" customWidth="1"/>
    <col min="10" max="10" width="8.88671875" style="21" customWidth="1"/>
  </cols>
  <sheetData>
    <row r="1" spans="1:9" x14ac:dyDescent="0.25">
      <c r="A1" t="str">
        <f>+RS!A1</f>
        <v>KENTUCKY POWER BILLING ANALYSIS</v>
      </c>
    </row>
    <row r="2" spans="1:9" x14ac:dyDescent="0.25">
      <c r="A2" t="str">
        <f>+RS!A2</f>
        <v>SETTLEMENT</v>
      </c>
    </row>
    <row r="3" spans="1:9" x14ac:dyDescent="0.25">
      <c r="A3" t="str">
        <f>+RS!A3</f>
        <v>TEST YEAR ENDED SEPTEMBER 30, 2014</v>
      </c>
    </row>
    <row r="5" spans="1:9" x14ac:dyDescent="0.25">
      <c r="A5" t="s">
        <v>0</v>
      </c>
    </row>
    <row r="8" spans="1:9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9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9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9" x14ac:dyDescent="0.25">
      <c r="A12" s="4" t="s">
        <v>8</v>
      </c>
      <c r="E12" s="25"/>
    </row>
    <row r="13" spans="1:9" x14ac:dyDescent="0.25">
      <c r="A13" t="s">
        <v>9</v>
      </c>
      <c r="B13" s="59">
        <v>62183999</v>
      </c>
      <c r="C13" s="49">
        <v>0.13159999999999999</v>
      </c>
      <c r="D13" s="8">
        <f>+B13*C13</f>
        <v>8183414.2683999995</v>
      </c>
      <c r="E13" s="25">
        <f>+B13</f>
        <v>62183999</v>
      </c>
      <c r="F13" s="54">
        <v>0.11826</v>
      </c>
      <c r="G13" s="8">
        <f>+E13*F13</f>
        <v>7353879.7217399999</v>
      </c>
      <c r="H13" s="74"/>
      <c r="I13" s="74"/>
    </row>
    <row r="14" spans="1:9" x14ac:dyDescent="0.25">
      <c r="A14" t="s">
        <v>10</v>
      </c>
      <c r="B14" s="59">
        <v>76024369</v>
      </c>
      <c r="C14" s="49">
        <v>7.1160000000000001E-2</v>
      </c>
      <c r="D14" s="8">
        <f>+B14*C14</f>
        <v>5409894.0980400005</v>
      </c>
      <c r="E14" s="25">
        <f>+B14</f>
        <v>76024369</v>
      </c>
      <c r="F14" s="54">
        <v>7.3819999999999997E-2</v>
      </c>
      <c r="G14" s="8">
        <f>+E14*F14</f>
        <v>5612118.9195799995</v>
      </c>
      <c r="H14" s="25"/>
      <c r="I14" s="74"/>
    </row>
    <row r="15" spans="1:9" x14ac:dyDescent="0.25">
      <c r="C15" s="46"/>
      <c r="D15" s="8"/>
      <c r="E15" s="25"/>
      <c r="F15" s="56"/>
      <c r="G15" s="8"/>
    </row>
    <row r="16" spans="1:9" x14ac:dyDescent="0.25">
      <c r="A16" t="s">
        <v>11</v>
      </c>
      <c r="B16" s="5">
        <f>SUM(B13:B14)</f>
        <v>138208368</v>
      </c>
      <c r="C16" s="46"/>
      <c r="D16" s="8"/>
      <c r="E16" s="25">
        <f>+B16</f>
        <v>138208368</v>
      </c>
      <c r="F16" s="56"/>
      <c r="G16" s="8"/>
    </row>
    <row r="17" spans="1:10" x14ac:dyDescent="0.25">
      <c r="C17" s="46"/>
      <c r="D17" s="8"/>
      <c r="E17" s="25"/>
      <c r="F17" s="56"/>
      <c r="G17" s="8"/>
    </row>
    <row r="18" spans="1:10" x14ac:dyDescent="0.25">
      <c r="A18" t="s">
        <v>12</v>
      </c>
      <c r="B18" s="59">
        <v>271566</v>
      </c>
      <c r="C18" s="52">
        <v>11.5</v>
      </c>
      <c r="D18" s="8">
        <f>+B18*C18</f>
        <v>3123009</v>
      </c>
      <c r="E18" s="25">
        <f>+B18</f>
        <v>271566</v>
      </c>
      <c r="F18" s="57">
        <v>17.5</v>
      </c>
      <c r="G18" s="8">
        <f>+E18*F18</f>
        <v>4752405</v>
      </c>
      <c r="H18" s="74"/>
    </row>
    <row r="19" spans="1:10" x14ac:dyDescent="0.25">
      <c r="B19" s="56"/>
      <c r="C19" s="46"/>
      <c r="D19" s="8"/>
      <c r="E19" s="25"/>
      <c r="F19" s="56"/>
      <c r="G19" s="8"/>
    </row>
    <row r="20" spans="1:10" x14ac:dyDescent="0.25">
      <c r="A20" t="s">
        <v>13</v>
      </c>
      <c r="B20" s="59">
        <v>271464</v>
      </c>
      <c r="C20" s="46"/>
      <c r="D20" s="8"/>
      <c r="E20" s="25">
        <f>+B20</f>
        <v>271464</v>
      </c>
      <c r="F20" s="56"/>
      <c r="G20" s="8"/>
    </row>
    <row r="21" spans="1:10" x14ac:dyDescent="0.25">
      <c r="C21" s="46"/>
      <c r="D21" s="8"/>
      <c r="E21" s="25"/>
      <c r="F21" s="56"/>
      <c r="G21" s="8"/>
    </row>
    <row r="22" spans="1:10" x14ac:dyDescent="0.25">
      <c r="A22" t="str">
        <f>+RS!A$26</f>
        <v xml:space="preserve">Fuel </v>
      </c>
      <c r="C22" s="63">
        <f>+RS!C26</f>
        <v>2.0411219651722302E-3</v>
      </c>
      <c r="D22" s="8">
        <f>+B16*C22</f>
        <v>282100.13569540676</v>
      </c>
      <c r="F22" s="60">
        <f>RS!$F$26</f>
        <v>2.0411219651722302E-3</v>
      </c>
      <c r="G22" s="8">
        <f>+E16*F22</f>
        <v>282100.13569540676</v>
      </c>
      <c r="J22" s="74"/>
    </row>
    <row r="23" spans="1:10" x14ac:dyDescent="0.25">
      <c r="D23" s="8"/>
      <c r="F23" s="61"/>
      <c r="G23" s="8"/>
    </row>
    <row r="24" spans="1:10" x14ac:dyDescent="0.25">
      <c r="A24" t="str">
        <f>+RS!A$28</f>
        <v>Asset Transfer Rider</v>
      </c>
      <c r="D24" s="45">
        <f>+ATR!D14</f>
        <v>1903575.11</v>
      </c>
      <c r="F24" s="61"/>
      <c r="G24" s="45">
        <v>0</v>
      </c>
    </row>
    <row r="25" spans="1:10" x14ac:dyDescent="0.25">
      <c r="D25" s="45"/>
      <c r="F25" s="61"/>
      <c r="G25" s="45"/>
    </row>
    <row r="26" spans="1:10" x14ac:dyDescent="0.25">
      <c r="A26" t="str">
        <f>RS!A30</f>
        <v>Economic Development Rider</v>
      </c>
      <c r="D26" s="45"/>
      <c r="E26" s="25">
        <f>+E18</f>
        <v>271566</v>
      </c>
      <c r="F26" s="57">
        <f>RS!F30</f>
        <v>0.15</v>
      </c>
      <c r="G26" s="45">
        <f>+E26*F26</f>
        <v>40734.9</v>
      </c>
    </row>
    <row r="27" spans="1:10" x14ac:dyDescent="0.25">
      <c r="D27" s="45"/>
      <c r="E27" s="25"/>
      <c r="F27" s="57"/>
      <c r="G27" s="45"/>
    </row>
    <row r="28" spans="1:10" x14ac:dyDescent="0.25">
      <c r="A28" t="str">
        <f>RS!A32</f>
        <v>Big Sandy 1 Operations Rider</v>
      </c>
      <c r="D28" s="45"/>
      <c r="E28" s="25"/>
      <c r="F28" s="54">
        <v>2.7200000000000002E-3</v>
      </c>
      <c r="G28" s="45">
        <f>+F28*E16</f>
        <v>375926.76096000004</v>
      </c>
    </row>
    <row r="29" spans="1:10" x14ac:dyDescent="0.25">
      <c r="D29" s="45"/>
      <c r="E29" s="25"/>
      <c r="F29" s="57"/>
      <c r="G29" s="45"/>
    </row>
    <row r="30" spans="1:10" x14ac:dyDescent="0.25">
      <c r="A30" t="str">
        <f>RS!A34</f>
        <v>Big Sandy Retirement Rider</v>
      </c>
      <c r="D30" s="45"/>
      <c r="E30" s="74">
        <f>SUM(G12:G29)-G22-G38</f>
        <v>14209947.651079997</v>
      </c>
      <c r="F30" s="78">
        <v>4.9917999999999997E-2</v>
      </c>
      <c r="G30" s="45">
        <f>E30*F30</f>
        <v>709332.1668466113</v>
      </c>
    </row>
    <row r="31" spans="1:10" x14ac:dyDescent="0.25">
      <c r="D31" s="45"/>
      <c r="E31" s="25"/>
      <c r="F31" s="57"/>
      <c r="G31" s="45"/>
    </row>
    <row r="32" spans="1:10" x14ac:dyDescent="0.25">
      <c r="A32" t="str">
        <f>+RS!A$36</f>
        <v>Environmental Surcharge</v>
      </c>
      <c r="D32" s="45"/>
      <c r="E32" s="74">
        <f>E30</f>
        <v>14209947.651079997</v>
      </c>
      <c r="F32" s="78">
        <v>9.8901000000000003E-2</v>
      </c>
      <c r="G32" s="45">
        <f>E32*F32</f>
        <v>1405378.032639463</v>
      </c>
    </row>
    <row r="33" spans="1:7" x14ac:dyDescent="0.25">
      <c r="D33" s="8"/>
      <c r="G33" s="8"/>
    </row>
    <row r="34" spans="1:7" x14ac:dyDescent="0.25">
      <c r="A34" t="s">
        <v>14</v>
      </c>
      <c r="D34" s="8">
        <f>SUM(D13:D33)</f>
        <v>18901992.612135407</v>
      </c>
      <c r="F34" s="74"/>
      <c r="G34" s="8">
        <f>SUM(G13:G33)</f>
        <v>20531875.637461476</v>
      </c>
    </row>
    <row r="38" spans="1:7" x14ac:dyDescent="0.25">
      <c r="A38" s="46" t="s">
        <v>193</v>
      </c>
      <c r="F38" s="60">
        <v>2.8400000000000002E-2</v>
      </c>
      <c r="G38" s="8">
        <f>+E16*F38</f>
        <v>3925117.6512000002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38"/>
  <sheetViews>
    <sheetView workbookViewId="0">
      <selection activeCell="D27" sqref="D26:D32"/>
    </sheetView>
  </sheetViews>
  <sheetFormatPr defaultRowHeight="13.2" x14ac:dyDescent="0.25"/>
  <cols>
    <col min="1" max="1" width="21.44140625" customWidth="1"/>
    <col min="3" max="3" width="13.33203125" customWidth="1"/>
    <col min="4" max="4" width="11.109375" customWidth="1"/>
    <col min="5" max="5" width="14.6640625" style="21" customWidth="1"/>
    <col min="6" max="6" width="13.33203125" style="21" customWidth="1"/>
    <col min="7" max="7" width="13" style="21" customWidth="1"/>
    <col min="8" max="10" width="8.88671875" style="2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124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4" t="s">
        <v>8</v>
      </c>
    </row>
    <row r="13" spans="1:7" x14ac:dyDescent="0.25">
      <c r="A13" t="s">
        <v>47</v>
      </c>
      <c r="B13" s="59">
        <v>1456</v>
      </c>
      <c r="C13" s="49">
        <v>0.15326000000000001</v>
      </c>
      <c r="D13" s="8">
        <f>+B13*C13</f>
        <v>223.14656000000002</v>
      </c>
      <c r="E13" s="25">
        <f>+B13</f>
        <v>1456</v>
      </c>
      <c r="F13" s="54">
        <v>0.14474999999999999</v>
      </c>
      <c r="G13" s="8">
        <f>+E13*F13</f>
        <v>210.75599999999997</v>
      </c>
    </row>
    <row r="14" spans="1:7" x14ac:dyDescent="0.25">
      <c r="A14" t="s">
        <v>48</v>
      </c>
      <c r="B14" s="59">
        <v>1556</v>
      </c>
      <c r="C14" s="49">
        <v>4.9399999999999999E-2</v>
      </c>
      <c r="D14" s="8">
        <f>+B14*C14</f>
        <v>76.866399999999999</v>
      </c>
      <c r="E14" s="25">
        <f>+B14</f>
        <v>1556</v>
      </c>
      <c r="F14" s="54">
        <v>5.2150000000000002E-2</v>
      </c>
      <c r="G14" s="8">
        <f>+E14*F14</f>
        <v>81.145400000000009</v>
      </c>
    </row>
    <row r="15" spans="1:7" x14ac:dyDescent="0.25">
      <c r="C15" s="46"/>
      <c r="D15" s="8"/>
      <c r="E15" s="25"/>
      <c r="F15" s="56"/>
      <c r="G15" s="8"/>
    </row>
    <row r="16" spans="1:7" x14ac:dyDescent="0.25">
      <c r="A16" t="s">
        <v>11</v>
      </c>
      <c r="B16" s="5">
        <f>SUM(B13:B14)</f>
        <v>3012</v>
      </c>
      <c r="C16" s="46"/>
      <c r="D16" s="8"/>
      <c r="E16" s="25">
        <f>+B16</f>
        <v>3012</v>
      </c>
      <c r="F16" s="56"/>
      <c r="G16" s="8"/>
    </row>
    <row r="17" spans="1:7" x14ac:dyDescent="0.25">
      <c r="C17" s="46"/>
      <c r="D17" s="8"/>
      <c r="E17" s="25"/>
      <c r="F17" s="56"/>
      <c r="G17" s="8"/>
    </row>
    <row r="18" spans="1:7" x14ac:dyDescent="0.25">
      <c r="A18" t="s">
        <v>12</v>
      </c>
      <c r="B18" s="62">
        <v>12</v>
      </c>
      <c r="C18" s="52">
        <v>15.1</v>
      </c>
      <c r="D18" s="8">
        <f>+B18*C18</f>
        <v>181.2</v>
      </c>
      <c r="E18" s="21">
        <f>+B18</f>
        <v>12</v>
      </c>
      <c r="F18" s="57">
        <v>17.5</v>
      </c>
      <c r="G18" s="8">
        <f>+E18*F18</f>
        <v>210</v>
      </c>
    </row>
    <row r="19" spans="1:7" x14ac:dyDescent="0.25">
      <c r="C19" s="46"/>
      <c r="D19" s="8"/>
      <c r="F19" s="56"/>
      <c r="G19" s="8"/>
    </row>
    <row r="20" spans="1:7" x14ac:dyDescent="0.25">
      <c r="A20" t="s">
        <v>13</v>
      </c>
      <c r="B20" s="59">
        <v>12</v>
      </c>
      <c r="C20" s="46"/>
      <c r="D20" s="8"/>
      <c r="E20" s="25">
        <f>+B20</f>
        <v>12</v>
      </c>
      <c r="F20" s="56"/>
      <c r="G20" s="8"/>
    </row>
    <row r="21" spans="1:7" x14ac:dyDescent="0.25">
      <c r="C21" s="46"/>
      <c r="D21" s="8"/>
      <c r="F21" s="56"/>
      <c r="G21" s="8"/>
    </row>
    <row r="22" spans="1:7" x14ac:dyDescent="0.25">
      <c r="A22" t="str">
        <f>+RS!A$26</f>
        <v xml:space="preserve">Fuel </v>
      </c>
      <c r="C22" s="63">
        <f>+RS!C26</f>
        <v>2.0411219651722302E-3</v>
      </c>
      <c r="D22" s="8">
        <f>+B16*C22</f>
        <v>6.1478593590987574</v>
      </c>
      <c r="F22" s="60">
        <f>RS!$F$26</f>
        <v>2.0411219651722302E-3</v>
      </c>
      <c r="G22" s="8">
        <f>+E16*F22</f>
        <v>6.1478593590987574</v>
      </c>
    </row>
    <row r="23" spans="1:7" x14ac:dyDescent="0.25">
      <c r="D23" s="8"/>
      <c r="G23" s="8"/>
    </row>
    <row r="24" spans="1:7" x14ac:dyDescent="0.25">
      <c r="A24" t="str">
        <f>+RS!A$28</f>
        <v>Asset Transfer Rider</v>
      </c>
      <c r="D24" s="45">
        <f>+ATR!D15</f>
        <v>59.32</v>
      </c>
      <c r="G24" s="45"/>
    </row>
    <row r="25" spans="1:7" x14ac:dyDescent="0.25">
      <c r="D25" s="45"/>
      <c r="G25" s="45"/>
    </row>
    <row r="26" spans="1:7" x14ac:dyDescent="0.25">
      <c r="A26" t="str">
        <f>RS!A30</f>
        <v>Economic Development Rider</v>
      </c>
      <c r="D26" s="45"/>
      <c r="E26" s="25">
        <f>+E18</f>
        <v>12</v>
      </c>
      <c r="F26" s="57">
        <f>RS!F30</f>
        <v>0.15</v>
      </c>
      <c r="G26" s="45">
        <f>+E26*F26</f>
        <v>1.7999999999999998</v>
      </c>
    </row>
    <row r="27" spans="1:7" x14ac:dyDescent="0.25">
      <c r="D27" s="45"/>
      <c r="E27" s="25"/>
      <c r="F27" s="26"/>
      <c r="G27" s="45"/>
    </row>
    <row r="28" spans="1:7" x14ac:dyDescent="0.25">
      <c r="A28" t="str">
        <f>RS!A32</f>
        <v>Big Sandy 1 Operations Rider</v>
      </c>
      <c r="D28" s="45"/>
      <c r="E28" s="25"/>
      <c r="F28" s="54">
        <f>+SGS!F28</f>
        <v>2.7200000000000002E-3</v>
      </c>
      <c r="G28" s="45">
        <f>+F28*E16</f>
        <v>8.1926400000000008</v>
      </c>
    </row>
    <row r="29" spans="1:7" x14ac:dyDescent="0.25">
      <c r="D29" s="45"/>
      <c r="E29" s="25"/>
      <c r="F29" s="26"/>
      <c r="G29" s="45"/>
    </row>
    <row r="30" spans="1:7" x14ac:dyDescent="0.25">
      <c r="A30" t="str">
        <f>RS!A34</f>
        <v>Big Sandy Retirement Rider</v>
      </c>
      <c r="D30" s="45"/>
      <c r="E30" s="74">
        <f>SUM(G12:G29)-G22-G38</f>
        <v>426.35323999999997</v>
      </c>
      <c r="F30" s="78">
        <f>SGS!$F$30</f>
        <v>4.9917999999999997E-2</v>
      </c>
      <c r="G30" s="45">
        <f>+E30*F30</f>
        <v>21.282701034319999</v>
      </c>
    </row>
    <row r="31" spans="1:7" x14ac:dyDescent="0.25">
      <c r="D31" s="45"/>
      <c r="E31" s="25"/>
      <c r="F31" s="57"/>
      <c r="G31" s="45"/>
    </row>
    <row r="32" spans="1:7" x14ac:dyDescent="0.25">
      <c r="A32" t="str">
        <f>+RS!A$36</f>
        <v>Environmental Surcharge</v>
      </c>
      <c r="D32" s="45"/>
      <c r="E32" s="74">
        <f>E30</f>
        <v>426.35323999999997</v>
      </c>
      <c r="F32" s="78">
        <f>SGS!$F$32</f>
        <v>9.8901000000000003E-2</v>
      </c>
      <c r="G32" s="45">
        <f>+E32*F32</f>
        <v>42.166761789239999</v>
      </c>
    </row>
    <row r="33" spans="1:7" x14ac:dyDescent="0.25">
      <c r="D33" s="8"/>
      <c r="G33" s="8"/>
    </row>
    <row r="34" spans="1:7" x14ac:dyDescent="0.25">
      <c r="A34" t="s">
        <v>49</v>
      </c>
      <c r="D34" s="8">
        <f>SUM(D13:D33)</f>
        <v>546.68081935909879</v>
      </c>
      <c r="G34" s="8">
        <f>SUM(G13:G33)</f>
        <v>581.49136218265869</v>
      </c>
    </row>
    <row r="38" spans="1:7" x14ac:dyDescent="0.25">
      <c r="A38" s="46" t="s">
        <v>193</v>
      </c>
      <c r="F38" s="60">
        <f>SGS!$F$38</f>
        <v>2.8400000000000002E-2</v>
      </c>
      <c r="G38" s="8">
        <f>+E16*F38</f>
        <v>85.540800000000004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39"/>
  <sheetViews>
    <sheetView workbookViewId="0">
      <selection activeCell="D27" sqref="D27:D33"/>
    </sheetView>
  </sheetViews>
  <sheetFormatPr defaultRowHeight="13.2" x14ac:dyDescent="0.25"/>
  <cols>
    <col min="1" max="1" width="21.44140625" customWidth="1"/>
    <col min="3" max="3" width="12.44140625" customWidth="1"/>
    <col min="4" max="4" width="11.109375" customWidth="1"/>
    <col min="5" max="5" width="16.33203125" style="21" customWidth="1"/>
    <col min="6" max="6" width="13.6640625" style="21" customWidth="1"/>
    <col min="7" max="7" width="11.88671875" style="21" customWidth="1"/>
    <col min="8" max="9" width="8.88671875" style="21" customWidth="1"/>
    <col min="10" max="10" width="15" style="21" bestFit="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130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4" t="s">
        <v>8</v>
      </c>
    </row>
    <row r="13" spans="1:7" x14ac:dyDescent="0.25">
      <c r="A13" t="s">
        <v>127</v>
      </c>
      <c r="B13" s="59">
        <v>23647</v>
      </c>
      <c r="C13" s="49">
        <v>0.13538</v>
      </c>
      <c r="D13" s="8">
        <f>+B13*C13</f>
        <v>3201.33086</v>
      </c>
      <c r="E13" s="25">
        <f>+B13</f>
        <v>23647</v>
      </c>
      <c r="F13" s="54">
        <v>0.11509999999999999</v>
      </c>
      <c r="G13" s="8">
        <f>+E13*F13</f>
        <v>2721.7696999999998</v>
      </c>
    </row>
    <row r="14" spans="1:7" x14ac:dyDescent="0.25">
      <c r="A14" t="s">
        <v>128</v>
      </c>
      <c r="B14" s="59">
        <v>32745</v>
      </c>
      <c r="C14" s="49">
        <v>0.15553</v>
      </c>
      <c r="D14" s="8">
        <f>+B14*C14</f>
        <v>5092.8298500000001</v>
      </c>
      <c r="E14" s="25">
        <f>+B14</f>
        <v>32745</v>
      </c>
      <c r="F14" s="54">
        <v>0.12429999999999999</v>
      </c>
      <c r="G14" s="8">
        <f>+E14*F14</f>
        <v>4070.2034999999996</v>
      </c>
    </row>
    <row r="15" spans="1:7" x14ac:dyDescent="0.25">
      <c r="A15" t="s">
        <v>48</v>
      </c>
      <c r="B15" s="59">
        <v>308952</v>
      </c>
      <c r="C15" s="49">
        <v>8.6999999999999994E-2</v>
      </c>
      <c r="D15" s="8">
        <f>+B15*C15</f>
        <v>26878.823999999997</v>
      </c>
      <c r="E15" s="25">
        <f>+B15</f>
        <v>308952</v>
      </c>
      <c r="F15" s="54">
        <v>8.7819999999999995E-2</v>
      </c>
      <c r="G15" s="8">
        <f>+E15*F15</f>
        <v>27132.164639999999</v>
      </c>
    </row>
    <row r="16" spans="1:7" x14ac:dyDescent="0.25">
      <c r="C16" s="46"/>
      <c r="D16" s="8"/>
      <c r="E16" s="25"/>
      <c r="F16" s="56"/>
      <c r="G16" s="8"/>
    </row>
    <row r="17" spans="1:7" x14ac:dyDescent="0.25">
      <c r="A17" t="s">
        <v>11</v>
      </c>
      <c r="B17" s="5">
        <f>SUM(B13:B15)</f>
        <v>365344</v>
      </c>
      <c r="C17" s="46"/>
      <c r="D17" s="8"/>
      <c r="E17" s="25">
        <f>+B17</f>
        <v>365344</v>
      </c>
      <c r="F17" s="56"/>
      <c r="G17" s="8"/>
    </row>
    <row r="18" spans="1:7" x14ac:dyDescent="0.25">
      <c r="C18" s="46"/>
      <c r="D18" s="8"/>
      <c r="E18" s="25"/>
      <c r="F18" s="56"/>
      <c r="G18" s="8"/>
    </row>
    <row r="19" spans="1:7" x14ac:dyDescent="0.25">
      <c r="A19" t="s">
        <v>12</v>
      </c>
      <c r="B19" s="59">
        <v>911.96299999999997</v>
      </c>
      <c r="C19" s="52">
        <v>14.95</v>
      </c>
      <c r="D19" s="8">
        <f>+B19*C19</f>
        <v>13633.846849999998</v>
      </c>
      <c r="E19" s="25">
        <f>+B19</f>
        <v>911.96299999999997</v>
      </c>
      <c r="F19" s="57">
        <v>17.5</v>
      </c>
      <c r="G19" s="8">
        <f>+E19*F19</f>
        <v>15959.352499999999</v>
      </c>
    </row>
    <row r="20" spans="1:7" x14ac:dyDescent="0.25">
      <c r="B20" s="56"/>
      <c r="C20" s="46"/>
      <c r="D20" s="8"/>
      <c r="E20" s="25"/>
      <c r="F20" s="56"/>
      <c r="G20" s="8"/>
    </row>
    <row r="21" spans="1:7" x14ac:dyDescent="0.25">
      <c r="A21" t="s">
        <v>13</v>
      </c>
      <c r="B21" s="59">
        <v>912</v>
      </c>
      <c r="C21" s="46"/>
      <c r="D21" s="8"/>
      <c r="E21" s="25">
        <f>+B21</f>
        <v>912</v>
      </c>
      <c r="F21" s="56"/>
      <c r="G21" s="8"/>
    </row>
    <row r="22" spans="1:7" x14ac:dyDescent="0.25">
      <c r="C22" s="46"/>
      <c r="D22" s="8"/>
      <c r="F22" s="56"/>
      <c r="G22" s="8"/>
    </row>
    <row r="23" spans="1:7" x14ac:dyDescent="0.25">
      <c r="A23" t="str">
        <f>+RS!A$26</f>
        <v xml:space="preserve">Fuel </v>
      </c>
      <c r="C23" s="63">
        <f>+RS!C26</f>
        <v>2.0411219651722302E-3</v>
      </c>
      <c r="D23" s="8">
        <f>+B17*C23</f>
        <v>745.71166324388332</v>
      </c>
      <c r="F23" s="60">
        <f>RS!$F$26</f>
        <v>2.0411219651722302E-3</v>
      </c>
      <c r="G23" s="8">
        <f>+E17*F23</f>
        <v>745.71166324388332</v>
      </c>
    </row>
    <row r="24" spans="1:7" x14ac:dyDescent="0.25">
      <c r="D24" s="8"/>
      <c r="F24" s="61"/>
      <c r="G24" s="8"/>
    </row>
    <row r="25" spans="1:7" x14ac:dyDescent="0.25">
      <c r="A25" t="str">
        <f>+RS!A$28</f>
        <v>Asset Transfer Rider</v>
      </c>
      <c r="D25" s="45">
        <f>+ATR!D16</f>
        <v>5620</v>
      </c>
      <c r="F25" s="61"/>
      <c r="G25" s="45"/>
    </row>
    <row r="26" spans="1:7" x14ac:dyDescent="0.25">
      <c r="D26" s="45"/>
      <c r="F26" s="61"/>
      <c r="G26" s="45"/>
    </row>
    <row r="27" spans="1:7" x14ac:dyDescent="0.25">
      <c r="A27" t="str">
        <f>RS!A30</f>
        <v>Economic Development Rider</v>
      </c>
      <c r="D27" s="45"/>
      <c r="E27" s="25">
        <f>E19</f>
        <v>911.96299999999997</v>
      </c>
      <c r="F27" s="57">
        <f>RS!F30</f>
        <v>0.15</v>
      </c>
      <c r="G27" s="45">
        <f>E27*F27</f>
        <v>136.79444999999998</v>
      </c>
    </row>
    <row r="28" spans="1:7" x14ac:dyDescent="0.25">
      <c r="D28" s="45"/>
      <c r="E28" s="25"/>
      <c r="F28" s="57"/>
      <c r="G28" s="45"/>
    </row>
    <row r="29" spans="1:7" x14ac:dyDescent="0.25">
      <c r="A29" t="str">
        <f>RS!A32</f>
        <v>Big Sandy 1 Operations Rider</v>
      </c>
      <c r="D29" s="45"/>
      <c r="E29" s="25"/>
      <c r="F29" s="54">
        <f>+SGS!F28</f>
        <v>2.7200000000000002E-3</v>
      </c>
      <c r="G29" s="45">
        <f>+F29*E17</f>
        <v>993.73568000000012</v>
      </c>
    </row>
    <row r="30" spans="1:7" x14ac:dyDescent="0.25">
      <c r="D30" s="45"/>
      <c r="E30" s="25"/>
      <c r="F30" s="57"/>
      <c r="G30" s="45"/>
    </row>
    <row r="31" spans="1:7" x14ac:dyDescent="0.25">
      <c r="A31" t="str">
        <f>RS!A34</f>
        <v>Big Sandy Retirement Rider</v>
      </c>
      <c r="D31" s="45"/>
      <c r="E31" s="74">
        <f>SUM(G13:G30)-G23-G39</f>
        <v>40638.250869999996</v>
      </c>
      <c r="F31" s="78">
        <f>SGS!$F$30</f>
        <v>4.9917999999999997E-2</v>
      </c>
      <c r="G31" s="45">
        <f>E31*F31</f>
        <v>2028.5802069286597</v>
      </c>
    </row>
    <row r="32" spans="1:7" x14ac:dyDescent="0.25">
      <c r="D32" s="45"/>
      <c r="E32" s="25"/>
      <c r="F32" s="57"/>
      <c r="G32" s="45"/>
    </row>
    <row r="33" spans="1:7" x14ac:dyDescent="0.25">
      <c r="A33" t="str">
        <f>+RS!A$36</f>
        <v>Environmental Surcharge</v>
      </c>
      <c r="D33" s="45"/>
      <c r="E33" s="74">
        <f>E31</f>
        <v>40638.250869999996</v>
      </c>
      <c r="F33" s="78">
        <f>SGS!$F$32</f>
        <v>9.8901000000000003E-2</v>
      </c>
      <c r="G33" s="45">
        <f>E33*F33</f>
        <v>4019.1636492938696</v>
      </c>
    </row>
    <row r="34" spans="1:7" x14ac:dyDescent="0.25">
      <c r="D34" s="8"/>
      <c r="G34" s="8"/>
    </row>
    <row r="35" spans="1:7" x14ac:dyDescent="0.25">
      <c r="A35" t="s">
        <v>49</v>
      </c>
      <c r="D35" s="8">
        <f>SUM(D13:D34)</f>
        <v>55172.543223243876</v>
      </c>
      <c r="G35" s="8">
        <f>SUM(G13:G34)</f>
        <v>57807.475989466409</v>
      </c>
    </row>
    <row r="39" spans="1:7" x14ac:dyDescent="0.25">
      <c r="A39" s="46" t="s">
        <v>193</v>
      </c>
      <c r="F39" s="60">
        <f>SGS!$F$38</f>
        <v>2.8400000000000002E-2</v>
      </c>
      <c r="G39" s="8">
        <f>+E17*F39</f>
        <v>10375.769600000001</v>
      </c>
    </row>
  </sheetData>
  <pageMargins left="0.75" right="0.75" top="1" bottom="1" header="0.5" footer="0.5"/>
  <pageSetup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38"/>
  <sheetViews>
    <sheetView workbookViewId="0">
      <selection activeCell="D32" sqref="D32"/>
    </sheetView>
  </sheetViews>
  <sheetFormatPr defaultRowHeight="13.2" x14ac:dyDescent="0.25"/>
  <cols>
    <col min="1" max="1" width="20" customWidth="1"/>
    <col min="2" max="2" width="11.6640625" customWidth="1"/>
    <col min="3" max="4" width="12.44140625" customWidth="1"/>
    <col min="5" max="5" width="16.33203125" style="21" customWidth="1"/>
    <col min="6" max="7" width="12.6640625" style="21" customWidth="1"/>
    <col min="8" max="9" width="8.88671875" style="21" customWidth="1"/>
    <col min="10" max="10" width="11.6640625" style="21" bestFit="1" customWidth="1"/>
    <col min="11" max="11" width="11.6640625" bestFit="1" customWidth="1"/>
  </cols>
  <sheetData>
    <row r="1" spans="1:7" x14ac:dyDescent="0.25">
      <c r="A1" t="str">
        <f>+RS!A1</f>
        <v>KENTUCKY POWER BILLING ANALYSIS</v>
      </c>
    </row>
    <row r="2" spans="1:7" x14ac:dyDescent="0.25">
      <c r="A2" t="str">
        <f>+RS!A2</f>
        <v>SETTLEMENT</v>
      </c>
    </row>
    <row r="3" spans="1:7" x14ac:dyDescent="0.25">
      <c r="A3" t="str">
        <f>+RS!A3</f>
        <v>TEST YEAR ENDED SEPTEMBER 30, 2014</v>
      </c>
    </row>
    <row r="5" spans="1:7" x14ac:dyDescent="0.25">
      <c r="A5" t="s">
        <v>50</v>
      </c>
    </row>
    <row r="8" spans="1:7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7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7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7" x14ac:dyDescent="0.25">
      <c r="A12" s="4" t="s">
        <v>8</v>
      </c>
    </row>
    <row r="13" spans="1:7" x14ac:dyDescent="0.25">
      <c r="A13" t="s">
        <v>9</v>
      </c>
      <c r="B13" s="59">
        <v>2710207</v>
      </c>
      <c r="C13" s="14">
        <f>SGS!C13</f>
        <v>0.13159999999999999</v>
      </c>
      <c r="D13" s="8">
        <f>+B13*C13</f>
        <v>356663.24119999999</v>
      </c>
      <c r="E13" s="25">
        <f>+B13</f>
        <v>2710207</v>
      </c>
      <c r="F13" s="54">
        <f>SGS!F13</f>
        <v>0.11826</v>
      </c>
      <c r="G13" s="8">
        <f>+E13*F13</f>
        <v>320509.07981999998</v>
      </c>
    </row>
    <row r="14" spans="1:7" x14ac:dyDescent="0.25">
      <c r="A14" t="s">
        <v>10</v>
      </c>
      <c r="B14" s="59">
        <v>1273801</v>
      </c>
      <c r="C14" s="14">
        <f>SGS!C14</f>
        <v>7.1160000000000001E-2</v>
      </c>
      <c r="D14" s="8">
        <f>+B14*C14</f>
        <v>90643.67916</v>
      </c>
      <c r="E14" s="25">
        <f>+B14</f>
        <v>1273801</v>
      </c>
      <c r="F14" s="54">
        <f>SGS!F14</f>
        <v>7.3819999999999997E-2</v>
      </c>
      <c r="G14" s="8">
        <f>+E14*F14</f>
        <v>94031.989820000003</v>
      </c>
    </row>
    <row r="15" spans="1:7" x14ac:dyDescent="0.25">
      <c r="B15" s="56"/>
      <c r="D15" s="8"/>
      <c r="E15" s="25"/>
      <c r="F15" s="56"/>
      <c r="G15" s="8"/>
    </row>
    <row r="16" spans="1:7" x14ac:dyDescent="0.25">
      <c r="A16" t="s">
        <v>11</v>
      </c>
      <c r="B16" s="48">
        <f>SUM(B13:B14)</f>
        <v>3984008</v>
      </c>
      <c r="D16" s="8"/>
      <c r="E16" s="25">
        <f>+B16</f>
        <v>3984008</v>
      </c>
      <c r="F16" s="56"/>
      <c r="G16" s="8"/>
    </row>
    <row r="17" spans="1:11" x14ac:dyDescent="0.25">
      <c r="B17" s="56"/>
      <c r="D17" s="8"/>
      <c r="E17" s="25"/>
      <c r="F17" s="56"/>
      <c r="G17" s="8"/>
      <c r="K17" s="5"/>
    </row>
    <row r="18" spans="1:11" x14ac:dyDescent="0.25">
      <c r="A18" t="s">
        <v>12</v>
      </c>
      <c r="B18" s="59">
        <v>17594</v>
      </c>
      <c r="C18" s="64">
        <v>7.5</v>
      </c>
      <c r="D18" s="8">
        <f>+B18*C18</f>
        <v>131955</v>
      </c>
      <c r="E18" s="25">
        <f>+B18</f>
        <v>17594</v>
      </c>
      <c r="F18" s="66">
        <v>13.5</v>
      </c>
      <c r="G18" s="8">
        <f>+E18*F18</f>
        <v>237519</v>
      </c>
      <c r="J18" s="74"/>
    </row>
    <row r="19" spans="1:11" x14ac:dyDescent="0.25">
      <c r="B19" s="56"/>
      <c r="D19" s="8"/>
      <c r="E19" s="25"/>
      <c r="F19" s="56"/>
      <c r="G19" s="8"/>
    </row>
    <row r="20" spans="1:11" x14ac:dyDescent="0.25">
      <c r="A20" t="s">
        <v>13</v>
      </c>
      <c r="B20" s="59">
        <v>13488</v>
      </c>
      <c r="D20" s="8"/>
      <c r="E20" s="25">
        <f>+B20</f>
        <v>13488</v>
      </c>
      <c r="F20" s="56"/>
      <c r="G20" s="8"/>
    </row>
    <row r="21" spans="1:11" x14ac:dyDescent="0.25">
      <c r="D21" s="8"/>
      <c r="E21" s="25"/>
      <c r="F21" s="56"/>
      <c r="G21" s="8"/>
    </row>
    <row r="22" spans="1:11" x14ac:dyDescent="0.25">
      <c r="A22" t="str">
        <f>+RS!A$26</f>
        <v xml:space="preserve">Fuel </v>
      </c>
      <c r="C22" s="11">
        <f>+RS!C26</f>
        <v>2.0411219651722302E-3</v>
      </c>
      <c r="D22" s="8">
        <f>+B16*C22</f>
        <v>8131.8462382218868</v>
      </c>
      <c r="F22" s="60">
        <f>RS!$F$26</f>
        <v>2.0411219651722302E-3</v>
      </c>
      <c r="G22" s="8">
        <f>+E16*F22</f>
        <v>8131.8462382218868</v>
      </c>
    </row>
    <row r="23" spans="1:11" x14ac:dyDescent="0.25">
      <c r="D23" s="8"/>
      <c r="F23" s="61"/>
      <c r="G23" s="8"/>
    </row>
    <row r="24" spans="1:11" x14ac:dyDescent="0.25">
      <c r="A24" t="str">
        <f>+RS!A$28</f>
        <v>Asset Transfer Rider</v>
      </c>
      <c r="D24" s="45">
        <f>+ATR!D17</f>
        <v>66740.070000000007</v>
      </c>
      <c r="F24" s="61"/>
      <c r="G24" s="45"/>
    </row>
    <row r="25" spans="1:11" x14ac:dyDescent="0.25">
      <c r="D25" s="45"/>
      <c r="F25" s="61"/>
      <c r="G25" s="45"/>
    </row>
    <row r="26" spans="1:11" x14ac:dyDescent="0.25">
      <c r="A26" t="str">
        <f>RS!A30</f>
        <v>Economic Development Rider</v>
      </c>
      <c r="D26" s="45"/>
      <c r="E26" s="25">
        <f>E18</f>
        <v>17594</v>
      </c>
      <c r="F26" s="66">
        <f>RS!F30</f>
        <v>0.15</v>
      </c>
      <c r="G26" s="45">
        <f>E26*F26</f>
        <v>2639.1</v>
      </c>
    </row>
    <row r="27" spans="1:11" x14ac:dyDescent="0.25">
      <c r="D27" s="45"/>
      <c r="E27" s="25"/>
      <c r="F27" s="66"/>
      <c r="G27" s="45"/>
    </row>
    <row r="28" spans="1:11" x14ac:dyDescent="0.25">
      <c r="A28" t="str">
        <f>RS!A32</f>
        <v>Big Sandy 1 Operations Rider</v>
      </c>
      <c r="D28" s="45"/>
      <c r="E28" s="25"/>
      <c r="F28" s="65">
        <f>+SGS!F28</f>
        <v>2.7200000000000002E-3</v>
      </c>
      <c r="G28" s="45">
        <f>+F28*E16</f>
        <v>10836.501760000001</v>
      </c>
    </row>
    <row r="29" spans="1:11" x14ac:dyDescent="0.25">
      <c r="D29" s="45"/>
      <c r="E29" s="25"/>
      <c r="F29" s="66"/>
      <c r="G29" s="45"/>
    </row>
    <row r="30" spans="1:11" x14ac:dyDescent="0.25">
      <c r="A30" t="str">
        <f>RS!A34</f>
        <v>Big Sandy Retirement Rider</v>
      </c>
      <c r="D30" s="45"/>
      <c r="E30" s="74">
        <f>SUM(G12:G29)-G22-G38</f>
        <v>552389.84419999993</v>
      </c>
      <c r="F30" s="78">
        <f>SGS!$F$30</f>
        <v>4.9917999999999997E-2</v>
      </c>
      <c r="G30" s="45">
        <f>E30*F30</f>
        <v>27574.196242775593</v>
      </c>
    </row>
    <row r="31" spans="1:11" x14ac:dyDescent="0.25">
      <c r="D31" s="45"/>
      <c r="E31" s="25"/>
      <c r="F31" s="57"/>
      <c r="G31" s="45"/>
    </row>
    <row r="32" spans="1:11" x14ac:dyDescent="0.25">
      <c r="A32" t="str">
        <f>+RS!A$36</f>
        <v>Environmental Surcharge</v>
      </c>
      <c r="D32" s="45"/>
      <c r="E32" s="74">
        <f>E30</f>
        <v>552389.84419999993</v>
      </c>
      <c r="F32" s="78">
        <f>SGS!$F$32</f>
        <v>9.8901000000000003E-2</v>
      </c>
      <c r="G32" s="45">
        <f>E32*F32</f>
        <v>54631.907981224198</v>
      </c>
    </row>
    <row r="33" spans="1:7" x14ac:dyDescent="0.25">
      <c r="D33" s="8"/>
      <c r="G33" s="8"/>
    </row>
    <row r="34" spans="1:7" x14ac:dyDescent="0.25">
      <c r="A34" t="s">
        <v>14</v>
      </c>
      <c r="D34" s="8">
        <f>SUM(D13:D33)</f>
        <v>654133.83659822191</v>
      </c>
      <c r="G34" s="8">
        <f>SUM(G13:G33)</f>
        <v>755873.62186222163</v>
      </c>
    </row>
    <row r="35" spans="1:7" x14ac:dyDescent="0.25">
      <c r="G35" s="25"/>
    </row>
    <row r="38" spans="1:7" x14ac:dyDescent="0.25">
      <c r="A38" s="46" t="s">
        <v>193</v>
      </c>
      <c r="F38" s="60">
        <f>SGS!$F$38</f>
        <v>2.8400000000000002E-2</v>
      </c>
      <c r="G38" s="8">
        <f>+E16*F38</f>
        <v>113145.8272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36"/>
  <sheetViews>
    <sheetView workbookViewId="0">
      <selection activeCell="D24" sqref="D24:D30"/>
    </sheetView>
  </sheetViews>
  <sheetFormatPr defaultRowHeight="13.2" x14ac:dyDescent="0.25"/>
  <cols>
    <col min="1" max="1" width="21.6640625" customWidth="1"/>
    <col min="2" max="2" width="9.6640625" bestFit="1" customWidth="1"/>
    <col min="3" max="3" width="12.6640625" customWidth="1"/>
    <col min="4" max="4" width="11.6640625" customWidth="1"/>
    <col min="5" max="5" width="16.33203125" style="21" customWidth="1"/>
    <col min="6" max="6" width="13.44140625" style="21" customWidth="1"/>
    <col min="7" max="7" width="12" style="21" customWidth="1"/>
    <col min="8" max="10" width="8.88671875" style="21" customWidth="1"/>
  </cols>
  <sheetData>
    <row r="1" spans="1:8" x14ac:dyDescent="0.25">
      <c r="A1" t="str">
        <f>+RS!A1</f>
        <v>KENTUCKY POWER BILLING ANALYSIS</v>
      </c>
    </row>
    <row r="2" spans="1:8" x14ac:dyDescent="0.25">
      <c r="A2" t="str">
        <f>+RS!A2</f>
        <v>SETTLEMENT</v>
      </c>
    </row>
    <row r="3" spans="1:8" x14ac:dyDescent="0.25">
      <c r="A3" t="str">
        <f>+RS!A3</f>
        <v>TEST YEAR ENDED SEPTEMBER 30, 2014</v>
      </c>
    </row>
    <row r="5" spans="1:8" x14ac:dyDescent="0.25">
      <c r="A5" t="s">
        <v>51</v>
      </c>
    </row>
    <row r="8" spans="1:8" x14ac:dyDescent="0.25">
      <c r="B8" s="1" t="str">
        <f>+RS!B8</f>
        <v xml:space="preserve">Current </v>
      </c>
      <c r="C8" s="1"/>
      <c r="D8" s="1"/>
      <c r="E8" s="22" t="str">
        <f>+RS!E8</f>
        <v>Proposed</v>
      </c>
      <c r="F8" s="22"/>
      <c r="G8" s="22"/>
    </row>
    <row r="9" spans="1:8" x14ac:dyDescent="0.25">
      <c r="B9" s="1" t="str">
        <f>+RS!B9</f>
        <v xml:space="preserve">Billing </v>
      </c>
      <c r="C9" s="1" t="str">
        <f>+RS!C9</f>
        <v>Current</v>
      </c>
      <c r="D9" s="1" t="str">
        <f>+RS!D9</f>
        <v>Current</v>
      </c>
      <c r="E9" s="22" t="str">
        <f>+RS!E9</f>
        <v xml:space="preserve">Billing </v>
      </c>
      <c r="F9" s="22" t="str">
        <f>+RS!F9</f>
        <v>Proposed</v>
      </c>
      <c r="G9" s="22" t="str">
        <f>+RS!G9</f>
        <v>Proposed</v>
      </c>
    </row>
    <row r="10" spans="1:8" x14ac:dyDescent="0.25">
      <c r="B10" s="3" t="str">
        <f>+RS!B10</f>
        <v>Units</v>
      </c>
      <c r="C10" s="3" t="str">
        <f>+RS!C10</f>
        <v>Rate</v>
      </c>
      <c r="D10" s="3" t="str">
        <f>+RS!D10</f>
        <v>Revenue</v>
      </c>
      <c r="E10" s="24" t="str">
        <f>+RS!E10</f>
        <v>Units</v>
      </c>
      <c r="F10" s="24" t="str">
        <f>+RS!F10</f>
        <v>Rate</v>
      </c>
      <c r="G10" s="24" t="str">
        <f>+RS!G10</f>
        <v>Revenue</v>
      </c>
    </row>
    <row r="12" spans="1:8" x14ac:dyDescent="0.25">
      <c r="A12" t="s">
        <v>52</v>
      </c>
      <c r="B12" s="48">
        <v>1563141</v>
      </c>
      <c r="C12" s="67">
        <v>9.0039999999999995E-2</v>
      </c>
      <c r="D12" s="8">
        <f>+B12*C12</f>
        <v>140745.21563999998</v>
      </c>
      <c r="E12" s="25">
        <f>+B12</f>
        <v>1563141</v>
      </c>
      <c r="F12" s="65">
        <v>9.3810000000000004E-2</v>
      </c>
      <c r="G12" s="8">
        <f>+E12*F12</f>
        <v>146638.25721000001</v>
      </c>
      <c r="H12" s="74"/>
    </row>
    <row r="13" spans="1:8" x14ac:dyDescent="0.25">
      <c r="B13" s="5"/>
      <c r="C13" s="46"/>
      <c r="D13" s="8"/>
      <c r="E13" s="25"/>
      <c r="F13" s="56"/>
      <c r="G13" s="8"/>
    </row>
    <row r="14" spans="1:8" x14ac:dyDescent="0.25">
      <c r="A14" t="s">
        <v>11</v>
      </c>
      <c r="B14" s="5">
        <f>B12</f>
        <v>1563141</v>
      </c>
      <c r="C14" s="46"/>
      <c r="D14" s="8"/>
      <c r="E14" s="25">
        <f>+B14</f>
        <v>1563141</v>
      </c>
      <c r="F14" s="56"/>
      <c r="G14" s="8"/>
    </row>
    <row r="15" spans="1:8" x14ac:dyDescent="0.25">
      <c r="C15" s="46"/>
      <c r="D15" s="8"/>
      <c r="E15" s="25"/>
      <c r="F15" s="56"/>
      <c r="G15" s="8"/>
    </row>
    <row r="16" spans="1:8" x14ac:dyDescent="0.25">
      <c r="A16" t="s">
        <v>12</v>
      </c>
      <c r="B16" s="48">
        <v>924</v>
      </c>
      <c r="C16" s="64">
        <v>13.5</v>
      </c>
      <c r="D16" s="8">
        <f>+B16*C16</f>
        <v>12474</v>
      </c>
      <c r="E16" s="25">
        <f>+B16</f>
        <v>924</v>
      </c>
      <c r="F16" s="66">
        <v>17.5</v>
      </c>
      <c r="G16" s="8">
        <f>+E16*F16</f>
        <v>16170</v>
      </c>
      <c r="H16" s="74"/>
    </row>
    <row r="17" spans="1:8" x14ac:dyDescent="0.25">
      <c r="B17" s="46"/>
      <c r="C17" s="46"/>
      <c r="D17" s="8"/>
      <c r="E17" s="25"/>
      <c r="F17" s="56"/>
      <c r="G17" s="8"/>
    </row>
    <row r="18" spans="1:8" x14ac:dyDescent="0.25">
      <c r="A18" t="s">
        <v>13</v>
      </c>
      <c r="B18" s="48">
        <v>924</v>
      </c>
      <c r="C18" s="46"/>
      <c r="D18" s="8"/>
      <c r="E18" s="25">
        <f>+B18</f>
        <v>924</v>
      </c>
      <c r="F18" s="56"/>
      <c r="G18" s="8"/>
    </row>
    <row r="19" spans="1:8" x14ac:dyDescent="0.25">
      <c r="B19" s="46"/>
      <c r="C19" s="46"/>
      <c r="D19" s="8"/>
      <c r="F19" s="56"/>
      <c r="G19" s="8"/>
    </row>
    <row r="20" spans="1:8" x14ac:dyDescent="0.25">
      <c r="A20" t="str">
        <f>+RS!A$26</f>
        <v xml:space="preserve">Fuel </v>
      </c>
      <c r="C20" s="63">
        <f>+RS!C26</f>
        <v>2.0411219651722302E-3</v>
      </c>
      <c r="D20" s="8">
        <f>+B14*C20</f>
        <v>3190.5614297612851</v>
      </c>
      <c r="F20" s="60">
        <f>+RS!F26</f>
        <v>2.0411219651722302E-3</v>
      </c>
      <c r="G20" s="8">
        <f>+E14*F20</f>
        <v>3190.5614297612851</v>
      </c>
      <c r="H20" s="74"/>
    </row>
    <row r="21" spans="1:8" x14ac:dyDescent="0.25">
      <c r="D21" s="8"/>
      <c r="G21" s="8"/>
    </row>
    <row r="22" spans="1:8" x14ac:dyDescent="0.25">
      <c r="A22" t="str">
        <f>+RS!A$28</f>
        <v>Asset Transfer Rider</v>
      </c>
      <c r="D22" s="45">
        <f>+ATR!D20</f>
        <v>15521.29</v>
      </c>
      <c r="G22" s="45"/>
      <c r="H22" s="74"/>
    </row>
    <row r="23" spans="1:8" x14ac:dyDescent="0.25">
      <c r="D23" s="45"/>
      <c r="G23" s="45"/>
    </row>
    <row r="24" spans="1:8" x14ac:dyDescent="0.25">
      <c r="A24" t="str">
        <f>RS!A30</f>
        <v>Economic Development Rider</v>
      </c>
      <c r="D24" s="45"/>
      <c r="E24" s="25">
        <f>E16</f>
        <v>924</v>
      </c>
      <c r="F24" s="66">
        <f>RS!F30</f>
        <v>0.15</v>
      </c>
      <c r="G24" s="45">
        <f>E24*F24</f>
        <v>138.6</v>
      </c>
      <c r="H24" s="74"/>
    </row>
    <row r="25" spans="1:8" x14ac:dyDescent="0.25">
      <c r="D25" s="45"/>
      <c r="E25" s="25"/>
      <c r="F25" s="66"/>
      <c r="G25" s="45"/>
    </row>
    <row r="26" spans="1:8" x14ac:dyDescent="0.25">
      <c r="A26" t="str">
        <f>RS!A32</f>
        <v>Big Sandy 1 Operations Rider</v>
      </c>
      <c r="D26" s="45"/>
      <c r="E26" s="25"/>
      <c r="F26" s="65">
        <v>2.8300000000000001E-3</v>
      </c>
      <c r="G26" s="45">
        <f>+F26*E14</f>
        <v>4423.6890300000005</v>
      </c>
      <c r="H26" s="74"/>
    </row>
    <row r="27" spans="1:8" x14ac:dyDescent="0.25">
      <c r="D27" s="45"/>
      <c r="E27" s="25"/>
      <c r="F27" s="66"/>
      <c r="G27" s="45"/>
    </row>
    <row r="28" spans="1:8" x14ac:dyDescent="0.25">
      <c r="A28" t="str">
        <f>RS!A34</f>
        <v>Big Sandy Retirement Rider</v>
      </c>
      <c r="D28" s="45"/>
      <c r="E28" s="74">
        <f>SUM(G10:G27)-G20-G36</f>
        <v>122977.34184000002</v>
      </c>
      <c r="F28" s="78">
        <f>SGS!$F$30</f>
        <v>4.9917999999999997E-2</v>
      </c>
      <c r="G28" s="45">
        <f>E28*F28</f>
        <v>6138.7829499691206</v>
      </c>
      <c r="H28" s="74"/>
    </row>
    <row r="29" spans="1:8" x14ac:dyDescent="0.25">
      <c r="D29" s="45"/>
      <c r="E29" s="25"/>
      <c r="F29" s="57"/>
      <c r="G29" s="45"/>
    </row>
    <row r="30" spans="1:8" x14ac:dyDescent="0.25">
      <c r="A30" t="str">
        <f>+RS!A$36</f>
        <v>Environmental Surcharge</v>
      </c>
      <c r="D30" s="45"/>
      <c r="E30" s="74">
        <f>E28</f>
        <v>122977.34184000002</v>
      </c>
      <c r="F30" s="78">
        <f>SGS!$F$32</f>
        <v>9.8901000000000003E-2</v>
      </c>
      <c r="G30" s="45">
        <f>E30*F30</f>
        <v>12162.582085317843</v>
      </c>
      <c r="H30" s="74"/>
    </row>
    <row r="31" spans="1:8" x14ac:dyDescent="0.25">
      <c r="D31" s="8"/>
      <c r="G31" s="8"/>
    </row>
    <row r="32" spans="1:8" x14ac:dyDescent="0.25">
      <c r="A32" t="s">
        <v>14</v>
      </c>
      <c r="D32" s="8">
        <f>SUM(D12:D31)</f>
        <v>171931.06706976128</v>
      </c>
      <c r="G32" s="8">
        <f>SUM(G12:G31)</f>
        <v>188862.47270504828</v>
      </c>
      <c r="H32" s="74"/>
    </row>
    <row r="36" spans="1:7" x14ac:dyDescent="0.25">
      <c r="A36" s="46" t="s">
        <v>193</v>
      </c>
      <c r="F36" s="60">
        <f>SGS!$F$38</f>
        <v>2.8400000000000002E-2</v>
      </c>
      <c r="G36" s="8">
        <f>+E14*F36</f>
        <v>44393.204400000002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Settle Exh 1</vt:lpstr>
      <vt:lpstr>RS</vt:lpstr>
      <vt:lpstr>RSLMTOD</vt:lpstr>
      <vt:lpstr>RSTOD</vt:lpstr>
      <vt:lpstr>SGS</vt:lpstr>
      <vt:lpstr>SGSLMTOD</vt:lpstr>
      <vt:lpstr>SGSEXPTOD</vt:lpstr>
      <vt:lpstr>SGS-NM</vt:lpstr>
      <vt:lpstr>MGS RL</vt:lpstr>
      <vt:lpstr>MGS-SEC</vt:lpstr>
      <vt:lpstr>MGSLMTOD</vt:lpstr>
      <vt:lpstr>MGSTOD</vt:lpstr>
      <vt:lpstr>MGS-PRI</vt:lpstr>
      <vt:lpstr>MGS-SUB</vt:lpstr>
      <vt:lpstr>School Sec</vt:lpstr>
      <vt:lpstr>School Pri</vt:lpstr>
      <vt:lpstr>LGS-SEC</vt:lpstr>
      <vt:lpstr>LGSLMTOD</vt:lpstr>
      <vt:lpstr>LGS-PRI</vt:lpstr>
      <vt:lpstr>LGS-SUB</vt:lpstr>
      <vt:lpstr>LGS-TRAN</vt:lpstr>
      <vt:lpstr>QP-SEC</vt:lpstr>
      <vt:lpstr>QP-PRI</vt:lpstr>
      <vt:lpstr>QP-SUB</vt:lpstr>
      <vt:lpstr>QP-TRAN</vt:lpstr>
      <vt:lpstr>CIPTOD-SUB</vt:lpstr>
      <vt:lpstr>CIPTOD-TRAN</vt:lpstr>
      <vt:lpstr>MW</vt:lpstr>
      <vt:lpstr>OL</vt:lpstr>
      <vt:lpstr>SL</vt:lpstr>
      <vt:lpstr>SUMMARY</vt:lpstr>
      <vt:lpstr>ATR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