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" yWindow="528" windowWidth="14916" windowHeight="8856" tabRatio="758"/>
  </bookViews>
  <sheets>
    <sheet name="2014" sheetId="8" r:id="rId1"/>
    <sheet name="ADFIT" sheetId="12" r:id="rId2"/>
  </sheets>
  <definedNames>
    <definedName name="_xlnm.Print_Area" localSheetId="0">'2014'!$D$1:$AJ$337</definedName>
    <definedName name="_xlnm.Print_Titles" localSheetId="0">'2014'!$A:$C</definedName>
  </definedNames>
  <calcPr calcId="145621"/>
  <fileRecoveryPr repairLoad="1"/>
</workbook>
</file>

<file path=xl/calcChain.xml><?xml version="1.0" encoding="utf-8"?>
<calcChain xmlns="http://schemas.openxmlformats.org/spreadsheetml/2006/main">
  <c r="E18" i="8" l="1"/>
  <c r="E23" i="8"/>
  <c r="E26" i="8" s="1"/>
  <c r="E29" i="8" s="1"/>
  <c r="E27" i="8"/>
  <c r="E34" i="8" l="1"/>
  <c r="E38" i="8" s="1"/>
  <c r="E31" i="8"/>
  <c r="H25" i="12"/>
  <c r="H24" i="12"/>
  <c r="H23" i="12"/>
  <c r="H22" i="12"/>
  <c r="H21" i="12"/>
  <c r="H20" i="12"/>
  <c r="H19" i="12"/>
  <c r="H18" i="12"/>
  <c r="H17" i="12"/>
  <c r="H16" i="12"/>
  <c r="H15" i="12"/>
  <c r="M70" i="8"/>
  <c r="O70" i="8"/>
  <c r="M71" i="8"/>
  <c r="O71" i="8"/>
  <c r="W71" i="8"/>
  <c r="Y71" i="8"/>
  <c r="K72" i="8"/>
  <c r="M72" i="8"/>
  <c r="O72" i="8"/>
  <c r="Q72" i="8"/>
  <c r="S72" i="8"/>
  <c r="W72" i="8"/>
  <c r="Y72" i="8"/>
  <c r="AA72" i="8"/>
  <c r="AC72" i="8"/>
  <c r="AF72" i="8"/>
  <c r="AG72" i="8"/>
  <c r="E73" i="8"/>
  <c r="G73" i="8"/>
  <c r="I73" i="8"/>
  <c r="K73" i="8"/>
  <c r="M73" i="8"/>
  <c r="O73" i="8"/>
  <c r="Q73" i="8"/>
  <c r="S73" i="8"/>
  <c r="U73" i="8"/>
  <c r="W73" i="8"/>
  <c r="Y73" i="8"/>
  <c r="AA73" i="8"/>
  <c r="AC73" i="8"/>
  <c r="AF73" i="8"/>
  <c r="AG73" i="8"/>
  <c r="E74" i="8"/>
  <c r="G74" i="8"/>
  <c r="I74" i="8"/>
  <c r="K74" i="8"/>
  <c r="M74" i="8"/>
  <c r="O74" i="8"/>
  <c r="Q74" i="8"/>
  <c r="S74" i="8"/>
  <c r="U74" i="8"/>
  <c r="W74" i="8"/>
  <c r="Y74" i="8"/>
  <c r="AA74" i="8"/>
  <c r="AC74" i="8"/>
  <c r="AF74" i="8"/>
  <c r="AG74" i="8"/>
  <c r="E75" i="8"/>
  <c r="G75" i="8"/>
  <c r="I75" i="8"/>
  <c r="K75" i="8"/>
  <c r="M75" i="8"/>
  <c r="O75" i="8"/>
  <c r="Q75" i="8"/>
  <c r="S75" i="8"/>
  <c r="U75" i="8"/>
  <c r="W75" i="8"/>
  <c r="Y75" i="8"/>
  <c r="AA75" i="8"/>
  <c r="AC75" i="8"/>
  <c r="AF75" i="8"/>
  <c r="AG75" i="8"/>
  <c r="E77" i="8"/>
  <c r="G77" i="8"/>
  <c r="I77" i="8"/>
  <c r="K77" i="8"/>
  <c r="M77" i="8"/>
  <c r="O77" i="8"/>
  <c r="Q77" i="8"/>
  <c r="S77" i="8"/>
  <c r="U77" i="8"/>
  <c r="W77" i="8"/>
  <c r="Y77" i="8"/>
  <c r="AA77" i="8"/>
  <c r="AC77" i="8"/>
  <c r="AF77" i="8"/>
  <c r="AG77" i="8"/>
  <c r="AG312" i="8"/>
  <c r="AG311" i="8"/>
  <c r="AG310" i="8"/>
  <c r="AC312" i="8"/>
  <c r="AC311" i="8"/>
  <c r="AC310" i="8"/>
  <c r="AA312" i="8"/>
  <c r="AA311" i="8"/>
  <c r="AA310" i="8"/>
  <c r="Y312" i="8"/>
  <c r="Y311" i="8"/>
  <c r="Y310" i="8"/>
  <c r="W312" i="8"/>
  <c r="W311" i="8"/>
  <c r="W310" i="8"/>
  <c r="U312" i="8"/>
  <c r="U311" i="8"/>
  <c r="U310" i="8"/>
  <c r="S312" i="8"/>
  <c r="S311" i="8"/>
  <c r="S310" i="8"/>
  <c r="Q312" i="8"/>
  <c r="Q311" i="8"/>
  <c r="Q310" i="8"/>
  <c r="O312" i="8"/>
  <c r="O311" i="8"/>
  <c r="O310" i="8"/>
  <c r="M312" i="8"/>
  <c r="M311" i="8"/>
  <c r="M310" i="8"/>
  <c r="K312" i="8"/>
  <c r="K311" i="8"/>
  <c r="K310" i="8"/>
  <c r="I312" i="8"/>
  <c r="I311" i="8"/>
  <c r="I310" i="8"/>
  <c r="G312" i="8"/>
  <c r="G311" i="8"/>
  <c r="G310" i="8"/>
  <c r="E312" i="8"/>
  <c r="E311" i="8"/>
  <c r="E310" i="8"/>
  <c r="AG143" i="8"/>
  <c r="AG142" i="8"/>
  <c r="AG141" i="8"/>
  <c r="AC143" i="8"/>
  <c r="AC142" i="8"/>
  <c r="AC141" i="8"/>
  <c r="AA143" i="8"/>
  <c r="AA142" i="8"/>
  <c r="AA141" i="8"/>
  <c r="Y143" i="8"/>
  <c r="Y142" i="8"/>
  <c r="Y141" i="8"/>
  <c r="W143" i="8"/>
  <c r="W142" i="8"/>
  <c r="W141" i="8"/>
  <c r="U143" i="8"/>
  <c r="U142" i="8"/>
  <c r="U141" i="8"/>
  <c r="S143" i="8"/>
  <c r="S142" i="8"/>
  <c r="S141" i="8"/>
  <c r="Q143" i="8"/>
  <c r="Q142" i="8"/>
  <c r="Q141" i="8"/>
  <c r="O143" i="8"/>
  <c r="O142" i="8"/>
  <c r="O141" i="8"/>
  <c r="M143" i="8"/>
  <c r="M142" i="8"/>
  <c r="M141" i="8"/>
  <c r="K143" i="8"/>
  <c r="K142" i="8"/>
  <c r="K141" i="8"/>
  <c r="I143" i="8"/>
  <c r="I142" i="8"/>
  <c r="I141" i="8"/>
  <c r="G143" i="8"/>
  <c r="G142" i="8"/>
  <c r="G141" i="8"/>
  <c r="E143" i="8"/>
  <c r="E142" i="8"/>
  <c r="E141" i="8"/>
  <c r="AG289" i="8"/>
  <c r="AG349" i="8"/>
  <c r="AG315" i="8"/>
  <c r="AG314" i="8"/>
  <c r="AG298" i="8"/>
  <c r="AG288" i="8"/>
  <c r="AG272" i="8"/>
  <c r="AG256" i="8"/>
  <c r="AG240" i="8"/>
  <c r="AG225" i="8"/>
  <c r="AG228" i="8" s="1"/>
  <c r="AG233" i="8" s="1"/>
  <c r="AG237" i="8" s="1"/>
  <c r="AG327" i="8" s="1"/>
  <c r="AG224" i="8"/>
  <c r="AG177" i="8"/>
  <c r="AG193" i="8" s="1"/>
  <c r="AG165" i="8"/>
  <c r="AG164" i="8"/>
  <c r="AG169" i="8" s="1"/>
  <c r="AG173" i="8" s="1"/>
  <c r="AG323" i="8" s="1"/>
  <c r="AG152" i="8"/>
  <c r="AG151" i="8"/>
  <c r="AG146" i="8"/>
  <c r="AG145" i="8"/>
  <c r="AG116" i="8"/>
  <c r="AG114" i="8" s="1"/>
  <c r="AG104" i="8"/>
  <c r="AG103" i="8"/>
  <c r="AG93" i="8"/>
  <c r="AG318" i="8" s="1"/>
  <c r="AG86" i="8"/>
  <c r="AG317" i="8" s="1"/>
  <c r="AG345" i="8"/>
  <c r="AG23" i="8"/>
  <c r="AG26" i="8" s="1"/>
  <c r="AG18" i="8"/>
  <c r="AI16" i="8"/>
  <c r="AI15" i="8"/>
  <c r="AG106" i="8" l="1"/>
  <c r="AG319" i="8" s="1"/>
  <c r="AG96" i="8"/>
  <c r="AG157" i="8"/>
  <c r="AG322" i="8" s="1"/>
  <c r="AG122" i="8"/>
  <c r="AG126" i="8" s="1"/>
  <c r="AG292" i="8"/>
  <c r="AG297" i="8" s="1"/>
  <c r="AG301" i="8" s="1"/>
  <c r="AG336" i="8" s="1"/>
  <c r="AG113" i="8"/>
  <c r="AG118" i="8" s="1"/>
  <c r="AG320" i="8" s="1"/>
  <c r="AG276" i="8"/>
  <c r="AG281" i="8" s="1"/>
  <c r="AG285" i="8" s="1"/>
  <c r="AG330" i="8" s="1"/>
  <c r="AG257" i="8"/>
  <c r="AG260" i="8" s="1"/>
  <c r="AG265" i="8" s="1"/>
  <c r="AG269" i="8" s="1"/>
  <c r="AG329" i="8" s="1"/>
  <c r="AG209" i="8"/>
  <c r="AG212" i="8" s="1"/>
  <c r="AG217" i="8" s="1"/>
  <c r="AG221" i="8" s="1"/>
  <c r="AG326" i="8" s="1"/>
  <c r="AG196" i="8"/>
  <c r="AG197" i="8"/>
  <c r="AG125" i="8"/>
  <c r="AG130" i="8" s="1"/>
  <c r="AG321" i="8" s="1"/>
  <c r="AG241" i="8"/>
  <c r="AG244" i="8" s="1"/>
  <c r="AG249" i="8" s="1"/>
  <c r="AG253" i="8" s="1"/>
  <c r="AG328" i="8" s="1"/>
  <c r="AG181" i="8"/>
  <c r="AG180" i="8"/>
  <c r="AG185" i="8" l="1"/>
  <c r="AG189" i="8" s="1"/>
  <c r="AG324" i="8" s="1"/>
  <c r="AG201" i="8"/>
  <c r="AG205" i="8" s="1"/>
  <c r="AG325" i="8" s="1"/>
  <c r="AF349" i="8"/>
  <c r="AC349" i="8"/>
  <c r="AA349" i="8"/>
  <c r="Y349" i="8"/>
  <c r="W349" i="8"/>
  <c r="U349" i="8"/>
  <c r="S349" i="8"/>
  <c r="Q349" i="8"/>
  <c r="O349" i="8"/>
  <c r="M349" i="8"/>
  <c r="K349" i="8"/>
  <c r="I349" i="8"/>
  <c r="G349" i="8"/>
  <c r="E349" i="8"/>
  <c r="B333" i="8"/>
  <c r="AE330" i="8"/>
  <c r="AD330" i="8"/>
  <c r="AB330" i="8"/>
  <c r="Z330" i="8"/>
  <c r="X330" i="8"/>
  <c r="T330" i="8"/>
  <c r="R330" i="8"/>
  <c r="P330" i="8"/>
  <c r="L330" i="8"/>
  <c r="J330" i="8"/>
  <c r="H330" i="8"/>
  <c r="F330" i="8"/>
  <c r="D330" i="8"/>
  <c r="AE329" i="8"/>
  <c r="AD329" i="8"/>
  <c r="AB329" i="8"/>
  <c r="Z329" i="8"/>
  <c r="X329" i="8"/>
  <c r="T329" i="8"/>
  <c r="R329" i="8"/>
  <c r="P329" i="8"/>
  <c r="L329" i="8"/>
  <c r="J329" i="8"/>
  <c r="H329" i="8"/>
  <c r="F329" i="8"/>
  <c r="D329" i="8"/>
  <c r="AF315" i="8"/>
  <c r="AC315" i="8"/>
  <c r="AA315" i="8"/>
  <c r="Y315" i="8"/>
  <c r="W315" i="8"/>
  <c r="U315" i="8"/>
  <c r="S315" i="8"/>
  <c r="Q315" i="8"/>
  <c r="O315" i="8"/>
  <c r="M315" i="8"/>
  <c r="K315" i="8"/>
  <c r="I315" i="8"/>
  <c r="G315" i="8"/>
  <c r="E315" i="8"/>
  <c r="AF314" i="8"/>
  <c r="AC314" i="8"/>
  <c r="AA314" i="8"/>
  <c r="Y314" i="8"/>
  <c r="U314" i="8"/>
  <c r="S314" i="8"/>
  <c r="Q314" i="8"/>
  <c r="O314" i="8"/>
  <c r="M314" i="8"/>
  <c r="K314" i="8"/>
  <c r="I314" i="8"/>
  <c r="G314" i="8"/>
  <c r="E314" i="8"/>
  <c r="AF312" i="8"/>
  <c r="AF311" i="8"/>
  <c r="L311" i="8"/>
  <c r="AF310" i="8"/>
  <c r="AF298" i="8"/>
  <c r="AC298" i="8"/>
  <c r="AA298" i="8"/>
  <c r="Y298" i="8"/>
  <c r="X298" i="8"/>
  <c r="W298" i="8"/>
  <c r="U298" i="8"/>
  <c r="T298" i="8"/>
  <c r="S298" i="8"/>
  <c r="Q298" i="8"/>
  <c r="O298" i="8"/>
  <c r="M298" i="8"/>
  <c r="K298" i="8"/>
  <c r="I298" i="8"/>
  <c r="G298" i="8"/>
  <c r="E298" i="8"/>
  <c r="AF288" i="8"/>
  <c r="AC288" i="8"/>
  <c r="AA288" i="8"/>
  <c r="Y288" i="8"/>
  <c r="W288" i="8"/>
  <c r="U288" i="8"/>
  <c r="S288" i="8"/>
  <c r="Q288" i="8"/>
  <c r="O288" i="8"/>
  <c r="M288" i="8"/>
  <c r="K288" i="8"/>
  <c r="I288" i="8"/>
  <c r="G288" i="8"/>
  <c r="E288" i="8"/>
  <c r="AF273" i="8"/>
  <c r="AC273" i="8"/>
  <c r="AF272" i="8"/>
  <c r="AC272" i="8"/>
  <c r="AA272" i="8"/>
  <c r="Y272" i="8"/>
  <c r="W272" i="8"/>
  <c r="U272" i="8"/>
  <c r="S272" i="8"/>
  <c r="Q272" i="8"/>
  <c r="O272" i="8"/>
  <c r="M272" i="8"/>
  <c r="K272" i="8"/>
  <c r="I272" i="8"/>
  <c r="G272" i="8"/>
  <c r="E272" i="8"/>
  <c r="AA257" i="8"/>
  <c r="AF256" i="8"/>
  <c r="AC256" i="8"/>
  <c r="AA256" i="8"/>
  <c r="Y256" i="8"/>
  <c r="W256" i="8"/>
  <c r="U256" i="8"/>
  <c r="S256" i="8"/>
  <c r="Q256" i="8"/>
  <c r="O256" i="8"/>
  <c r="M256" i="8"/>
  <c r="K256" i="8"/>
  <c r="I256" i="8"/>
  <c r="G256" i="8"/>
  <c r="E256" i="8"/>
  <c r="Y241" i="8"/>
  <c r="AF240" i="8"/>
  <c r="AC240" i="8"/>
  <c r="AA240" i="8"/>
  <c r="Y240" i="8"/>
  <c r="W240" i="8"/>
  <c r="U240" i="8"/>
  <c r="S240" i="8"/>
  <c r="Q240" i="8"/>
  <c r="O240" i="8"/>
  <c r="M240" i="8"/>
  <c r="K240" i="8"/>
  <c r="I240" i="8"/>
  <c r="G240" i="8"/>
  <c r="E240" i="8"/>
  <c r="W225" i="8"/>
  <c r="AF224" i="8"/>
  <c r="AC224" i="8"/>
  <c r="AA224" i="8"/>
  <c r="Y224" i="8"/>
  <c r="W224" i="8"/>
  <c r="U224" i="8"/>
  <c r="S224" i="8"/>
  <c r="Q224" i="8"/>
  <c r="O224" i="8"/>
  <c r="M224" i="8"/>
  <c r="K224" i="8"/>
  <c r="I224" i="8"/>
  <c r="G224" i="8"/>
  <c r="E224" i="8"/>
  <c r="U209" i="8"/>
  <c r="S193" i="8"/>
  <c r="AF177" i="8"/>
  <c r="AF225" i="8" s="1"/>
  <c r="AC177" i="8"/>
  <c r="AC225" i="8" s="1"/>
  <c r="Q177" i="8"/>
  <c r="AF165" i="8"/>
  <c r="AC165" i="8"/>
  <c r="AF164" i="8"/>
  <c r="AC164" i="8"/>
  <c r="AA161" i="8"/>
  <c r="AA165" i="8" s="1"/>
  <c r="Y161" i="8"/>
  <c r="Y165" i="8" s="1"/>
  <c r="Q161" i="8"/>
  <c r="Q164" i="8" s="1"/>
  <c r="Q169" i="8" s="1"/>
  <c r="Q173" i="8" s="1"/>
  <c r="Q323" i="8" s="1"/>
  <c r="O161" i="8"/>
  <c r="O157" i="8"/>
  <c r="O322" i="8" s="1"/>
  <c r="AF152" i="8"/>
  <c r="AC152" i="8"/>
  <c r="AA152" i="8"/>
  <c r="Y152" i="8"/>
  <c r="AF151" i="8"/>
  <c r="AC151" i="8"/>
  <c r="AA151" i="8"/>
  <c r="Y151" i="8"/>
  <c r="Q151" i="8"/>
  <c r="Q157" i="8" s="1"/>
  <c r="Q322" i="8" s="1"/>
  <c r="M148" i="8"/>
  <c r="M161" i="8" s="1"/>
  <c r="AF146" i="8"/>
  <c r="AC146" i="8"/>
  <c r="AA146" i="8"/>
  <c r="Y146" i="8"/>
  <c r="W146" i="8"/>
  <c r="U146" i="8"/>
  <c r="S146" i="8"/>
  <c r="Q146" i="8"/>
  <c r="O146" i="8"/>
  <c r="M146" i="8"/>
  <c r="K146" i="8"/>
  <c r="I146" i="8"/>
  <c r="G146" i="8"/>
  <c r="E146" i="8"/>
  <c r="AF145" i="8"/>
  <c r="AC145" i="8"/>
  <c r="AA145" i="8"/>
  <c r="Y145" i="8"/>
  <c r="W145" i="8"/>
  <c r="U145" i="8"/>
  <c r="S145" i="8"/>
  <c r="Q145" i="8"/>
  <c r="O145" i="8"/>
  <c r="M145" i="8"/>
  <c r="K145" i="8"/>
  <c r="I145" i="8"/>
  <c r="G145" i="8"/>
  <c r="E145" i="8"/>
  <c r="Q128" i="8"/>
  <c r="O128" i="8"/>
  <c r="O125" i="8" s="1"/>
  <c r="O130" i="8" s="1"/>
  <c r="O321" i="8" s="1"/>
  <c r="M128" i="8"/>
  <c r="M125" i="8" s="1"/>
  <c r="M130" i="8" s="1"/>
  <c r="M321" i="8" s="1"/>
  <c r="Q125" i="8"/>
  <c r="AF116" i="8"/>
  <c r="AF122" i="8" s="1"/>
  <c r="AF126" i="8" s="1"/>
  <c r="AC116" i="8"/>
  <c r="AC122" i="8" s="1"/>
  <c r="AA116" i="8"/>
  <c r="AA113" i="8" s="1"/>
  <c r="Y116" i="8"/>
  <c r="Y113" i="8" s="1"/>
  <c r="W116" i="8"/>
  <c r="W122" i="8" s="1"/>
  <c r="U116" i="8"/>
  <c r="U113" i="8" s="1"/>
  <c r="S116" i="8"/>
  <c r="Q116" i="8"/>
  <c r="O116" i="8"/>
  <c r="M116" i="8"/>
  <c r="K116" i="8"/>
  <c r="Q113" i="8"/>
  <c r="O113" i="8"/>
  <c r="M113" i="8"/>
  <c r="K113" i="8"/>
  <c r="AF104" i="8"/>
  <c r="AC104" i="8"/>
  <c r="W104" i="8"/>
  <c r="U104" i="8"/>
  <c r="Q104" i="8"/>
  <c r="O104" i="8"/>
  <c r="M104" i="8"/>
  <c r="K104" i="8"/>
  <c r="AF103" i="8"/>
  <c r="AC103" i="8"/>
  <c r="AA103" i="8"/>
  <c r="AA106" i="8" s="1"/>
  <c r="AA319" i="8" s="1"/>
  <c r="Y103" i="8"/>
  <c r="Y106" i="8" s="1"/>
  <c r="Y319" i="8" s="1"/>
  <c r="W103" i="8"/>
  <c r="U103" i="8"/>
  <c r="S103" i="8"/>
  <c r="S106" i="8" s="1"/>
  <c r="S319" i="8" s="1"/>
  <c r="Q103" i="8"/>
  <c r="O103" i="8"/>
  <c r="M103" i="8"/>
  <c r="K103" i="8"/>
  <c r="I103" i="8"/>
  <c r="I106" i="8" s="1"/>
  <c r="I319" i="8" s="1"/>
  <c r="G94" i="8"/>
  <c r="AF93" i="8"/>
  <c r="AF318" i="8" s="1"/>
  <c r="AC93" i="8"/>
  <c r="AC318" i="8" s="1"/>
  <c r="AA93" i="8"/>
  <c r="AA318" i="8" s="1"/>
  <c r="Y93" i="8"/>
  <c r="W93" i="8"/>
  <c r="W318" i="8" s="1"/>
  <c r="U93" i="8"/>
  <c r="S93" i="8"/>
  <c r="S318" i="8" s="1"/>
  <c r="Q93" i="8"/>
  <c r="Q318" i="8" s="1"/>
  <c r="O93" i="8"/>
  <c r="M93" i="8"/>
  <c r="K93" i="8"/>
  <c r="K318" i="8" s="1"/>
  <c r="I93" i="8"/>
  <c r="I318" i="8" s="1"/>
  <c r="G93" i="8"/>
  <c r="E90" i="8"/>
  <c r="E100" i="8" s="1"/>
  <c r="AF86" i="8"/>
  <c r="AF317" i="8" s="1"/>
  <c r="AC86" i="8"/>
  <c r="AC317" i="8" s="1"/>
  <c r="AA86" i="8"/>
  <c r="AA317" i="8" s="1"/>
  <c r="Y86" i="8"/>
  <c r="Y317" i="8" s="1"/>
  <c r="W86" i="8"/>
  <c r="W317" i="8" s="1"/>
  <c r="U86" i="8"/>
  <c r="U317" i="8" s="1"/>
  <c r="S86" i="8"/>
  <c r="S317" i="8" s="1"/>
  <c r="Q86" i="8"/>
  <c r="Q317" i="8" s="1"/>
  <c r="O86" i="8"/>
  <c r="O317" i="8" s="1"/>
  <c r="M86" i="8"/>
  <c r="M317" i="8" s="1"/>
  <c r="K86" i="8"/>
  <c r="K317" i="8" s="1"/>
  <c r="I86" i="8"/>
  <c r="I317" i="8" s="1"/>
  <c r="G86" i="8"/>
  <c r="G317" i="8" s="1"/>
  <c r="E86" i="8"/>
  <c r="E317" i="8" s="1"/>
  <c r="AF143" i="8"/>
  <c r="AF142" i="8"/>
  <c r="AF141" i="8"/>
  <c r="O138" i="8"/>
  <c r="M138" i="8"/>
  <c r="AI2" i="8"/>
  <c r="AF345" i="8"/>
  <c r="AC345" i="8"/>
  <c r="AA345" i="8"/>
  <c r="W345" i="8"/>
  <c r="U345" i="8"/>
  <c r="S345" i="8"/>
  <c r="Q345" i="8"/>
  <c r="O345" i="8"/>
  <c r="M345" i="8"/>
  <c r="K345" i="8"/>
  <c r="I345" i="8"/>
  <c r="G345" i="8"/>
  <c r="E345" i="8"/>
  <c r="B38" i="8"/>
  <c r="AE31" i="8"/>
  <c r="AD31" i="8"/>
  <c r="AB31" i="8"/>
  <c r="Z31" i="8"/>
  <c r="X31" i="8"/>
  <c r="T31" i="8"/>
  <c r="R31" i="8"/>
  <c r="P31" i="8"/>
  <c r="L31" i="8"/>
  <c r="J31" i="8"/>
  <c r="H31" i="8"/>
  <c r="F31" i="8"/>
  <c r="B29" i="8"/>
  <c r="AF23" i="8"/>
  <c r="AF26" i="8" s="1"/>
  <c r="AC23" i="8"/>
  <c r="AC26" i="8" s="1"/>
  <c r="AA23" i="8"/>
  <c r="AA26" i="8" s="1"/>
  <c r="Y23" i="8"/>
  <c r="Y26" i="8" s="1"/>
  <c r="W23" i="8"/>
  <c r="W26" i="8" s="1"/>
  <c r="U23" i="8"/>
  <c r="U26" i="8" s="1"/>
  <c r="S23" i="8"/>
  <c r="S26" i="8" s="1"/>
  <c r="Q23" i="8"/>
  <c r="Q26" i="8" s="1"/>
  <c r="O23" i="8"/>
  <c r="O26" i="8" s="1"/>
  <c r="M23" i="8"/>
  <c r="M26" i="8" s="1"/>
  <c r="K23" i="8"/>
  <c r="K26" i="8" s="1"/>
  <c r="I23" i="8"/>
  <c r="I26" i="8" s="1"/>
  <c r="G23" i="8"/>
  <c r="G26" i="8" s="1"/>
  <c r="AF18" i="8"/>
  <c r="AC18" i="8"/>
  <c r="AA18" i="8"/>
  <c r="Y18" i="8"/>
  <c r="W18" i="8"/>
  <c r="U18" i="8"/>
  <c r="S18" i="8"/>
  <c r="Q18" i="8"/>
  <c r="O18" i="8"/>
  <c r="M18" i="8"/>
  <c r="K18" i="8"/>
  <c r="I18" i="8"/>
  <c r="G18" i="8"/>
  <c r="B18" i="8"/>
  <c r="S199" i="8" l="1"/>
  <c r="S196" i="8" s="1"/>
  <c r="S201" i="8" s="1"/>
  <c r="S205" i="8" s="1"/>
  <c r="S325" i="8" s="1"/>
  <c r="S360" i="8" s="1"/>
  <c r="AG333" i="8"/>
  <c r="AG350" i="8" s="1"/>
  <c r="AI317" i="8"/>
  <c r="AI23" i="8"/>
  <c r="AI18" i="8"/>
  <c r="AG27" i="8"/>
  <c r="AI26" i="8"/>
  <c r="M106" i="8"/>
  <c r="M319" i="8" s="1"/>
  <c r="Q130" i="8"/>
  <c r="Q321" i="8" s="1"/>
  <c r="U106" i="8"/>
  <c r="U319" i="8" s="1"/>
  <c r="O106" i="8"/>
  <c r="O319" i="8" s="1"/>
  <c r="AF114" i="8"/>
  <c r="K106" i="8"/>
  <c r="K319" i="8" s="1"/>
  <c r="AF113" i="8"/>
  <c r="M118" i="8"/>
  <c r="M320" i="8" s="1"/>
  <c r="Y114" i="8"/>
  <c r="Y118" i="8" s="1"/>
  <c r="Y320" i="8" s="1"/>
  <c r="AA157" i="8"/>
  <c r="AA322" i="8" s="1"/>
  <c r="W106" i="8"/>
  <c r="W319" i="8" s="1"/>
  <c r="Q118" i="8"/>
  <c r="Q320" i="8" s="1"/>
  <c r="AF96" i="8"/>
  <c r="AC157" i="8"/>
  <c r="AC322" i="8" s="1"/>
  <c r="AC96" i="8"/>
  <c r="Y122" i="8"/>
  <c r="Y126" i="8" s="1"/>
  <c r="AC169" i="8"/>
  <c r="AC173" i="8" s="1"/>
  <c r="AC323" i="8" s="1"/>
  <c r="AF193" i="8"/>
  <c r="AF257" i="8" s="1"/>
  <c r="AF260" i="8" s="1"/>
  <c r="AF265" i="8" s="1"/>
  <c r="AF269" i="8" s="1"/>
  <c r="AF329" i="8" s="1"/>
  <c r="Y157" i="8"/>
  <c r="Y322" i="8" s="1"/>
  <c r="AC126" i="8"/>
  <c r="AC125" i="8"/>
  <c r="E110" i="8"/>
  <c r="E113" i="8" s="1"/>
  <c r="E118" i="8" s="1"/>
  <c r="E320" i="8" s="1"/>
  <c r="E148" i="8"/>
  <c r="E161" i="8" s="1"/>
  <c r="E164" i="8" s="1"/>
  <c r="E169" i="8" s="1"/>
  <c r="E173" i="8" s="1"/>
  <c r="E323" i="8" s="1"/>
  <c r="E122" i="8"/>
  <c r="E125" i="8" s="1"/>
  <c r="E130" i="8" s="1"/>
  <c r="E321" i="8" s="1"/>
  <c r="E103" i="8"/>
  <c r="E106" i="8" s="1"/>
  <c r="E319" i="8" s="1"/>
  <c r="K96" i="8"/>
  <c r="W96" i="8"/>
  <c r="Y164" i="8"/>
  <c r="Y169" i="8" s="1"/>
  <c r="Y173" i="8" s="1"/>
  <c r="Y323" i="8" s="1"/>
  <c r="Y177" i="8"/>
  <c r="Y193" i="8" s="1"/>
  <c r="E93" i="8"/>
  <c r="E96" i="8" s="1"/>
  <c r="E318" i="8" s="1"/>
  <c r="Q96" i="8"/>
  <c r="AA96" i="8"/>
  <c r="AF106" i="8"/>
  <c r="AF319" i="8" s="1"/>
  <c r="Q106" i="8"/>
  <c r="Q319" i="8" s="1"/>
  <c r="O118" i="8"/>
  <c r="O320" i="8" s="1"/>
  <c r="U114" i="8"/>
  <c r="U118" i="8" s="1"/>
  <c r="U320" i="8" s="1"/>
  <c r="U122" i="8"/>
  <c r="AA164" i="8"/>
  <c r="AA169" i="8" s="1"/>
  <c r="AA173" i="8" s="1"/>
  <c r="AA323" i="8" s="1"/>
  <c r="AA177" i="8"/>
  <c r="S96" i="8"/>
  <c r="I96" i="8"/>
  <c r="K118" i="8"/>
  <c r="K320" i="8" s="1"/>
  <c r="AF169" i="8"/>
  <c r="AF173" i="8" s="1"/>
  <c r="AF323" i="8" s="1"/>
  <c r="AC180" i="8"/>
  <c r="AC181" i="8"/>
  <c r="AC193" i="8"/>
  <c r="AC196" i="8" s="1"/>
  <c r="W231" i="8"/>
  <c r="W241" i="8" s="1"/>
  <c r="W244" i="8" s="1"/>
  <c r="W249" i="8" s="1"/>
  <c r="W253" i="8" s="1"/>
  <c r="W328" i="8" s="1"/>
  <c r="K122" i="8"/>
  <c r="G100" i="8"/>
  <c r="I110" i="8"/>
  <c r="Q193" i="8"/>
  <c r="Q180" i="8"/>
  <c r="Q185" i="8" s="1"/>
  <c r="Q189" i="8" s="1"/>
  <c r="Q324" i="8" s="1"/>
  <c r="G318" i="8"/>
  <c r="G96" i="8"/>
  <c r="U318" i="8"/>
  <c r="U96" i="8"/>
  <c r="AC106" i="8"/>
  <c r="AC319" i="8" s="1"/>
  <c r="O318" i="8"/>
  <c r="O96" i="8"/>
  <c r="W148" i="8"/>
  <c r="W125" i="8"/>
  <c r="AF125" i="8"/>
  <c r="AF130" i="8" s="1"/>
  <c r="AF321" i="8" s="1"/>
  <c r="W126" i="8"/>
  <c r="AA114" i="8"/>
  <c r="AA118" i="8" s="1"/>
  <c r="AA320" i="8" s="1"/>
  <c r="AA122" i="8"/>
  <c r="AF157" i="8"/>
  <c r="AF322" i="8" s="1"/>
  <c r="M318" i="8"/>
  <c r="M96" i="8"/>
  <c r="Y318" i="8"/>
  <c r="Y96" i="8"/>
  <c r="S113" i="8"/>
  <c r="S114" i="8"/>
  <c r="W113" i="8"/>
  <c r="W114" i="8"/>
  <c r="AC113" i="8"/>
  <c r="AC114" i="8"/>
  <c r="S122" i="8"/>
  <c r="M164" i="8"/>
  <c r="M169" i="8" s="1"/>
  <c r="M173" i="8" s="1"/>
  <c r="M323" i="8" s="1"/>
  <c r="M177" i="8"/>
  <c r="M151" i="8"/>
  <c r="M157" i="8" s="1"/>
  <c r="M322" i="8" s="1"/>
  <c r="O177" i="8"/>
  <c r="O164" i="8"/>
  <c r="O169" i="8" s="1"/>
  <c r="O173" i="8" s="1"/>
  <c r="O323" i="8" s="1"/>
  <c r="AC241" i="8"/>
  <c r="AC244" i="8" s="1"/>
  <c r="AC249" i="8" s="1"/>
  <c r="AC253" i="8" s="1"/>
  <c r="AC328" i="8" s="1"/>
  <c r="AC228" i="8"/>
  <c r="AC233" i="8" s="1"/>
  <c r="AC237" i="8" s="1"/>
  <c r="AC327" i="8" s="1"/>
  <c r="AF180" i="8"/>
  <c r="U215" i="8"/>
  <c r="U212" i="8" s="1"/>
  <c r="U217" i="8" s="1"/>
  <c r="U221" i="8" s="1"/>
  <c r="U326" i="8" s="1"/>
  <c r="AF241" i="8"/>
  <c r="AF244" i="8" s="1"/>
  <c r="AF249" i="8" s="1"/>
  <c r="AF253" i="8" s="1"/>
  <c r="AF328" i="8" s="1"/>
  <c r="AF228" i="8"/>
  <c r="AF233" i="8" s="1"/>
  <c r="AF237" i="8" s="1"/>
  <c r="AF327" i="8" s="1"/>
  <c r="AF181" i="8"/>
  <c r="Y247" i="8"/>
  <c r="Y249" i="8" s="1"/>
  <c r="Y253" i="8" s="1"/>
  <c r="Y328" i="8" s="1"/>
  <c r="AA263" i="8"/>
  <c r="AA260" i="8" s="1"/>
  <c r="AA265" i="8" s="1"/>
  <c r="AA269" i="8" s="1"/>
  <c r="AA329" i="8" s="1"/>
  <c r="AC279" i="8"/>
  <c r="AC276" i="8" s="1"/>
  <c r="AC281" i="8" s="1"/>
  <c r="AC285" i="8" s="1"/>
  <c r="AC330" i="8" s="1"/>
  <c r="AF279" i="8"/>
  <c r="AF276" i="8" s="1"/>
  <c r="AF281" i="8" s="1"/>
  <c r="AF285" i="8" s="1"/>
  <c r="AF330" i="8" s="1"/>
  <c r="S209" i="8" l="1"/>
  <c r="E358" i="8"/>
  <c r="E353" i="8"/>
  <c r="AI318" i="8"/>
  <c r="E355" i="8"/>
  <c r="E354" i="8"/>
  <c r="E356" i="8"/>
  <c r="AG29" i="8"/>
  <c r="AG34" i="8" s="1"/>
  <c r="AF209" i="8"/>
  <c r="AF212" i="8" s="1"/>
  <c r="AF217" i="8" s="1"/>
  <c r="AF221" i="8" s="1"/>
  <c r="AF326" i="8" s="1"/>
  <c r="AF118" i="8"/>
  <c r="AF320" i="8" s="1"/>
  <c r="AC197" i="8"/>
  <c r="AC201" i="8" s="1"/>
  <c r="AC205" i="8" s="1"/>
  <c r="AC325" i="8" s="1"/>
  <c r="AC185" i="8"/>
  <c r="AC189" i="8" s="1"/>
  <c r="AC324" i="8" s="1"/>
  <c r="AF196" i="8"/>
  <c r="E177" i="8"/>
  <c r="E193" i="8" s="1"/>
  <c r="AF197" i="8"/>
  <c r="W228" i="8"/>
  <c r="W233" i="8" s="1"/>
  <c r="W237" i="8" s="1"/>
  <c r="W327" i="8" s="1"/>
  <c r="Y180" i="8"/>
  <c r="Y125" i="8"/>
  <c r="Y130" i="8" s="1"/>
  <c r="Y321" i="8" s="1"/>
  <c r="AF289" i="8"/>
  <c r="AF292" i="8" s="1"/>
  <c r="AF297" i="8" s="1"/>
  <c r="AF301" i="8" s="1"/>
  <c r="AF336" i="8" s="1"/>
  <c r="AA273" i="8"/>
  <c r="AA289" i="8" s="1"/>
  <c r="AA292" i="8" s="1"/>
  <c r="AA297" i="8" s="1"/>
  <c r="AA301" i="8" s="1"/>
  <c r="AA336" i="8" s="1"/>
  <c r="Y257" i="8"/>
  <c r="Y273" i="8" s="1"/>
  <c r="AC130" i="8"/>
  <c r="AC321" i="8" s="1"/>
  <c r="W257" i="8"/>
  <c r="W260" i="8" s="1"/>
  <c r="W265" i="8" s="1"/>
  <c r="W269" i="8" s="1"/>
  <c r="W329" i="8" s="1"/>
  <c r="AC209" i="8"/>
  <c r="AC212" i="8" s="1"/>
  <c r="AC217" i="8" s="1"/>
  <c r="AC221" i="8" s="1"/>
  <c r="AC326" i="8" s="1"/>
  <c r="E151" i="8"/>
  <c r="E157" i="8" s="1"/>
  <c r="E322" i="8" s="1"/>
  <c r="U125" i="8"/>
  <c r="U148" i="8"/>
  <c r="AC257" i="8"/>
  <c r="AC260" i="8" s="1"/>
  <c r="AC265" i="8" s="1"/>
  <c r="AC269" i="8" s="1"/>
  <c r="AC329" i="8" s="1"/>
  <c r="AF185" i="8"/>
  <c r="AF189" i="8" s="1"/>
  <c r="AF324" i="8" s="1"/>
  <c r="U126" i="8"/>
  <c r="AA225" i="8"/>
  <c r="AA193" i="8"/>
  <c r="AA181" i="8"/>
  <c r="AA180" i="8"/>
  <c r="Y225" i="8"/>
  <c r="Y228" i="8" s="1"/>
  <c r="Y233" i="8" s="1"/>
  <c r="Y237" i="8" s="1"/>
  <c r="Y327" i="8" s="1"/>
  <c r="Y181" i="8"/>
  <c r="Y196" i="8"/>
  <c r="Y197" i="8"/>
  <c r="Y209" i="8"/>
  <c r="Y212" i="8" s="1"/>
  <c r="Y217" i="8" s="1"/>
  <c r="Y221" i="8" s="1"/>
  <c r="Y326" i="8" s="1"/>
  <c r="W151" i="8"/>
  <c r="W161" i="8"/>
  <c r="W152" i="8"/>
  <c r="O225" i="8"/>
  <c r="O193" i="8"/>
  <c r="O180" i="8"/>
  <c r="O185" i="8" s="1"/>
  <c r="O189" i="8" s="1"/>
  <c r="O324" i="8" s="1"/>
  <c r="AA125" i="8"/>
  <c r="AA126" i="8"/>
  <c r="I116" i="8"/>
  <c r="I122" i="8" s="1"/>
  <c r="G103" i="8"/>
  <c r="G106" i="8" s="1"/>
  <c r="G319" i="8" s="1"/>
  <c r="AI319" i="8" s="1"/>
  <c r="G110" i="8"/>
  <c r="K128" i="8"/>
  <c r="K148" i="8" s="1"/>
  <c r="AC289" i="8"/>
  <c r="AC292" i="8" s="1"/>
  <c r="AC297" i="8" s="1"/>
  <c r="AC301" i="8" s="1"/>
  <c r="AC336" i="8" s="1"/>
  <c r="S148" i="8"/>
  <c r="S126" i="8"/>
  <c r="S125" i="8"/>
  <c r="S225" i="8"/>
  <c r="S212" i="8"/>
  <c r="S217" i="8" s="1"/>
  <c r="S221" i="8" s="1"/>
  <c r="S326" i="8" s="1"/>
  <c r="S361" i="8" s="1"/>
  <c r="W118" i="8"/>
  <c r="W320" i="8" s="1"/>
  <c r="Q196" i="8"/>
  <c r="Q201" i="8" s="1"/>
  <c r="Q205" i="8" s="1"/>
  <c r="Q325" i="8" s="1"/>
  <c r="Q209" i="8"/>
  <c r="U225" i="8"/>
  <c r="M225" i="8"/>
  <c r="M193" i="8"/>
  <c r="M180" i="8"/>
  <c r="M185" i="8" s="1"/>
  <c r="M189" i="8" s="1"/>
  <c r="M324" i="8" s="1"/>
  <c r="AC118" i="8"/>
  <c r="AC320" i="8" s="1"/>
  <c r="S118" i="8"/>
  <c r="S320" i="8" s="1"/>
  <c r="W130" i="8"/>
  <c r="W321" i="8" s="1"/>
  <c r="E357" i="8" l="1"/>
  <c r="AG31" i="8"/>
  <c r="AG346" i="8" s="1"/>
  <c r="AG38" i="8"/>
  <c r="AA276" i="8"/>
  <c r="AA281" i="8" s="1"/>
  <c r="AA285" i="8" s="1"/>
  <c r="AA330" i="8" s="1"/>
  <c r="Y185" i="8"/>
  <c r="Y189" i="8" s="1"/>
  <c r="Y324" i="8" s="1"/>
  <c r="W273" i="8"/>
  <c r="W289" i="8" s="1"/>
  <c r="W292" i="8" s="1"/>
  <c r="W297" i="8" s="1"/>
  <c r="W301" i="8" s="1"/>
  <c r="W336" i="8" s="1"/>
  <c r="AF201" i="8"/>
  <c r="AF205" i="8" s="1"/>
  <c r="AF325" i="8" s="1"/>
  <c r="AF333" i="8" s="1"/>
  <c r="AF27" i="8" s="1"/>
  <c r="AF29" i="8" s="1"/>
  <c r="AA130" i="8"/>
  <c r="AA321" i="8" s="1"/>
  <c r="Y260" i="8"/>
  <c r="Y265" i="8" s="1"/>
  <c r="Y269" i="8" s="1"/>
  <c r="Y329" i="8" s="1"/>
  <c r="E225" i="8"/>
  <c r="E241" i="8" s="1"/>
  <c r="E244" i="8" s="1"/>
  <c r="E249" i="8" s="1"/>
  <c r="E253" i="8" s="1"/>
  <c r="E328" i="8" s="1"/>
  <c r="K125" i="8"/>
  <c r="K130" i="8" s="1"/>
  <c r="K321" i="8" s="1"/>
  <c r="E180" i="8"/>
  <c r="E185" i="8" s="1"/>
  <c r="E189" i="8" s="1"/>
  <c r="E324" i="8" s="1"/>
  <c r="AA185" i="8"/>
  <c r="AA189" i="8" s="1"/>
  <c r="AA324" i="8" s="1"/>
  <c r="U152" i="8"/>
  <c r="U151" i="8"/>
  <c r="U161" i="8"/>
  <c r="I113" i="8"/>
  <c r="I118" i="8" s="1"/>
  <c r="I320" i="8" s="1"/>
  <c r="Y201" i="8"/>
  <c r="Y205" i="8" s="1"/>
  <c r="Y325" i="8" s="1"/>
  <c r="AA197" i="8"/>
  <c r="AA196" i="8"/>
  <c r="AA209" i="8"/>
  <c r="AA212" i="8" s="1"/>
  <c r="AA217" i="8" s="1"/>
  <c r="AA221" i="8" s="1"/>
  <c r="AA326" i="8" s="1"/>
  <c r="U130" i="8"/>
  <c r="U321" i="8" s="1"/>
  <c r="S130" i="8"/>
  <c r="S321" i="8" s="1"/>
  <c r="W157" i="8"/>
  <c r="W322" i="8" s="1"/>
  <c r="AA241" i="8"/>
  <c r="AA244" i="8" s="1"/>
  <c r="AA249" i="8" s="1"/>
  <c r="AA253" i="8" s="1"/>
  <c r="AA328" i="8" s="1"/>
  <c r="AA228" i="8"/>
  <c r="AA233" i="8" s="1"/>
  <c r="AA237" i="8" s="1"/>
  <c r="AA327" i="8" s="1"/>
  <c r="AC333" i="8"/>
  <c r="AC350" i="8" s="1"/>
  <c r="I148" i="8"/>
  <c r="I125" i="8"/>
  <c r="I130" i="8" s="1"/>
  <c r="I321" i="8" s="1"/>
  <c r="M257" i="8"/>
  <c r="M260" i="8" s="1"/>
  <c r="M265" i="8" s="1"/>
  <c r="M269" i="8" s="1"/>
  <c r="M329" i="8" s="1"/>
  <c r="M209" i="8"/>
  <c r="M196" i="8"/>
  <c r="M201" i="8" s="1"/>
  <c r="M205" i="8" s="1"/>
  <c r="M325" i="8" s="1"/>
  <c r="U241" i="8"/>
  <c r="U228" i="8"/>
  <c r="U233" i="8" s="1"/>
  <c r="U237" i="8" s="1"/>
  <c r="U327" i="8" s="1"/>
  <c r="S151" i="8"/>
  <c r="S152" i="8"/>
  <c r="S161" i="8"/>
  <c r="O228" i="8"/>
  <c r="O233" i="8" s="1"/>
  <c r="O237" i="8" s="1"/>
  <c r="O327" i="8" s="1"/>
  <c r="O241" i="8"/>
  <c r="O244" i="8" s="1"/>
  <c r="O249" i="8" s="1"/>
  <c r="O253" i="8" s="1"/>
  <c r="O328" i="8" s="1"/>
  <c r="W164" i="8"/>
  <c r="W177" i="8"/>
  <c r="W165" i="8"/>
  <c r="M241" i="8"/>
  <c r="M244" i="8" s="1"/>
  <c r="M249" i="8" s="1"/>
  <c r="M253" i="8" s="1"/>
  <c r="M328" i="8" s="1"/>
  <c r="M228" i="8"/>
  <c r="M233" i="8" s="1"/>
  <c r="M237" i="8" s="1"/>
  <c r="M327" i="8" s="1"/>
  <c r="S289" i="8"/>
  <c r="S292" i="8" s="1"/>
  <c r="S297" i="8" s="1"/>
  <c r="S301" i="8" s="1"/>
  <c r="S336" i="8" s="1"/>
  <c r="S366" i="8" s="1"/>
  <c r="S241" i="8"/>
  <c r="S228" i="8"/>
  <c r="S233" i="8" s="1"/>
  <c r="S237" i="8" s="1"/>
  <c r="S327" i="8" s="1"/>
  <c r="S362" i="8" s="1"/>
  <c r="K161" i="8"/>
  <c r="K151" i="8"/>
  <c r="K157" i="8" s="1"/>
  <c r="K322" i="8" s="1"/>
  <c r="E257" i="8"/>
  <c r="E260" i="8" s="1"/>
  <c r="E265" i="8" s="1"/>
  <c r="E269" i="8" s="1"/>
  <c r="E329" i="8" s="1"/>
  <c r="E196" i="8"/>
  <c r="E201" i="8" s="1"/>
  <c r="E205" i="8" s="1"/>
  <c r="E325" i="8" s="1"/>
  <c r="E209" i="8"/>
  <c r="Y289" i="8"/>
  <c r="Y292" i="8" s="1"/>
  <c r="Y297" i="8" s="1"/>
  <c r="Y301" i="8" s="1"/>
  <c r="Y336" i="8" s="1"/>
  <c r="Y276" i="8"/>
  <c r="Y281" i="8" s="1"/>
  <c r="Y285" i="8" s="1"/>
  <c r="Y330" i="8" s="1"/>
  <c r="Q273" i="8"/>
  <c r="Q276" i="8" s="1"/>
  <c r="Q281" i="8" s="1"/>
  <c r="Q285" i="8" s="1"/>
  <c r="Q330" i="8" s="1"/>
  <c r="Q225" i="8"/>
  <c r="Q212" i="8"/>
  <c r="Q217" i="8" s="1"/>
  <c r="Q221" i="8" s="1"/>
  <c r="Q326" i="8" s="1"/>
  <c r="G122" i="8"/>
  <c r="G113" i="8"/>
  <c r="G118" i="8" s="1"/>
  <c r="G320" i="8" s="1"/>
  <c r="O257" i="8"/>
  <c r="O260" i="8" s="1"/>
  <c r="O265" i="8" s="1"/>
  <c r="O269" i="8" s="1"/>
  <c r="O329" i="8" s="1"/>
  <c r="O196" i="8"/>
  <c r="O201" i="8" s="1"/>
  <c r="O205" i="8" s="1"/>
  <c r="O325" i="8" s="1"/>
  <c r="O209" i="8"/>
  <c r="AI320" i="8" l="1"/>
  <c r="E364" i="8"/>
  <c r="E360" i="8"/>
  <c r="E359" i="8"/>
  <c r="E363" i="8"/>
  <c r="W276" i="8"/>
  <c r="W281" i="8" s="1"/>
  <c r="W285" i="8" s="1"/>
  <c r="W330" i="8" s="1"/>
  <c r="E228" i="8"/>
  <c r="E233" i="8" s="1"/>
  <c r="E237" i="8" s="1"/>
  <c r="E327" i="8" s="1"/>
  <c r="AF350" i="8"/>
  <c r="W169" i="8"/>
  <c r="W173" i="8" s="1"/>
  <c r="W323" i="8" s="1"/>
  <c r="U164" i="8"/>
  <c r="U165" i="8"/>
  <c r="U177" i="8"/>
  <c r="Y333" i="8"/>
  <c r="Y350" i="8" s="1"/>
  <c r="S157" i="8"/>
  <c r="S322" i="8" s="1"/>
  <c r="AA201" i="8"/>
  <c r="AA205" i="8" s="1"/>
  <c r="AA325" i="8" s="1"/>
  <c r="AA333" i="8" s="1"/>
  <c r="U157" i="8"/>
  <c r="U322" i="8" s="1"/>
  <c r="AC27" i="8"/>
  <c r="AC29" i="8" s="1"/>
  <c r="AC34" i="8" s="1"/>
  <c r="AC38" i="8" s="1"/>
  <c r="Q228" i="8"/>
  <c r="Q233" i="8" s="1"/>
  <c r="Q237" i="8" s="1"/>
  <c r="Q327" i="8" s="1"/>
  <c r="Q289" i="8"/>
  <c r="Q292" i="8" s="1"/>
  <c r="Q297" i="8" s="1"/>
  <c r="Q301" i="8" s="1"/>
  <c r="Q336" i="8" s="1"/>
  <c r="Q241" i="8"/>
  <c r="U257" i="8"/>
  <c r="U244" i="8"/>
  <c r="U249" i="8" s="1"/>
  <c r="U253" i="8" s="1"/>
  <c r="U328" i="8" s="1"/>
  <c r="I151" i="8"/>
  <c r="I157" i="8" s="1"/>
  <c r="I322" i="8" s="1"/>
  <c r="I161" i="8"/>
  <c r="O273" i="8"/>
  <c r="O276" i="8" s="1"/>
  <c r="O281" i="8" s="1"/>
  <c r="O285" i="8" s="1"/>
  <c r="O330" i="8" s="1"/>
  <c r="O289" i="8"/>
  <c r="O292" i="8" s="1"/>
  <c r="O297" i="8" s="1"/>
  <c r="O301" i="8" s="1"/>
  <c r="O336" i="8" s="1"/>
  <c r="O212" i="8"/>
  <c r="O217" i="8" s="1"/>
  <c r="O221" i="8" s="1"/>
  <c r="O326" i="8" s="1"/>
  <c r="G148" i="8"/>
  <c r="G125" i="8"/>
  <c r="G130" i="8" s="1"/>
  <c r="G321" i="8" s="1"/>
  <c r="AI321" i="8" s="1"/>
  <c r="E289" i="8"/>
  <c r="E292" i="8" s="1"/>
  <c r="E297" i="8" s="1"/>
  <c r="E301" i="8" s="1"/>
  <c r="E336" i="8" s="1"/>
  <c r="E273" i="8"/>
  <c r="E276" i="8" s="1"/>
  <c r="E281" i="8" s="1"/>
  <c r="E285" i="8" s="1"/>
  <c r="E330" i="8" s="1"/>
  <c r="E212" i="8"/>
  <c r="E217" i="8" s="1"/>
  <c r="E221" i="8" s="1"/>
  <c r="E326" i="8" s="1"/>
  <c r="S165" i="8"/>
  <c r="S177" i="8"/>
  <c r="S164" i="8"/>
  <c r="M289" i="8"/>
  <c r="M292" i="8" s="1"/>
  <c r="M297" i="8" s="1"/>
  <c r="M301" i="8" s="1"/>
  <c r="M336" i="8" s="1"/>
  <c r="M273" i="8"/>
  <c r="M276" i="8" s="1"/>
  <c r="M281" i="8" s="1"/>
  <c r="M285" i="8" s="1"/>
  <c r="M330" i="8" s="1"/>
  <c r="M212" i="8"/>
  <c r="M217" i="8" s="1"/>
  <c r="M221" i="8" s="1"/>
  <c r="M326" i="8" s="1"/>
  <c r="AF34" i="8"/>
  <c r="AF38" i="8" s="1"/>
  <c r="AF31" i="8"/>
  <c r="AF346" i="8" s="1"/>
  <c r="K177" i="8"/>
  <c r="K164" i="8"/>
  <c r="K169" i="8" s="1"/>
  <c r="K173" i="8" s="1"/>
  <c r="K323" i="8" s="1"/>
  <c r="S244" i="8"/>
  <c r="S249" i="8" s="1"/>
  <c r="S253" i="8" s="1"/>
  <c r="S328" i="8" s="1"/>
  <c r="S363" i="8" s="1"/>
  <c r="S257" i="8"/>
  <c r="W193" i="8"/>
  <c r="W181" i="8"/>
  <c r="W180" i="8"/>
  <c r="E365" i="8" l="1"/>
  <c r="E362" i="8"/>
  <c r="E366" i="8"/>
  <c r="Y27" i="8"/>
  <c r="Y29" i="8" s="1"/>
  <c r="Y31" i="8" s="1"/>
  <c r="Y346" i="8" s="1"/>
  <c r="U169" i="8"/>
  <c r="U173" i="8" s="1"/>
  <c r="U323" i="8" s="1"/>
  <c r="M333" i="8"/>
  <c r="M27" i="8" s="1"/>
  <c r="M29" i="8" s="1"/>
  <c r="U181" i="8"/>
  <c r="U180" i="8"/>
  <c r="U193" i="8"/>
  <c r="W185" i="8"/>
  <c r="W189" i="8" s="1"/>
  <c r="W324" i="8" s="1"/>
  <c r="S169" i="8"/>
  <c r="S173" i="8" s="1"/>
  <c r="S323" i="8" s="1"/>
  <c r="O333" i="8"/>
  <c r="O27" i="8" s="1"/>
  <c r="O29" i="8" s="1"/>
  <c r="AA27" i="8"/>
  <c r="AA29" i="8" s="1"/>
  <c r="AA350" i="8"/>
  <c r="AC31" i="8"/>
  <c r="AC346" i="8" s="1"/>
  <c r="W209" i="8"/>
  <c r="W212" i="8" s="1"/>
  <c r="W217" i="8" s="1"/>
  <c r="W221" i="8" s="1"/>
  <c r="W326" i="8" s="1"/>
  <c r="W197" i="8"/>
  <c r="W196" i="8"/>
  <c r="U260" i="8"/>
  <c r="U265" i="8" s="1"/>
  <c r="U269" i="8" s="1"/>
  <c r="U329" i="8" s="1"/>
  <c r="U273" i="8"/>
  <c r="Q257" i="8"/>
  <c r="Q260" i="8" s="1"/>
  <c r="Q265" i="8" s="1"/>
  <c r="Q269" i="8" s="1"/>
  <c r="Q329" i="8" s="1"/>
  <c r="Q244" i="8"/>
  <c r="Q249" i="8" s="1"/>
  <c r="Q253" i="8" s="1"/>
  <c r="Q328" i="8" s="1"/>
  <c r="S273" i="8"/>
  <c r="S276" i="8" s="1"/>
  <c r="S281" i="8" s="1"/>
  <c r="S285" i="8" s="1"/>
  <c r="S330" i="8" s="1"/>
  <c r="S260" i="8"/>
  <c r="S265" i="8" s="1"/>
  <c r="S269" i="8" s="1"/>
  <c r="S329" i="8" s="1"/>
  <c r="S364" i="8" s="1"/>
  <c r="S181" i="8"/>
  <c r="S180" i="8"/>
  <c r="G151" i="8"/>
  <c r="G157" i="8" s="1"/>
  <c r="G322" i="8" s="1"/>
  <c r="AI322" i="8" s="1"/>
  <c r="G161" i="8"/>
  <c r="I177" i="8"/>
  <c r="I164" i="8"/>
  <c r="I169" i="8" s="1"/>
  <c r="I173" i="8" s="1"/>
  <c r="I323" i="8" s="1"/>
  <c r="K225" i="8"/>
  <c r="K180" i="8"/>
  <c r="K185" i="8" s="1"/>
  <c r="K189" i="8" s="1"/>
  <c r="K324" i="8" s="1"/>
  <c r="K193" i="8"/>
  <c r="E361" i="8"/>
  <c r="E333" i="8"/>
  <c r="Y34" i="8" l="1"/>
  <c r="Y38" i="8" s="1"/>
  <c r="S185" i="8"/>
  <c r="S189" i="8" s="1"/>
  <c r="S324" i="8" s="1"/>
  <c r="M350" i="8"/>
  <c r="O350" i="8"/>
  <c r="Q333" i="8"/>
  <c r="Q350" i="8" s="1"/>
  <c r="U196" i="8"/>
  <c r="U197" i="8"/>
  <c r="W201" i="8"/>
  <c r="W205" i="8" s="1"/>
  <c r="W325" i="8" s="1"/>
  <c r="W333" i="8" s="1"/>
  <c r="U185" i="8"/>
  <c r="U189" i="8" s="1"/>
  <c r="U324" i="8" s="1"/>
  <c r="AA34" i="8"/>
  <c r="AA38" i="8" s="1"/>
  <c r="AA31" i="8"/>
  <c r="AA346" i="8" s="1"/>
  <c r="K241" i="8"/>
  <c r="K244" i="8" s="1"/>
  <c r="K249" i="8" s="1"/>
  <c r="K253" i="8" s="1"/>
  <c r="K328" i="8" s="1"/>
  <c r="K228" i="8"/>
  <c r="K233" i="8" s="1"/>
  <c r="K237" i="8" s="1"/>
  <c r="K327" i="8" s="1"/>
  <c r="I225" i="8"/>
  <c r="I193" i="8"/>
  <c r="I180" i="8"/>
  <c r="I185" i="8" s="1"/>
  <c r="I189" i="8" s="1"/>
  <c r="I324" i="8" s="1"/>
  <c r="S365" i="8"/>
  <c r="E350" i="8"/>
  <c r="G177" i="8"/>
  <c r="G164" i="8"/>
  <c r="G169" i="8" s="1"/>
  <c r="G173" i="8" s="1"/>
  <c r="G323" i="8" s="1"/>
  <c r="AI323" i="8" s="1"/>
  <c r="O34" i="8"/>
  <c r="O38" i="8" s="1"/>
  <c r="O31" i="8"/>
  <c r="O346" i="8" s="1"/>
  <c r="M34" i="8"/>
  <c r="M38" i="8" s="1"/>
  <c r="M31" i="8"/>
  <c r="M346" i="8" s="1"/>
  <c r="K209" i="8"/>
  <c r="K257" i="8"/>
  <c r="K260" i="8" s="1"/>
  <c r="K265" i="8" s="1"/>
  <c r="K269" i="8" s="1"/>
  <c r="K329" i="8" s="1"/>
  <c r="K196" i="8"/>
  <c r="K201" i="8" s="1"/>
  <c r="K205" i="8" s="1"/>
  <c r="K325" i="8" s="1"/>
  <c r="U289" i="8"/>
  <c r="U292" i="8" s="1"/>
  <c r="U297" i="8" s="1"/>
  <c r="U301" i="8" s="1"/>
  <c r="U336" i="8" s="1"/>
  <c r="U276" i="8"/>
  <c r="U281" i="8" s="1"/>
  <c r="U285" i="8" s="1"/>
  <c r="U330" i="8" s="1"/>
  <c r="S333" i="8" l="1"/>
  <c r="Q27" i="8"/>
  <c r="Q29" i="8" s="1"/>
  <c r="Q34" i="8" s="1"/>
  <c r="Q38" i="8" s="1"/>
  <c r="U201" i="8"/>
  <c r="U205" i="8" s="1"/>
  <c r="U325" i="8" s="1"/>
  <c r="W350" i="8"/>
  <c r="W27" i="8"/>
  <c r="W29" i="8" s="1"/>
  <c r="I241" i="8"/>
  <c r="I244" i="8" s="1"/>
  <c r="I249" i="8" s="1"/>
  <c r="I253" i="8" s="1"/>
  <c r="I328" i="8" s="1"/>
  <c r="I228" i="8"/>
  <c r="I233" i="8" s="1"/>
  <c r="I237" i="8" s="1"/>
  <c r="I327" i="8" s="1"/>
  <c r="K289" i="8"/>
  <c r="K292" i="8" s="1"/>
  <c r="K297" i="8" s="1"/>
  <c r="K301" i="8" s="1"/>
  <c r="K336" i="8" s="1"/>
  <c r="K273" i="8"/>
  <c r="K276" i="8" s="1"/>
  <c r="K281" i="8" s="1"/>
  <c r="K285" i="8" s="1"/>
  <c r="K330" i="8" s="1"/>
  <c r="K212" i="8"/>
  <c r="K217" i="8" s="1"/>
  <c r="K221" i="8" s="1"/>
  <c r="K326" i="8" s="1"/>
  <c r="G193" i="8"/>
  <c r="G180" i="8"/>
  <c r="G185" i="8" s="1"/>
  <c r="G189" i="8" s="1"/>
  <c r="G324" i="8" s="1"/>
  <c r="AI324" i="8" s="1"/>
  <c r="G225" i="8"/>
  <c r="I257" i="8"/>
  <c r="I260" i="8" s="1"/>
  <c r="I265" i="8" s="1"/>
  <c r="I269" i="8" s="1"/>
  <c r="I329" i="8" s="1"/>
  <c r="I209" i="8"/>
  <c r="I196" i="8"/>
  <c r="I201" i="8" s="1"/>
  <c r="I205" i="8" s="1"/>
  <c r="I325" i="8" s="1"/>
  <c r="S27" i="8" l="1"/>
  <c r="S29" i="8" s="1"/>
  <c r="S34" i="8" s="1"/>
  <c r="S38" i="8" s="1"/>
  <c r="S350" i="8"/>
  <c r="E346" i="8"/>
  <c r="U333" i="8"/>
  <c r="U350" i="8" s="1"/>
  <c r="Q31" i="8"/>
  <c r="Q346" i="8" s="1"/>
  <c r="W31" i="8"/>
  <c r="W346" i="8" s="1"/>
  <c r="W34" i="8"/>
  <c r="W38" i="8" s="1"/>
  <c r="I289" i="8"/>
  <c r="I292" i="8" s="1"/>
  <c r="I297" i="8" s="1"/>
  <c r="I301" i="8" s="1"/>
  <c r="I336" i="8" s="1"/>
  <c r="I212" i="8"/>
  <c r="I217" i="8" s="1"/>
  <c r="I221" i="8" s="1"/>
  <c r="I326" i="8" s="1"/>
  <c r="I273" i="8"/>
  <c r="I276" i="8" s="1"/>
  <c r="I281" i="8" s="1"/>
  <c r="I285" i="8" s="1"/>
  <c r="I330" i="8" s="1"/>
  <c r="G228" i="8"/>
  <c r="G233" i="8" s="1"/>
  <c r="G237" i="8" s="1"/>
  <c r="G327" i="8" s="1"/>
  <c r="AI327" i="8" s="1"/>
  <c r="G241" i="8"/>
  <c r="G244" i="8" s="1"/>
  <c r="G249" i="8" s="1"/>
  <c r="G253" i="8" s="1"/>
  <c r="G328" i="8" s="1"/>
  <c r="AI328" i="8" s="1"/>
  <c r="G257" i="8"/>
  <c r="G260" i="8" s="1"/>
  <c r="G265" i="8" s="1"/>
  <c r="G269" i="8" s="1"/>
  <c r="G329" i="8" s="1"/>
  <c r="AI329" i="8" s="1"/>
  <c r="G196" i="8"/>
  <c r="G201" i="8" s="1"/>
  <c r="G205" i="8" s="1"/>
  <c r="G325" i="8" s="1"/>
  <c r="AI325" i="8" s="1"/>
  <c r="G209" i="8"/>
  <c r="K333" i="8"/>
  <c r="S31" i="8" l="1"/>
  <c r="S346" i="8" s="1"/>
  <c r="U27" i="8"/>
  <c r="U29" i="8" s="1"/>
  <c r="U31" i="8" s="1"/>
  <c r="U346" i="8" s="1"/>
  <c r="G289" i="8"/>
  <c r="G292" i="8" s="1"/>
  <c r="G297" i="8" s="1"/>
  <c r="G301" i="8" s="1"/>
  <c r="G336" i="8" s="1"/>
  <c r="AI336" i="8" s="1"/>
  <c r="G212" i="8"/>
  <c r="G217" i="8" s="1"/>
  <c r="G221" i="8" s="1"/>
  <c r="G326" i="8" s="1"/>
  <c r="AI326" i="8" s="1"/>
  <c r="G273" i="8"/>
  <c r="G276" i="8" s="1"/>
  <c r="G281" i="8" s="1"/>
  <c r="G285" i="8" s="1"/>
  <c r="G330" i="8" s="1"/>
  <c r="AI330" i="8" s="1"/>
  <c r="I333" i="8"/>
  <c r="K350" i="8"/>
  <c r="K27" i="8"/>
  <c r="K29" i="8" s="1"/>
  <c r="F25" i="12" l="1"/>
  <c r="F21" i="12"/>
  <c r="F17" i="12"/>
  <c r="F24" i="12"/>
  <c r="F20" i="12"/>
  <c r="F16" i="12"/>
  <c r="F23" i="12"/>
  <c r="F19" i="12"/>
  <c r="F15" i="12"/>
  <c r="F22" i="12"/>
  <c r="F18" i="12"/>
  <c r="AI333" i="8"/>
  <c r="U34" i="8"/>
  <c r="U38" i="8" s="1"/>
  <c r="F14" i="12"/>
  <c r="J14" i="12" s="1"/>
  <c r="K31" i="8"/>
  <c r="K346" i="8" s="1"/>
  <c r="K34" i="8"/>
  <c r="K38" i="8" s="1"/>
  <c r="G333" i="8"/>
  <c r="I350" i="8"/>
  <c r="I27" i="8"/>
  <c r="I29" i="8" s="1"/>
  <c r="I34" i="8" l="1"/>
  <c r="I38" i="8" s="1"/>
  <c r="I31" i="8"/>
  <c r="I346" i="8" s="1"/>
  <c r="G350" i="8"/>
  <c r="G27" i="8"/>
  <c r="AI27" i="8" s="1"/>
  <c r="G29" i="8" l="1"/>
  <c r="AI29" i="8" s="1"/>
  <c r="G31" i="8" l="1"/>
  <c r="G346" i="8" s="1"/>
  <c r="G34" i="8"/>
  <c r="AI34" i="8" s="1"/>
  <c r="J16" i="12"/>
  <c r="L16" i="12" s="1"/>
  <c r="J20" i="12"/>
  <c r="L20" i="12" s="1"/>
  <c r="J24" i="12"/>
  <c r="L24" i="12" s="1"/>
  <c r="J17" i="12"/>
  <c r="L17" i="12" s="1"/>
  <c r="J21" i="12"/>
  <c r="L21" i="12" s="1"/>
  <c r="J25" i="12"/>
  <c r="L25" i="12" s="1"/>
  <c r="J18" i="12"/>
  <c r="L18" i="12" s="1"/>
  <c r="J22" i="12"/>
  <c r="L22" i="12" s="1"/>
  <c r="L14" i="12"/>
  <c r="J15" i="12"/>
  <c r="L15" i="12" s="1"/>
  <c r="J19" i="12"/>
  <c r="L19" i="12" s="1"/>
  <c r="J23" i="12"/>
  <c r="L23" i="12" s="1"/>
  <c r="G38" i="8" l="1"/>
  <c r="AI38" i="8" s="1"/>
  <c r="N12" i="12" s="1"/>
  <c r="N14" i="12" s="1"/>
  <c r="N15" i="12" s="1"/>
  <c r="N16" i="12" s="1"/>
  <c r="N17" i="12" s="1"/>
  <c r="N18" i="12" s="1"/>
  <c r="N19" i="12" s="1"/>
  <c r="N20" i="12" s="1"/>
  <c r="N21" i="12" s="1"/>
  <c r="N22" i="12" s="1"/>
  <c r="N23" i="12" s="1"/>
  <c r="N24" i="12" s="1"/>
  <c r="N25" i="12" s="1"/>
</calcChain>
</file>

<file path=xl/sharedStrings.xml><?xml version="1.0" encoding="utf-8"?>
<sst xmlns="http://schemas.openxmlformats.org/spreadsheetml/2006/main" count="1200" uniqueCount="98">
  <si>
    <t>CLEAN AIR ACT SURCHARGE</t>
  </si>
  <si>
    <t>CASE NO. 96-489</t>
  </si>
  <si>
    <t>Calculation of Estimated Deferred FIT</t>
  </si>
  <si>
    <t>-</t>
  </si>
  <si>
    <t>In-Service Date</t>
  </si>
  <si>
    <t xml:space="preserve"> </t>
  </si>
  <si>
    <t>Installed  Book Cost</t>
  </si>
  <si>
    <t>Less:  Accumulated Depreciation</t>
  </si>
  <si>
    <t>=</t>
  </si>
  <si>
    <t>Tax Basis</t>
  </si>
  <si>
    <t>Less:  Accum Tax Depreciation</t>
  </si>
  <si>
    <t>Book vs Tax Temporary Difference</t>
  </si>
  <si>
    <t>Federal Income Tax Rate</t>
  </si>
  <si>
    <t>Computation of Tax Depreciation  --  Page 1</t>
  </si>
  <si>
    <t>ADR Repair Allowance Taken?</t>
  </si>
  <si>
    <t>No</t>
  </si>
  <si>
    <t>Quarter of Addition</t>
  </si>
  <si>
    <t>Half-Year</t>
  </si>
  <si>
    <t>Tax Depreciation Rate</t>
  </si>
  <si>
    <t>Tax Depreciation  -  2000</t>
  </si>
  <si>
    <t>Tax Depreciation  -  2001</t>
  </si>
  <si>
    <t>Months in Service During Year</t>
  </si>
  <si>
    <t>Phase-In of Tax Depreciation over Remainder of Year</t>
  </si>
  <si>
    <t>Summary of Tax Depreciation:</t>
  </si>
  <si>
    <t>Tax Depreciation  -  2002</t>
  </si>
  <si>
    <t>Tax Depreciation  -  2003</t>
  </si>
  <si>
    <t>Adjusted Tax Basis</t>
  </si>
  <si>
    <t>Add: Bonus Tax Depreciation Adj.</t>
  </si>
  <si>
    <t>.</t>
  </si>
  <si>
    <t>SCR</t>
  </si>
  <si>
    <t>Tax Depreciation  -  2003 MACRS 20 Property</t>
  </si>
  <si>
    <t xml:space="preserve">Tax Amortization §169 SCR - 2003 </t>
  </si>
  <si>
    <t>Tax Depreciation  -  2004 MACRS 20 Property</t>
  </si>
  <si>
    <t>Tax Amortization §169 SCR - 2004</t>
  </si>
  <si>
    <t>Tax Depreciation  -  2004</t>
  </si>
  <si>
    <t>Tax Depreciation  -  2005</t>
  </si>
  <si>
    <t>Computation of Tax Depreciation  --  Page 3</t>
  </si>
  <si>
    <t>Computation of Tax Depreciation  --  Page 4</t>
  </si>
  <si>
    <t>Tax Depreciation  -  2005 MACRS 20 Property</t>
  </si>
  <si>
    <t>Tax Amortization §169 SCR - 2005</t>
  </si>
  <si>
    <t xml:space="preserve">Tax Depreciation  -  2005   </t>
  </si>
  <si>
    <t>Tax Depreciation  -  2006 MACRS 20 Property</t>
  </si>
  <si>
    <t>Tax Depreciation  -  2006</t>
  </si>
  <si>
    <t>KENTUCKY POWER COMPANY</t>
  </si>
  <si>
    <t>Tax Depreciation  -  2007</t>
  </si>
  <si>
    <t>Basis</t>
  </si>
  <si>
    <t>Tax Depreciation  -  2007 MACRS 20 Property</t>
  </si>
  <si>
    <t>Tax Amortization §169 SCR - 2007</t>
  </si>
  <si>
    <t>Tax Amortization §169 SCR - 2006</t>
  </si>
  <si>
    <t>Tax Depreciation  -  2008</t>
  </si>
  <si>
    <t>Tax Amortization §169 SCR - 2008</t>
  </si>
  <si>
    <t>Tax Depreciation  -  2009</t>
  </si>
  <si>
    <t>Tax Depreciation  -  2008 MACRS 20 Property</t>
  </si>
  <si>
    <t>Tax Depreciation  -  2009 MACRS 20 Property</t>
  </si>
  <si>
    <t>Tax Amortization §169 SCR - 2009</t>
  </si>
  <si>
    <t>Tax Depreciation  -  2010</t>
  </si>
  <si>
    <t>Tax Depreciation  -  2010 MACRS 20 Property</t>
  </si>
  <si>
    <t>Tax Depreciation  -  2011 MACRS 20 Property</t>
  </si>
  <si>
    <t>Tax Depreciation  -  2011</t>
  </si>
  <si>
    <t>Tax Depreciation  -  2012</t>
  </si>
  <si>
    <t>Tax Depreciation  -  2012 MACRS 20 Property</t>
  </si>
  <si>
    <t>Tax Depreciation  -  2013 MACRS 20 Property</t>
  </si>
  <si>
    <t>Tax Depreciation  -  2013</t>
  </si>
  <si>
    <t>Tax Depreciation  -  2014</t>
  </si>
  <si>
    <t>Tax Depreciation  -  2014 MACRS 20 Property</t>
  </si>
  <si>
    <t xml:space="preserve">Air Pollution </t>
  </si>
  <si>
    <t>FGD</t>
  </si>
  <si>
    <t xml:space="preserve">Mitchell Plant </t>
  </si>
  <si>
    <t>Air Pollution</t>
  </si>
  <si>
    <t>Non-FGD</t>
  </si>
  <si>
    <t>Water Pollution</t>
  </si>
  <si>
    <t>assume 30% bonus</t>
  </si>
  <si>
    <t>assume no bonus</t>
  </si>
  <si>
    <t>assume 50% bonus</t>
  </si>
  <si>
    <t>assume 100% bonus</t>
  </si>
  <si>
    <t>Accumulated Depreciation computation in total</t>
  </si>
  <si>
    <t>check tax depreciation to above</t>
  </si>
  <si>
    <t>Totals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</si>
  <si>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</si>
  <si>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</si>
  <si>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</si>
  <si>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</si>
  <si>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</si>
  <si>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</si>
  <si>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</si>
  <si>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</si>
  <si>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</si>
  <si>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</si>
  <si>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</si>
  <si>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</si>
  <si>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Tax Depr</t>
  </si>
  <si>
    <t>Book Depr</t>
  </si>
  <si>
    <t>Difference</t>
  </si>
  <si>
    <t>ADFIT</t>
  </si>
  <si>
    <t>MONTHLY AMOUNTS</t>
  </si>
  <si>
    <t>December 31, 2013</t>
  </si>
  <si>
    <t>Accum @ 12/31</t>
  </si>
  <si>
    <t>ACCUM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</si>
</sst>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00%"/>
    <numFmt numFmtId="165" formatCode="0.000%"/>
    <numFmt numFmtId="166" formatCode="mm/dd/yy"/>
    <numFmt numFmtId="167" formatCode="0_);\(0\)"/>
    <numFmt numFmtId="168" formatCode="m/d/yyyy;@"/>
  </numFmts>
  <fonts count="14" x14ac:knownFonts="1">
    <font>
      <sz val="8"/>
      <name val="Helv"/>
    </font>
    <font>
      <sz val="8"/>
      <name val="Helv"/>
    </font>
    <font>
      <b/>
      <sz val="14"/>
      <name val="Helv"/>
    </font>
    <font>
      <b/>
      <sz val="10"/>
      <name val="Helv"/>
    </font>
    <font>
      <b/>
      <sz val="8"/>
      <name val="Helv"/>
    </font>
    <font>
      <b/>
      <i/>
      <sz val="6"/>
      <name val="Times New Roman"/>
      <family val="1"/>
    </font>
    <font>
      <b/>
      <u/>
      <sz val="10"/>
      <name val="Times New Roman"/>
      <family val="1"/>
    </font>
    <font>
      <sz val="8"/>
      <name val="Helv"/>
    </font>
    <font>
      <b/>
      <i/>
      <u/>
      <sz val="10"/>
      <name val="Times New Roman"/>
      <family val="1"/>
    </font>
    <font>
      <b/>
      <u/>
      <sz val="8"/>
      <name val="Helv"/>
    </font>
    <font>
      <b/>
      <sz val="11"/>
      <color theme="1"/>
      <name val="Calibri"/>
      <family val="2"/>
      <scheme val="minor"/>
    </font>
    <font>
      <b/>
      <sz val="8"/>
      <color rgb="FF0000FF"/>
      <name val="Helv"/>
    </font>
    <font>
      <sz val="8"/>
      <color rgb="FF000000"/>
      <name val="Helv"/>
    </font>
    <font>
      <sz val="8"/>
      <color rgb="FFFF99CC"/>
      <name val="Helv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3" fontId="7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protection locked="0"/>
    </xf>
    <xf numFmtId="37" fontId="1" fillId="0" borderId="0" xfId="0" applyNumberFormat="1" applyFont="1" applyAlignment="1" applyProtection="1">
      <protection locked="0"/>
    </xf>
    <xf numFmtId="37" fontId="7" fillId="0" borderId="0" xfId="0" applyNumberFormat="1" applyFont="1" applyAlignment="1" applyProtection="1">
      <protection locked="0"/>
    </xf>
    <xf numFmtId="3" fontId="1" fillId="0" borderId="0" xfId="0" applyFont="1" applyFill="1" applyBorder="1" applyAlignment="1"/>
    <xf numFmtId="3" fontId="2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 applyProtection="1">
      <protection locked="0"/>
    </xf>
    <xf numFmtId="3" fontId="3" fillId="0" borderId="0" xfId="0" applyFont="1" applyFill="1" applyBorder="1" applyAlignment="1">
      <alignment horizontal="center"/>
    </xf>
    <xf numFmtId="3" fontId="4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Font="1" applyFill="1" applyBorder="1" applyAlignment="1"/>
    <xf numFmtId="3" fontId="4" fillId="2" borderId="3" xfId="0" applyFont="1" applyFill="1" applyBorder="1" applyAlignment="1">
      <alignment horizontal="center"/>
    </xf>
    <xf numFmtId="3" fontId="1" fillId="0" borderId="4" xfId="0" applyFont="1" applyFill="1" applyBorder="1" applyAlignment="1"/>
    <xf numFmtId="167" fontId="4" fillId="0" borderId="0" xfId="1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 applyProtection="1">
      <protection locked="0"/>
    </xf>
    <xf numFmtId="3" fontId="1" fillId="0" borderId="5" xfId="0" applyFont="1" applyFill="1" applyBorder="1" applyAlignment="1"/>
    <xf numFmtId="3" fontId="1" fillId="0" borderId="0" xfId="0" applyFont="1" applyFill="1" applyBorder="1" applyAlignment="1">
      <alignment horizontal="fill"/>
    </xf>
    <xf numFmtId="3" fontId="4" fillId="0" borderId="0" xfId="0" applyFont="1" applyFill="1" applyBorder="1" applyAlignment="1"/>
    <xf numFmtId="3" fontId="1" fillId="0" borderId="0" xfId="0" applyFont="1" applyFill="1" applyBorder="1" applyAlignment="1">
      <alignment horizontal="right"/>
    </xf>
    <xf numFmtId="3" fontId="1" fillId="0" borderId="0" xfId="0" quotePrefix="1" applyFont="1" applyFill="1" applyBorder="1" applyAlignment="1"/>
    <xf numFmtId="37" fontId="1" fillId="0" borderId="0" xfId="0" applyNumberFormat="1" applyFont="1" applyFill="1" applyBorder="1" applyAlignment="1"/>
    <xf numFmtId="37" fontId="1" fillId="0" borderId="0" xfId="0" applyNumberFormat="1" applyFont="1" applyFill="1" applyBorder="1" applyAlignment="1" applyProtection="1">
      <protection locked="0"/>
    </xf>
    <xf numFmtId="37" fontId="1" fillId="2" borderId="0" xfId="0" applyNumberFormat="1" applyFont="1" applyFill="1" applyBorder="1" applyAlignment="1"/>
    <xf numFmtId="37" fontId="1" fillId="0" borderId="0" xfId="0" applyNumberFormat="1" applyFont="1" applyFill="1" applyBorder="1" applyAlignment="1">
      <alignment horizontal="fill"/>
    </xf>
    <xf numFmtId="3" fontId="12" fillId="0" borderId="0" xfId="0" applyFont="1" applyFill="1" applyBorder="1" applyAlignment="1"/>
    <xf numFmtId="3" fontId="1" fillId="4" borderId="0" xfId="0" applyFont="1" applyFill="1" applyBorder="1" applyAlignment="1"/>
    <xf numFmtId="3" fontId="4" fillId="4" borderId="0" xfId="0" applyFont="1" applyFill="1" applyBorder="1" applyAlignment="1"/>
    <xf numFmtId="3" fontId="13" fillId="4" borderId="0" xfId="0" applyFont="1" applyFill="1" applyBorder="1" applyAlignment="1"/>
    <xf numFmtId="37" fontId="1" fillId="4" borderId="0" xfId="0" applyNumberFormat="1" applyFont="1" applyFill="1" applyBorder="1" applyAlignment="1"/>
    <xf numFmtId="10" fontId="1" fillId="0" borderId="0" xfId="2" applyNumberFormat="1" applyFont="1" applyFill="1" applyBorder="1" applyAlignment="1"/>
    <xf numFmtId="10" fontId="1" fillId="0" borderId="0" xfId="0" applyNumberFormat="1" applyFont="1" applyFill="1" applyBorder="1" applyAlignment="1"/>
    <xf numFmtId="165" fontId="1" fillId="0" borderId="0" xfId="2" applyNumberFormat="1" applyFont="1" applyFill="1" applyBorder="1" applyAlignment="1"/>
    <xf numFmtId="3" fontId="5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/>
    <xf numFmtId="3" fontId="3" fillId="5" borderId="6" xfId="0" applyFont="1" applyFill="1" applyBorder="1" applyAlignment="1">
      <alignment horizontal="center"/>
    </xf>
    <xf numFmtId="3" fontId="1" fillId="0" borderId="7" xfId="0" applyFont="1" applyFill="1" applyBorder="1" applyAlignment="1"/>
    <xf numFmtId="3" fontId="1" fillId="0" borderId="8" xfId="0" applyFont="1" applyFill="1" applyBorder="1" applyAlignment="1"/>
    <xf numFmtId="166" fontId="4" fillId="5" borderId="0" xfId="0" applyNumberFormat="1" applyFont="1" applyFill="1" applyBorder="1" applyAlignment="1">
      <alignment horizontal="right"/>
    </xf>
    <xf numFmtId="3" fontId="1" fillId="6" borderId="0" xfId="0" applyFont="1" applyFill="1" applyBorder="1" applyAlignment="1">
      <alignment horizontal="right"/>
    </xf>
    <xf numFmtId="3" fontId="4" fillId="5" borderId="0" xfId="0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left"/>
    </xf>
    <xf numFmtId="3" fontId="1" fillId="5" borderId="0" xfId="0" applyFont="1" applyFill="1" applyBorder="1" applyAlignment="1"/>
    <xf numFmtId="1" fontId="9" fillId="0" borderId="0" xfId="0" applyNumberFormat="1" applyFont="1" applyFill="1" applyBorder="1" applyAlignment="1">
      <alignment horizontal="left"/>
    </xf>
    <xf numFmtId="164" fontId="1" fillId="3" borderId="0" xfId="0" applyNumberFormat="1" applyFont="1" applyFill="1" applyBorder="1" applyAlignment="1"/>
    <xf numFmtId="3" fontId="1" fillId="2" borderId="0" xfId="0" applyFont="1" applyFill="1" applyBorder="1" applyAlignment="1"/>
    <xf numFmtId="3" fontId="1" fillId="0" borderId="1" xfId="0" applyFont="1" applyFill="1" applyBorder="1" applyAlignment="1"/>
    <xf numFmtId="165" fontId="1" fillId="0" borderId="0" xfId="0" applyNumberFormat="1" applyFont="1" applyFill="1" applyBorder="1" applyAlignment="1"/>
    <xf numFmtId="164" fontId="1" fillId="2" borderId="0" xfId="0" applyNumberFormat="1" applyFont="1" applyFill="1" applyBorder="1" applyAlignment="1"/>
    <xf numFmtId="3" fontId="4" fillId="5" borderId="0" xfId="0" applyFont="1" applyFill="1" applyBorder="1" applyAlignment="1"/>
    <xf numFmtId="165" fontId="1" fillId="5" borderId="0" xfId="0" applyNumberFormat="1" applyFont="1" applyFill="1" applyBorder="1" applyAlignment="1"/>
    <xf numFmtId="3" fontId="1" fillId="5" borderId="0" xfId="0" applyNumberFormat="1" applyFont="1" applyFill="1" applyBorder="1" applyAlignment="1" applyProtection="1">
      <protection locked="0"/>
    </xf>
    <xf numFmtId="3" fontId="8" fillId="0" borderId="0" xfId="0" applyFont="1" applyFill="1" applyBorder="1" applyAlignment="1"/>
    <xf numFmtId="37" fontId="4" fillId="0" borderId="1" xfId="0" applyNumberFormat="1" applyFont="1" applyFill="1" applyBorder="1" applyAlignment="1"/>
    <xf numFmtId="3" fontId="1" fillId="0" borderId="0" xfId="0" applyFont="1" applyFill="1" applyBorder="1" applyAlignment="1">
      <alignment horizontal="center"/>
    </xf>
    <xf numFmtId="165" fontId="1" fillId="0" borderId="0" xfId="2" applyNumberFormat="1" applyFont="1" applyFill="1" applyBorder="1" applyAlignment="1" applyProtection="1">
      <protection locked="0"/>
    </xf>
    <xf numFmtId="3" fontId="10" fillId="0" borderId="0" xfId="0" applyFont="1"/>
    <xf numFmtId="3" fontId="0" fillId="0" borderId="0" xfId="0"/>
    <xf numFmtId="17" fontId="10" fillId="0" borderId="0" xfId="0" quotePrefix="1" applyNumberFormat="1" applyFont="1"/>
    <xf numFmtId="3" fontId="0" fillId="0" borderId="0" xfId="0" applyFont="1"/>
    <xf numFmtId="3" fontId="10" fillId="0" borderId="0" xfId="0" quotePrefix="1" applyFont="1"/>
    <xf numFmtId="37" fontId="7" fillId="0" borderId="0" xfId="0" applyNumberFormat="1" applyFont="1" applyFill="1" applyAlignment="1" applyProtection="1">
      <protection locked="0"/>
    </xf>
    <xf numFmtId="37" fontId="7" fillId="7" borderId="0" xfId="0" applyNumberFormat="1" applyFont="1" applyFill="1" applyAlignment="1" applyProtection="1"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37" fontId="0" fillId="0" borderId="0" xfId="0" applyNumberFormat="1" applyFont="1" applyFill="1" applyBorder="1" applyAlignment="1"/>
    <xf numFmtId="3" fontId="11" fillId="2" borderId="4" xfId="0" quotePrefix="1" applyFont="1" applyFill="1" applyBorder="1" applyAlignment="1">
      <alignment horizontal="center"/>
    </xf>
    <xf numFmtId="3" fontId="11" fillId="2" borderId="10" xfId="0" applyFont="1" applyFill="1" applyBorder="1" applyAlignment="1">
      <alignment horizontal="center"/>
    </xf>
    <xf numFmtId="37" fontId="4" fillId="0" borderId="0" xfId="0" applyNumberFormat="1" applyFont="1" applyFill="1" applyBorder="1" applyAlignment="1"/>
    <xf numFmtId="166" fontId="1" fillId="0" borderId="0" xfId="0" applyNumberFormat="1" applyFont="1" applyFill="1" applyBorder="1" applyAlignment="1" applyProtection="1">
      <alignment horizontal="center"/>
      <protection locked="0"/>
    </xf>
    <xf numFmtId="168" fontId="1" fillId="0" borderId="0" xfId="0" applyNumberFormat="1" applyFont="1" applyFill="1" applyBorder="1" applyAlignment="1" applyProtection="1">
      <alignment horizontal="center"/>
      <protection locked="0"/>
    </xf>
    <xf numFmtId="168" fontId="1" fillId="0" borderId="0" xfId="0" applyNumberFormat="1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3" fontId="10" fillId="0" borderId="0" xfId="0" quotePrefix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7" fontId="7" fillId="0" borderId="0" xfId="0" applyNumberFormat="1" applyFont="1" applyFill="1" applyBorder="1" applyAlignment="1" applyProtection="1">
      <protection locked="0"/>
    </xf>
    <xf numFmtId="3" fontId="4" fillId="0" borderId="9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Border="1" applyAlignment="1" applyProtection="1">
      <alignment horizontal="right"/>
      <protection locked="0"/>
    </xf>
    <xf numFmtId="3" fontId="10" fillId="0" borderId="0" xfId="0" applyFont="1" applyBorder="1"/>
    <xf numFmtId="3" fontId="7" fillId="0" borderId="0" xfId="0" applyNumberFormat="1" applyFont="1" applyBorder="1" applyAlignment="1" applyProtection="1">
      <protection locked="0"/>
    </xf>
    <xf numFmtId="37" fontId="7" fillId="0" borderId="0" xfId="0" applyNumberFormat="1" applyFont="1" applyBorder="1" applyAlignment="1" applyProtection="1">
      <protection locked="0"/>
    </xf>
    <xf numFmtId="37" fontId="4" fillId="0" borderId="11" xfId="0" applyNumberFormat="1" applyFont="1" applyFill="1" applyBorder="1" applyAlignment="1"/>
    <xf numFmtId="3" fontId="4" fillId="0" borderId="0" xfId="0" applyNumberFormat="1" applyFont="1" applyFill="1" applyBorder="1" applyAlignment="1" applyProtection="1">
      <protection locked="0"/>
    </xf>
    <xf numFmtId="37" fontId="4" fillId="0" borderId="11" xfId="0" applyNumberFormat="1" applyFont="1" applyBorder="1" applyAlignment="1" applyProtection="1">
      <protection locked="0"/>
    </xf>
    <xf numFmtId="3" fontId="0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 applyProtection="1">
      <alignment horizontal="right"/>
      <protection locked="0"/>
    </xf>
    <xf numFmtId="1" fontId="4" fillId="0" borderId="0" xfId="1" applyNumberFormat="1" applyFont="1" applyFill="1" applyBorder="1"/>
    <xf numFmtId="1" fontId="4" fillId="0" borderId="0" xfId="1" applyNumberFormat="1" applyFont="1"/>
    <xf numFmtId="1" fontId="4" fillId="0" borderId="0" xfId="1" applyNumberFormat="1" applyFont="1" applyBorder="1"/>
    <xf numFmtId="3" fontId="4" fillId="0" borderId="9" xfId="0" applyNumberFormat="1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6"/>
  <sheetViews>
    <sheetView tabSelected="1" topLeftCell="P28" zoomScaleNormal="100" workbookViewId="0">
      <selection activeCell="AI31" sqref="AI31"/>
    </sheetView>
  </sheetViews>
  <sheetFormatPr defaultColWidth="11.7109375" defaultRowHeight="10.199999999999999" x14ac:dyDescent="0.2"/>
  <cols>
    <col min="1" max="1" width="2.85546875" style="6" customWidth="1"/>
    <col min="2" max="2" width="50.85546875" style="6" customWidth="1"/>
    <col min="3" max="3" width="5.85546875" style="6" customWidth="1"/>
    <col min="4" max="4" width="1.85546875" style="6" customWidth="1"/>
    <col min="5" max="5" width="18.28515625" style="6" customWidth="1"/>
    <col min="6" max="6" width="1.85546875" style="6" customWidth="1"/>
    <col min="7" max="7" width="18.28515625" style="6" customWidth="1"/>
    <col min="8" max="8" width="1.85546875" style="6" customWidth="1"/>
    <col min="9" max="9" width="18.28515625" style="6" customWidth="1"/>
    <col min="10" max="10" width="1.85546875" style="6" customWidth="1"/>
    <col min="11" max="11" width="18.28515625" style="6" customWidth="1"/>
    <col min="12" max="12" width="1.85546875" style="6" customWidth="1"/>
    <col min="13" max="13" width="18.28515625" style="6" customWidth="1"/>
    <col min="14" max="14" width="2.42578125" style="6" customWidth="1"/>
    <col min="15" max="15" width="18.28515625" style="6" customWidth="1"/>
    <col min="16" max="16" width="1.85546875" style="6" customWidth="1"/>
    <col min="17" max="17" width="18.28515625" style="6" customWidth="1"/>
    <col min="18" max="18" width="1.85546875" style="6" customWidth="1"/>
    <col min="19" max="19" width="18.28515625" style="6" customWidth="1"/>
    <col min="20" max="20" width="1.85546875" style="6" customWidth="1"/>
    <col min="21" max="21" width="18.28515625" style="6" customWidth="1"/>
    <col min="22" max="22" width="1.85546875" style="6" customWidth="1"/>
    <col min="23" max="23" width="18.28515625" style="6" customWidth="1"/>
    <col min="24" max="24" width="1.85546875" style="6" customWidth="1"/>
    <col min="25" max="25" width="18.28515625" style="6" customWidth="1"/>
    <col min="26" max="26" width="1.85546875" style="6" customWidth="1"/>
    <col min="27" max="27" width="18.28515625" style="6" customWidth="1"/>
    <col min="28" max="28" width="1.85546875" style="6" customWidth="1"/>
    <col min="29" max="29" width="18.140625" style="6" customWidth="1"/>
    <col min="30" max="30" width="9.7109375" style="6" hidden="1" customWidth="1"/>
    <col min="31" max="31" width="1.85546875" style="6" customWidth="1"/>
    <col min="32" max="32" width="18.28515625" style="6" hidden="1" customWidth="1"/>
    <col min="33" max="33" width="18.28515625" style="6" customWidth="1"/>
    <col min="34" max="34" width="1.85546875" style="6" customWidth="1"/>
    <col min="35" max="35" width="18.28515625" style="6" customWidth="1"/>
    <col min="36" max="36" width="1.85546875" style="6" customWidth="1"/>
    <col min="37" max="16384" width="11.7109375" style="6"/>
  </cols>
  <sheetData>
    <row r="1" spans="1:35" ht="16.2" x14ac:dyDescent="0.25">
      <c r="A1" s="4" t="s">
        <v>5</v>
      </c>
      <c r="B1" s="5" t="s">
        <v>43</v>
      </c>
      <c r="C1" s="4"/>
      <c r="D1" s="4"/>
      <c r="E1" s="4"/>
      <c r="F1" s="4"/>
      <c r="G1" s="4"/>
      <c r="Y1" s="4"/>
    </row>
    <row r="2" spans="1:35" ht="12.6" x14ac:dyDescent="0.25">
      <c r="A2" s="4"/>
      <c r="B2" s="7" t="s">
        <v>0</v>
      </c>
      <c r="C2" s="4"/>
      <c r="D2" s="4"/>
      <c r="E2" s="4"/>
      <c r="F2" s="4"/>
      <c r="G2" s="4"/>
      <c r="Y2" s="4"/>
      <c r="AI2" s="33" t="str">
        <f ca="1">CELL("filename",$A$1)</f>
        <v>H:\Internal\Regulatory Services\2014 Compliance Plan\KPSC 2-40\[KPSC_2_40__February_18_2015_Supplemental Response_Attachment_4.xlsx]2014</v>
      </c>
    </row>
    <row r="3" spans="1:35" x14ac:dyDescent="0.2">
      <c r="A3" s="4"/>
      <c r="B3" s="8" t="s">
        <v>67</v>
      </c>
      <c r="C3" s="4"/>
      <c r="D3" s="4"/>
      <c r="E3" s="4"/>
      <c r="F3" s="4"/>
      <c r="G3" s="4"/>
      <c r="Q3" s="8"/>
      <c r="Y3" s="4"/>
    </row>
    <row r="4" spans="1:35" x14ac:dyDescent="0.2">
      <c r="A4" s="4"/>
      <c r="B4" s="4"/>
      <c r="C4" s="4"/>
      <c r="D4" s="4"/>
      <c r="E4" s="4"/>
      <c r="F4" s="4"/>
      <c r="G4" s="4"/>
      <c r="Q4" s="8"/>
    </row>
    <row r="5" spans="1:35" x14ac:dyDescent="0.2">
      <c r="A5" s="4"/>
      <c r="B5" s="4"/>
      <c r="C5" s="4"/>
      <c r="D5" s="4"/>
      <c r="E5" s="4"/>
      <c r="F5" s="4"/>
      <c r="G5" s="4"/>
      <c r="M5" s="8"/>
      <c r="N5" s="8"/>
      <c r="Q5" s="9"/>
      <c r="AA5" s="4"/>
      <c r="AF5" s="8"/>
      <c r="AG5" s="8"/>
    </row>
    <row r="6" spans="1:35" x14ac:dyDescent="0.2">
      <c r="A6" s="4"/>
      <c r="B6" s="4"/>
      <c r="C6" s="4"/>
      <c r="D6" s="4"/>
      <c r="E6" s="4"/>
      <c r="F6" s="4"/>
      <c r="G6" s="4"/>
      <c r="M6" s="8"/>
      <c r="N6" s="8"/>
      <c r="O6" s="8"/>
      <c r="W6" s="8"/>
      <c r="Y6" s="8"/>
      <c r="AA6" s="4"/>
      <c r="AF6" s="8"/>
      <c r="AG6" s="8"/>
    </row>
    <row r="7" spans="1:35" x14ac:dyDescent="0.2">
      <c r="A7" s="4"/>
      <c r="B7" s="4"/>
      <c r="C7" s="4"/>
      <c r="D7" s="4"/>
      <c r="E7" s="4"/>
      <c r="F7" s="4"/>
      <c r="G7" s="8"/>
      <c r="I7" s="8"/>
      <c r="K7" s="8"/>
      <c r="M7" s="8"/>
      <c r="N7" s="8"/>
      <c r="O7" s="8"/>
      <c r="S7" s="8"/>
      <c r="U7" s="8"/>
      <c r="AA7" s="8"/>
      <c r="AC7" s="8"/>
      <c r="AF7" s="8"/>
      <c r="AG7" s="8"/>
    </row>
    <row r="8" spans="1:35" x14ac:dyDescent="0.2">
      <c r="A8" s="4"/>
      <c r="B8" s="4"/>
      <c r="C8" s="4"/>
      <c r="D8" s="8"/>
      <c r="E8" s="8" t="s">
        <v>65</v>
      </c>
      <c r="F8" s="4"/>
      <c r="G8" s="8" t="s">
        <v>68</v>
      </c>
      <c r="I8" s="8" t="s">
        <v>68</v>
      </c>
      <c r="K8" s="8" t="s">
        <v>68</v>
      </c>
      <c r="M8" s="8" t="s">
        <v>68</v>
      </c>
      <c r="N8" s="8"/>
      <c r="O8" s="8" t="s">
        <v>68</v>
      </c>
      <c r="Q8" s="8" t="s">
        <v>68</v>
      </c>
      <c r="S8" s="8" t="s">
        <v>68</v>
      </c>
      <c r="U8" s="8" t="s">
        <v>68</v>
      </c>
      <c r="W8" s="8" t="s">
        <v>68</v>
      </c>
      <c r="Y8" s="8" t="s">
        <v>68</v>
      </c>
      <c r="AA8" s="8" t="s">
        <v>68</v>
      </c>
      <c r="AC8" s="8" t="s">
        <v>68</v>
      </c>
      <c r="AF8" s="8" t="s">
        <v>70</v>
      </c>
      <c r="AG8" s="8" t="s">
        <v>68</v>
      </c>
      <c r="AI8" s="8" t="s">
        <v>77</v>
      </c>
    </row>
    <row r="9" spans="1:35" x14ac:dyDescent="0.2">
      <c r="A9" s="4"/>
      <c r="B9" s="11" t="s">
        <v>2</v>
      </c>
      <c r="C9" s="12"/>
      <c r="D9" s="8"/>
      <c r="E9" s="13">
        <v>2001</v>
      </c>
      <c r="F9" s="4"/>
      <c r="G9" s="13">
        <v>2002</v>
      </c>
      <c r="I9" s="13">
        <v>2003</v>
      </c>
      <c r="K9" s="13">
        <v>2004</v>
      </c>
      <c r="M9" s="13">
        <v>2005</v>
      </c>
      <c r="N9" s="13"/>
      <c r="O9" s="13">
        <v>2006</v>
      </c>
      <c r="Q9" s="13">
        <v>2007</v>
      </c>
      <c r="S9" s="13">
        <v>2008</v>
      </c>
      <c r="U9" s="13">
        <v>2009</v>
      </c>
      <c r="W9" s="13">
        <v>2010</v>
      </c>
      <c r="Y9" s="13">
        <v>2011</v>
      </c>
      <c r="AA9" s="13">
        <v>2012</v>
      </c>
      <c r="AC9" s="13">
        <v>2013</v>
      </c>
      <c r="AE9" s="15"/>
      <c r="AF9" s="14">
        <v>2013</v>
      </c>
      <c r="AG9" s="13">
        <v>2014</v>
      </c>
      <c r="AI9" s="8"/>
    </row>
    <row r="10" spans="1:35" x14ac:dyDescent="0.2">
      <c r="A10" s="4"/>
      <c r="B10" s="66" t="s">
        <v>95</v>
      </c>
      <c r="C10" s="12"/>
      <c r="D10" s="8"/>
      <c r="E10" s="8" t="s">
        <v>69</v>
      </c>
      <c r="F10" s="4"/>
      <c r="G10" s="8" t="s">
        <v>69</v>
      </c>
      <c r="I10" s="8" t="s">
        <v>69</v>
      </c>
      <c r="K10" s="8" t="s">
        <v>69</v>
      </c>
      <c r="M10" s="8" t="s">
        <v>69</v>
      </c>
      <c r="N10" s="8"/>
      <c r="O10" s="8" t="s">
        <v>69</v>
      </c>
      <c r="Q10" s="8" t="s">
        <v>69</v>
      </c>
      <c r="S10" s="8" t="s">
        <v>69</v>
      </c>
      <c r="U10" s="8" t="s">
        <v>69</v>
      </c>
      <c r="W10" s="8" t="s">
        <v>69</v>
      </c>
      <c r="Y10" s="8" t="s">
        <v>69</v>
      </c>
      <c r="AA10" s="8" t="s">
        <v>69</v>
      </c>
      <c r="AC10" s="8" t="s">
        <v>69</v>
      </c>
      <c r="AF10" s="8" t="s">
        <v>66</v>
      </c>
      <c r="AG10" s="8" t="s">
        <v>69</v>
      </c>
      <c r="AI10" s="8"/>
    </row>
    <row r="11" spans="1:35" x14ac:dyDescent="0.2">
      <c r="A11" s="4"/>
      <c r="B11" s="16"/>
      <c r="C11" s="4"/>
      <c r="D11" s="4"/>
      <c r="E11" s="17" t="s">
        <v>3</v>
      </c>
      <c r="F11" s="4"/>
      <c r="G11" s="17" t="s">
        <v>3</v>
      </c>
      <c r="I11" s="17" t="s">
        <v>3</v>
      </c>
      <c r="K11" s="17" t="s">
        <v>3</v>
      </c>
      <c r="M11" s="17" t="s">
        <v>3</v>
      </c>
      <c r="N11" s="17"/>
      <c r="O11" s="17" t="s">
        <v>3</v>
      </c>
      <c r="Q11" s="17" t="s">
        <v>3</v>
      </c>
      <c r="S11" s="17" t="s">
        <v>3</v>
      </c>
      <c r="U11" s="17" t="s">
        <v>3</v>
      </c>
      <c r="W11" s="17" t="s">
        <v>3</v>
      </c>
      <c r="Y11" s="17" t="s">
        <v>3</v>
      </c>
      <c r="AA11" s="17" t="s">
        <v>3</v>
      </c>
      <c r="AC11" s="17" t="s">
        <v>3</v>
      </c>
      <c r="AF11" s="17" t="s">
        <v>3</v>
      </c>
      <c r="AG11" s="17" t="s">
        <v>3</v>
      </c>
      <c r="AI11" s="17" t="s">
        <v>3</v>
      </c>
    </row>
    <row r="12" spans="1:35" x14ac:dyDescent="0.2">
      <c r="A12" s="4"/>
      <c r="B12" s="18" t="s">
        <v>4</v>
      </c>
      <c r="C12" s="4"/>
      <c r="D12" s="19"/>
      <c r="E12" s="71">
        <v>37072</v>
      </c>
      <c r="F12" s="71"/>
      <c r="G12" s="71">
        <v>37437</v>
      </c>
      <c r="H12" s="70"/>
      <c r="I12" s="71">
        <v>37802</v>
      </c>
      <c r="J12" s="70"/>
      <c r="K12" s="71">
        <v>38168</v>
      </c>
      <c r="L12" s="70"/>
      <c r="M12" s="72">
        <v>38533</v>
      </c>
      <c r="N12" s="72"/>
      <c r="O12" s="71">
        <v>38898</v>
      </c>
      <c r="P12" s="70"/>
      <c r="Q12" s="70">
        <v>39263</v>
      </c>
      <c r="R12" s="70">
        <v>39263</v>
      </c>
      <c r="S12" s="71">
        <v>39629</v>
      </c>
      <c r="T12" s="70"/>
      <c r="U12" s="71">
        <v>39994</v>
      </c>
      <c r="V12" s="70"/>
      <c r="W12" s="71">
        <v>40359</v>
      </c>
      <c r="X12" s="70"/>
      <c r="Y12" s="71">
        <v>40724</v>
      </c>
      <c r="Z12" s="70"/>
      <c r="AA12" s="71">
        <v>41090</v>
      </c>
      <c r="AB12" s="70"/>
      <c r="AC12" s="71">
        <v>41455</v>
      </c>
      <c r="AD12" s="70"/>
      <c r="AE12" s="70"/>
      <c r="AF12" s="71">
        <v>41455</v>
      </c>
      <c r="AG12" s="71">
        <v>41820</v>
      </c>
    </row>
    <row r="13" spans="1:35" x14ac:dyDescent="0.2">
      <c r="A13" s="4"/>
      <c r="B13" s="4"/>
      <c r="C13" s="4"/>
      <c r="D13" s="4"/>
      <c r="E13" s="4"/>
      <c r="F13" s="4"/>
      <c r="G13" s="4"/>
      <c r="I13" s="4"/>
      <c r="K13" s="4"/>
      <c r="M13" s="4"/>
      <c r="N13" s="4"/>
      <c r="O13" s="4"/>
      <c r="Q13" s="4"/>
      <c r="S13" s="4"/>
      <c r="U13" s="4"/>
      <c r="W13" s="4"/>
      <c r="Y13" s="4"/>
      <c r="AA13" s="4"/>
      <c r="AC13" s="4"/>
      <c r="AF13" s="4"/>
      <c r="AG13" s="4"/>
    </row>
    <row r="14" spans="1:35" x14ac:dyDescent="0.2">
      <c r="A14" s="4"/>
      <c r="B14" s="4"/>
      <c r="C14" s="4"/>
      <c r="D14" s="4"/>
      <c r="E14" s="4"/>
      <c r="F14" s="4"/>
      <c r="G14" s="20"/>
      <c r="I14" s="20"/>
      <c r="K14" s="4"/>
      <c r="M14" s="4"/>
      <c r="N14" s="4"/>
      <c r="O14" s="4"/>
      <c r="Q14" s="4"/>
      <c r="S14" s="20"/>
      <c r="U14" s="20"/>
      <c r="W14" s="20"/>
      <c r="Y14" s="4"/>
      <c r="AA14" s="4"/>
      <c r="AC14" s="4"/>
      <c r="AF14" s="4"/>
      <c r="AG14" s="4"/>
    </row>
    <row r="15" spans="1:35" x14ac:dyDescent="0.2">
      <c r="A15" s="4"/>
      <c r="B15" s="18" t="s">
        <v>6</v>
      </c>
      <c r="C15" s="4"/>
      <c r="D15" s="21"/>
      <c r="E15" s="21">
        <v>639077</v>
      </c>
      <c r="F15" s="4"/>
      <c r="G15" s="21">
        <v>3163066.5</v>
      </c>
      <c r="I15" s="21">
        <v>430.78</v>
      </c>
      <c r="K15" s="21">
        <v>710692.9800000001</v>
      </c>
      <c r="M15" s="21">
        <v>2559933.21</v>
      </c>
      <c r="O15" s="21">
        <v>-778830.3600000001</v>
      </c>
      <c r="Q15" s="21">
        <v>193855520.15000001</v>
      </c>
      <c r="S15" s="65">
        <v>51041139.340000004</v>
      </c>
      <c r="U15" s="65">
        <v>4962822.5999999996</v>
      </c>
      <c r="W15" s="21">
        <v>9939876.9100000001</v>
      </c>
      <c r="Y15" s="21">
        <v>1324801.9800000002</v>
      </c>
      <c r="AA15" s="21">
        <v>891124.16999999899</v>
      </c>
      <c r="AC15" s="21">
        <v>2143884.77</v>
      </c>
      <c r="AF15" s="21">
        <v>0</v>
      </c>
      <c r="AG15" s="65">
        <v>0</v>
      </c>
      <c r="AH15" s="21"/>
      <c r="AI15" s="22">
        <f>SUM(E15:AH15)</f>
        <v>270453540.02999997</v>
      </c>
    </row>
    <row r="16" spans="1:35" x14ac:dyDescent="0.2">
      <c r="A16" s="4"/>
      <c r="B16" s="18" t="s">
        <v>7</v>
      </c>
      <c r="C16" s="4"/>
      <c r="D16" s="21" t="s">
        <v>5</v>
      </c>
      <c r="E16" s="23">
        <v>-252787.77</v>
      </c>
      <c r="F16" s="21"/>
      <c r="G16" s="23">
        <v>-1151062.8</v>
      </c>
      <c r="H16" s="21"/>
      <c r="I16" s="23">
        <v>-140.41</v>
      </c>
      <c r="J16" s="21"/>
      <c r="K16" s="23">
        <v>-203715.21</v>
      </c>
      <c r="L16" s="21"/>
      <c r="M16" s="23">
        <v>-683117.72</v>
      </c>
      <c r="N16" s="21"/>
      <c r="O16" s="23">
        <v>184223.43</v>
      </c>
      <c r="P16" s="21"/>
      <c r="Q16" s="23">
        <v>-39527942.729999997</v>
      </c>
      <c r="R16" s="21"/>
      <c r="S16" s="23">
        <v>-20116188.359999999</v>
      </c>
      <c r="T16" s="21"/>
      <c r="U16" s="23">
        <v>-903651.45</v>
      </c>
      <c r="V16" s="21"/>
      <c r="W16" s="23">
        <v>-1074057.98</v>
      </c>
      <c r="X16" s="21"/>
      <c r="Y16" s="23">
        <v>-90567.1</v>
      </c>
      <c r="Z16" s="21"/>
      <c r="AA16" s="23">
        <v>-57428.19</v>
      </c>
      <c r="AB16" s="21"/>
      <c r="AC16" s="23">
        <v>-30775.99</v>
      </c>
      <c r="AD16" s="21" t="s">
        <v>5</v>
      </c>
      <c r="AE16" s="21" t="s">
        <v>5</v>
      </c>
      <c r="AF16" s="23">
        <v>0</v>
      </c>
      <c r="AG16" s="23">
        <v>0</v>
      </c>
      <c r="AH16" s="21"/>
      <c r="AI16" s="22">
        <f>SUM(E16:AH16)</f>
        <v>-63907212.279999994</v>
      </c>
    </row>
    <row r="17" spans="1:36" x14ac:dyDescent="0.2">
      <c r="A17" s="4"/>
      <c r="B17" s="4"/>
      <c r="C17" s="4"/>
      <c r="D17" s="21"/>
      <c r="E17" s="24" t="s">
        <v>3</v>
      </c>
      <c r="F17" s="4"/>
      <c r="G17" s="24" t="s">
        <v>3</v>
      </c>
      <c r="I17" s="24" t="s">
        <v>3</v>
      </c>
      <c r="K17" s="24" t="s">
        <v>3</v>
      </c>
      <c r="M17" s="24" t="s">
        <v>3</v>
      </c>
      <c r="N17" s="24"/>
      <c r="O17" s="24" t="s">
        <v>3</v>
      </c>
      <c r="Q17" s="24" t="s">
        <v>3</v>
      </c>
      <c r="S17" s="24" t="s">
        <v>3</v>
      </c>
      <c r="U17" s="24" t="s">
        <v>3</v>
      </c>
      <c r="W17" s="24" t="s">
        <v>3</v>
      </c>
      <c r="Y17" s="24" t="s">
        <v>3</v>
      </c>
      <c r="AA17" s="24" t="s">
        <v>3</v>
      </c>
      <c r="AC17" s="24" t="s">
        <v>3</v>
      </c>
      <c r="AF17" s="24" t="s">
        <v>3</v>
      </c>
      <c r="AG17" s="24" t="s">
        <v>3</v>
      </c>
      <c r="AI17" s="24" t="s">
        <v>3</v>
      </c>
    </row>
    <row r="18" spans="1:36" x14ac:dyDescent="0.2">
      <c r="A18" s="4"/>
      <c r="B18" s="18" t="str">
        <f>"Net Book Basis "&amp;B10</f>
        <v>Net Book Basis December 31, 2013</v>
      </c>
      <c r="C18" s="67">
        <v>12</v>
      </c>
      <c r="D18" s="21"/>
      <c r="E18" s="21">
        <f>+E15+E16</f>
        <v>386289.23</v>
      </c>
      <c r="F18" s="4"/>
      <c r="G18" s="21">
        <f>+G15+G16</f>
        <v>2012003.7</v>
      </c>
      <c r="I18" s="21">
        <f>+I15+I16</f>
        <v>290.37</v>
      </c>
      <c r="K18" s="21">
        <f>+K15+K16</f>
        <v>506977.77000000014</v>
      </c>
      <c r="M18" s="21">
        <f>+M15+M16</f>
        <v>1876815.49</v>
      </c>
      <c r="N18" s="21"/>
      <c r="O18" s="21">
        <f>+O15+O16</f>
        <v>-594606.93000000017</v>
      </c>
      <c r="Q18" s="21">
        <f>+Q15+Q16</f>
        <v>154327577.42000002</v>
      </c>
      <c r="S18" s="21">
        <f>+S15+S16</f>
        <v>30924950.980000004</v>
      </c>
      <c r="U18" s="21">
        <f>+U15+U16</f>
        <v>4059171.1499999994</v>
      </c>
      <c r="W18" s="21">
        <f>+W15+W16</f>
        <v>8865818.9299999997</v>
      </c>
      <c r="Y18" s="21">
        <f>+Y15+Y16</f>
        <v>1234234.8800000001</v>
      </c>
      <c r="AA18" s="21">
        <f>+AA15+AA16</f>
        <v>833695.97999999905</v>
      </c>
      <c r="AC18" s="21">
        <f>+AC15+AC16</f>
        <v>2113108.7799999998</v>
      </c>
      <c r="AF18" s="21">
        <f>+AF15+AF16</f>
        <v>0</v>
      </c>
      <c r="AG18" s="21">
        <f>+AG15+AG16</f>
        <v>0</v>
      </c>
      <c r="AI18" s="22">
        <f>SUM(E18:AH18)</f>
        <v>206546327.75000003</v>
      </c>
    </row>
    <row r="19" spans="1:36" x14ac:dyDescent="0.2">
      <c r="A19" s="4"/>
      <c r="B19" s="4"/>
      <c r="C19" s="4"/>
      <c r="D19" s="21"/>
      <c r="E19" s="24" t="s">
        <v>8</v>
      </c>
      <c r="F19" s="4"/>
      <c r="G19" s="24" t="s">
        <v>8</v>
      </c>
      <c r="I19" s="24" t="s">
        <v>8</v>
      </c>
      <c r="K19" s="24" t="s">
        <v>8</v>
      </c>
      <c r="M19" s="24" t="s">
        <v>8</v>
      </c>
      <c r="N19" s="24"/>
      <c r="O19" s="24" t="s">
        <v>8</v>
      </c>
      <c r="Q19" s="24" t="s">
        <v>8</v>
      </c>
      <c r="S19" s="24" t="s">
        <v>8</v>
      </c>
      <c r="U19" s="24" t="s">
        <v>8</v>
      </c>
      <c r="W19" s="24" t="s">
        <v>8</v>
      </c>
      <c r="Y19" s="24" t="s">
        <v>8</v>
      </c>
      <c r="AA19" s="24" t="s">
        <v>8</v>
      </c>
      <c r="AC19" s="24" t="s">
        <v>8</v>
      </c>
      <c r="AF19" s="24" t="s">
        <v>8</v>
      </c>
      <c r="AG19" s="24" t="s">
        <v>8</v>
      </c>
      <c r="AI19" s="24" t="s">
        <v>8</v>
      </c>
    </row>
    <row r="20" spans="1:36" x14ac:dyDescent="0.2">
      <c r="A20" s="4"/>
      <c r="B20" s="4"/>
      <c r="C20" s="4"/>
      <c r="D20" s="21"/>
      <c r="E20" s="21"/>
      <c r="F20" s="4"/>
      <c r="G20" s="21"/>
      <c r="I20" s="21"/>
      <c r="K20" s="21"/>
      <c r="M20" s="21"/>
      <c r="N20" s="21"/>
      <c r="O20" s="21"/>
      <c r="Q20" s="21"/>
      <c r="S20" s="21"/>
      <c r="U20" s="21"/>
      <c r="W20" s="21"/>
      <c r="Y20" s="21"/>
      <c r="AA20" s="21"/>
      <c r="AC20" s="21"/>
      <c r="AF20" s="21"/>
      <c r="AG20" s="21"/>
      <c r="AI20" s="22"/>
    </row>
    <row r="21" spans="1:36" x14ac:dyDescent="0.2">
      <c r="A21" s="4"/>
      <c r="B21" s="4"/>
      <c r="C21" s="25"/>
      <c r="D21" s="21"/>
      <c r="E21" s="21"/>
      <c r="F21" s="4"/>
      <c r="G21" s="21"/>
      <c r="I21" s="21"/>
      <c r="K21" s="21"/>
      <c r="M21" s="21"/>
      <c r="N21" s="21"/>
      <c r="O21" s="21"/>
      <c r="Q21" s="21"/>
      <c r="S21" s="21"/>
      <c r="U21" s="21"/>
      <c r="W21" s="21"/>
      <c r="Y21" s="21"/>
      <c r="AA21" s="21"/>
      <c r="AC21" s="21"/>
      <c r="AF21" s="21"/>
      <c r="AG21" s="21"/>
      <c r="AI21" s="22"/>
    </row>
    <row r="22" spans="1:36" x14ac:dyDescent="0.2">
      <c r="A22" s="4"/>
      <c r="B22" s="4"/>
      <c r="C22" s="4"/>
      <c r="D22" s="21"/>
      <c r="E22" s="21"/>
      <c r="F22" s="4"/>
      <c r="G22" s="21"/>
      <c r="I22" s="21"/>
      <c r="K22" s="21"/>
      <c r="M22" s="21"/>
      <c r="N22" s="21"/>
      <c r="O22" s="21"/>
      <c r="Q22" s="21"/>
      <c r="S22" s="21"/>
      <c r="U22" s="21"/>
      <c r="W22" s="21"/>
      <c r="Y22" s="21"/>
      <c r="AA22" s="21"/>
      <c r="AC22" s="21"/>
      <c r="AF22" s="21"/>
      <c r="AG22" s="21"/>
      <c r="AI22" s="22"/>
      <c r="AJ22" s="6" t="s">
        <v>5</v>
      </c>
    </row>
    <row r="23" spans="1:36" x14ac:dyDescent="0.2">
      <c r="A23" s="4"/>
      <c r="B23" s="18" t="s">
        <v>9</v>
      </c>
      <c r="C23" s="4"/>
      <c r="D23" s="21"/>
      <c r="E23" s="21">
        <f>+E15</f>
        <v>639077</v>
      </c>
      <c r="F23" s="4"/>
      <c r="G23" s="21">
        <f>+G15</f>
        <v>3163066.5</v>
      </c>
      <c r="I23" s="21">
        <f>+I15</f>
        <v>430.78</v>
      </c>
      <c r="K23" s="21">
        <f>+K15</f>
        <v>710692.9800000001</v>
      </c>
      <c r="M23" s="21">
        <f>+M15</f>
        <v>2559933.21</v>
      </c>
      <c r="N23" s="21"/>
      <c r="O23" s="21">
        <f>+O15</f>
        <v>-778830.3600000001</v>
      </c>
      <c r="Q23" s="21">
        <f>+Q15</f>
        <v>193855520.15000001</v>
      </c>
      <c r="S23" s="21">
        <f>+S15</f>
        <v>51041139.340000004</v>
      </c>
      <c r="U23" s="21">
        <f>+U15</f>
        <v>4962822.5999999996</v>
      </c>
      <c r="W23" s="21">
        <f>+W15</f>
        <v>9939876.9100000001</v>
      </c>
      <c r="Y23" s="21">
        <f>+Y15</f>
        <v>1324801.9800000002</v>
      </c>
      <c r="AA23" s="21">
        <f>+AA15</f>
        <v>891124.16999999899</v>
      </c>
      <c r="AC23" s="21">
        <f>+AC15</f>
        <v>2143884.77</v>
      </c>
      <c r="AF23" s="21">
        <f>+AF15</f>
        <v>0</v>
      </c>
      <c r="AG23" s="21">
        <f>+AG15</f>
        <v>0</v>
      </c>
      <c r="AI23" s="22">
        <f>SUM(E23:AH23)</f>
        <v>270453540.02999997</v>
      </c>
    </row>
    <row r="24" spans="1:36" x14ac:dyDescent="0.2">
      <c r="A24" s="26"/>
      <c r="B24" s="27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I24" s="22"/>
    </row>
    <row r="25" spans="1:36" x14ac:dyDescent="0.2">
      <c r="A25" s="4"/>
      <c r="B25" s="18"/>
      <c r="C25" s="4"/>
      <c r="D25" s="21"/>
      <c r="E25" s="24" t="s">
        <v>3</v>
      </c>
      <c r="F25" s="4"/>
      <c r="G25" s="24" t="s">
        <v>3</v>
      </c>
      <c r="I25" s="24" t="s">
        <v>3</v>
      </c>
      <c r="K25" s="24" t="s">
        <v>3</v>
      </c>
      <c r="M25" s="24" t="s">
        <v>3</v>
      </c>
      <c r="N25" s="24"/>
      <c r="O25" s="24" t="s">
        <v>3</v>
      </c>
      <c r="Q25" s="24" t="s">
        <v>3</v>
      </c>
      <c r="S25" s="24" t="s">
        <v>3</v>
      </c>
      <c r="U25" s="24" t="s">
        <v>3</v>
      </c>
      <c r="W25" s="24" t="s">
        <v>3</v>
      </c>
      <c r="Y25" s="24" t="s">
        <v>3</v>
      </c>
      <c r="AA25" s="24" t="s">
        <v>3</v>
      </c>
      <c r="AC25" s="24" t="s">
        <v>3</v>
      </c>
      <c r="AF25" s="24" t="s">
        <v>3</v>
      </c>
      <c r="AG25" s="24" t="s">
        <v>3</v>
      </c>
      <c r="AI25" s="24" t="s">
        <v>3</v>
      </c>
    </row>
    <row r="26" spans="1:36" x14ac:dyDescent="0.2">
      <c r="A26" s="4"/>
      <c r="B26" s="18" t="s">
        <v>26</v>
      </c>
      <c r="C26" s="4"/>
      <c r="D26" s="21"/>
      <c r="E26" s="21">
        <f>E23+E24</f>
        <v>639077</v>
      </c>
      <c r="F26" s="4"/>
      <c r="G26" s="21">
        <f>G23+G24</f>
        <v>3163066.5</v>
      </c>
      <c r="I26" s="21">
        <f>I23+I24</f>
        <v>430.78</v>
      </c>
      <c r="K26" s="21">
        <f>K23+K24</f>
        <v>710692.9800000001</v>
      </c>
      <c r="M26" s="21">
        <f>M23+M24</f>
        <v>2559933.21</v>
      </c>
      <c r="N26" s="21"/>
      <c r="O26" s="21">
        <f>O23+O24</f>
        <v>-778830.3600000001</v>
      </c>
      <c r="Q26" s="21">
        <f>Q23+Q24</f>
        <v>193855520.15000001</v>
      </c>
      <c r="S26" s="21">
        <f>S23+S24</f>
        <v>51041139.340000004</v>
      </c>
      <c r="U26" s="21">
        <f>U23+U24</f>
        <v>4962822.5999999996</v>
      </c>
      <c r="W26" s="21">
        <f>W23+W24</f>
        <v>9939876.9100000001</v>
      </c>
      <c r="Y26" s="21">
        <f>Y23+Y24</f>
        <v>1324801.9800000002</v>
      </c>
      <c r="AA26" s="21">
        <f>AA23+AA24</f>
        <v>891124.16999999899</v>
      </c>
      <c r="AC26" s="21">
        <f>AC23+AC24</f>
        <v>2143884.77</v>
      </c>
      <c r="AF26" s="21">
        <f>AF23+AF24</f>
        <v>0</v>
      </c>
      <c r="AG26" s="21">
        <f>AG23+AG24</f>
        <v>0</v>
      </c>
      <c r="AI26" s="22">
        <f>SUM(E26:AH26)</f>
        <v>270453540.02999997</v>
      </c>
    </row>
    <row r="27" spans="1:36" x14ac:dyDescent="0.2">
      <c r="A27" s="4"/>
      <c r="B27" s="18" t="s">
        <v>10</v>
      </c>
      <c r="C27" s="4"/>
      <c r="D27" s="21"/>
      <c r="E27" s="21">
        <f>-E333</f>
        <v>-425171.38750000001</v>
      </c>
      <c r="F27" s="4"/>
      <c r="G27" s="21">
        <f>-G333</f>
        <v>-1963536.9937499999</v>
      </c>
      <c r="I27" s="21">
        <f>-I333</f>
        <v>-302.54197499999998</v>
      </c>
      <c r="K27" s="21">
        <f>-K333</f>
        <v>-477641.03308334004</v>
      </c>
      <c r="M27" s="21">
        <f>-M333</f>
        <v>-1246508.4953749999</v>
      </c>
      <c r="N27" s="21"/>
      <c r="O27" s="21">
        <f>-O333</f>
        <v>344485</v>
      </c>
      <c r="Q27" s="21">
        <f>-Q333</f>
        <v>-76978088</v>
      </c>
      <c r="S27" s="21">
        <f>-S333</f>
        <v>-34404535</v>
      </c>
      <c r="U27" s="21">
        <f>-U333</f>
        <v>-3214321</v>
      </c>
      <c r="W27" s="21">
        <f>-W333</f>
        <v>-6153927</v>
      </c>
      <c r="Y27" s="21">
        <f>-Y333</f>
        <v>-1324802</v>
      </c>
      <c r="AA27" s="21">
        <f>-AA333</f>
        <v>-494436</v>
      </c>
      <c r="AC27" s="21">
        <f>-AC333</f>
        <v>-1112140</v>
      </c>
      <c r="AF27" s="21">
        <f>-AF333</f>
        <v>0</v>
      </c>
      <c r="AG27" s="21">
        <f>-AG333</f>
        <v>0</v>
      </c>
      <c r="AI27" s="22">
        <f>SUM(E27:AH27)</f>
        <v>-127450924.45168334</v>
      </c>
    </row>
    <row r="28" spans="1:36" x14ac:dyDescent="0.2">
      <c r="A28" s="4"/>
      <c r="B28" s="4"/>
      <c r="C28" s="4"/>
      <c r="D28" s="21"/>
      <c r="E28" s="24" t="s">
        <v>3</v>
      </c>
      <c r="F28" s="4"/>
      <c r="G28" s="24" t="s">
        <v>3</v>
      </c>
      <c r="I28" s="24" t="s">
        <v>3</v>
      </c>
      <c r="K28" s="24" t="s">
        <v>3</v>
      </c>
      <c r="M28" s="24" t="s">
        <v>3</v>
      </c>
      <c r="N28" s="24"/>
      <c r="O28" s="24" t="s">
        <v>3</v>
      </c>
      <c r="Q28" s="24" t="s">
        <v>3</v>
      </c>
      <c r="S28" s="24" t="s">
        <v>3</v>
      </c>
      <c r="U28" s="24" t="s">
        <v>3</v>
      </c>
      <c r="W28" s="24" t="s">
        <v>3</v>
      </c>
      <c r="Y28" s="24" t="s">
        <v>3</v>
      </c>
      <c r="AA28" s="24" t="s">
        <v>3</v>
      </c>
      <c r="AC28" s="24" t="s">
        <v>3</v>
      </c>
      <c r="AF28" s="24" t="s">
        <v>3</v>
      </c>
      <c r="AG28" s="24" t="s">
        <v>3</v>
      </c>
      <c r="AI28" s="24" t="s">
        <v>3</v>
      </c>
    </row>
    <row r="29" spans="1:36" x14ac:dyDescent="0.2">
      <c r="A29" s="4"/>
      <c r="B29" s="18" t="str">
        <f>"Net Tax Basis "&amp;B10</f>
        <v>Net Tax Basis December 31, 2013</v>
      </c>
      <c r="C29" s="4"/>
      <c r="D29" s="21"/>
      <c r="E29" s="21">
        <f>+E26+E27</f>
        <v>213905.61249999999</v>
      </c>
      <c r="F29" s="4"/>
      <c r="G29" s="21">
        <f>+G26+G27</f>
        <v>1199529.5062500001</v>
      </c>
      <c r="I29" s="21">
        <f>+I26+I27</f>
        <v>128.23802499999999</v>
      </c>
      <c r="K29" s="21">
        <f>+K26+K27</f>
        <v>233051.94691666006</v>
      </c>
      <c r="M29" s="21">
        <f>+M26+M27</f>
        <v>1313424.714625</v>
      </c>
      <c r="N29" s="21"/>
      <c r="O29" s="21">
        <f>+O26+O27</f>
        <v>-434345.3600000001</v>
      </c>
      <c r="Q29" s="21">
        <f>+Q26+Q27</f>
        <v>116877432.15000001</v>
      </c>
      <c r="S29" s="21">
        <f>+S26+S27</f>
        <v>16636604.340000004</v>
      </c>
      <c r="U29" s="21">
        <f>+U26+U27</f>
        <v>1748501.5999999996</v>
      </c>
      <c r="W29" s="21">
        <f>+W26+W27</f>
        <v>3785949.91</v>
      </c>
      <c r="Y29" s="21">
        <f>+Y26+Y27</f>
        <v>-1.9999999785795808E-2</v>
      </c>
      <c r="AA29" s="21">
        <f>+AA26+AA27</f>
        <v>396688.16999999899</v>
      </c>
      <c r="AC29" s="21">
        <f>+AC26+AC27</f>
        <v>1031744.77</v>
      </c>
      <c r="AF29" s="21">
        <f>+AF26+AF27</f>
        <v>0</v>
      </c>
      <c r="AG29" s="21">
        <f>+AG26+AG27</f>
        <v>0</v>
      </c>
      <c r="AI29" s="22">
        <f>SUM(E29:AH29)</f>
        <v>143002615.57831666</v>
      </c>
    </row>
    <row r="30" spans="1:36" x14ac:dyDescent="0.2">
      <c r="A30" s="4"/>
      <c r="B30" s="4"/>
      <c r="C30" s="4"/>
      <c r="D30" s="21"/>
      <c r="E30" s="24" t="s">
        <v>8</v>
      </c>
      <c r="F30" s="4"/>
      <c r="G30" s="24" t="s">
        <v>8</v>
      </c>
      <c r="I30" s="24" t="s">
        <v>8</v>
      </c>
      <c r="K30" s="24" t="s">
        <v>8</v>
      </c>
      <c r="M30" s="24" t="s">
        <v>8</v>
      </c>
      <c r="N30" s="24"/>
      <c r="O30" s="24" t="s">
        <v>8</v>
      </c>
      <c r="Q30" s="24" t="s">
        <v>8</v>
      </c>
      <c r="S30" s="24" t="s">
        <v>8</v>
      </c>
      <c r="U30" s="24" t="s">
        <v>8</v>
      </c>
      <c r="W30" s="24" t="s">
        <v>8</v>
      </c>
      <c r="Y30" s="24" t="s">
        <v>8</v>
      </c>
      <c r="AA30" s="24" t="s">
        <v>8</v>
      </c>
      <c r="AC30" s="24" t="s">
        <v>8</v>
      </c>
      <c r="AF30" s="24" t="s">
        <v>8</v>
      </c>
      <c r="AG30" s="24" t="s">
        <v>8</v>
      </c>
      <c r="AI30" s="24" t="s">
        <v>8</v>
      </c>
    </row>
    <row r="31" spans="1:36" x14ac:dyDescent="0.2">
      <c r="A31" s="4"/>
      <c r="B31" s="4"/>
      <c r="C31" s="4"/>
      <c r="D31" s="21"/>
      <c r="E31" s="30">
        <f>1-E29/E26</f>
        <v>0.66528976555250785</v>
      </c>
      <c r="F31" s="30" t="e">
        <f>1-F29/F26</f>
        <v>#DIV/0!</v>
      </c>
      <c r="G31" s="30">
        <f t="shared" ref="G31:AE31" si="0">1-G29/G26</f>
        <v>0.62077006403437929</v>
      </c>
      <c r="H31" s="30" t="e">
        <f t="shared" si="0"/>
        <v>#DIV/0!</v>
      </c>
      <c r="I31" s="30">
        <f t="shared" si="0"/>
        <v>0.70231202702075302</v>
      </c>
      <c r="J31" s="30" t="e">
        <f t="shared" si="0"/>
        <v>#DIV/0!</v>
      </c>
      <c r="K31" s="30">
        <f t="shared" si="0"/>
        <v>0.67207788246809463</v>
      </c>
      <c r="L31" s="30" t="e">
        <f t="shared" si="0"/>
        <v>#DIV/0!</v>
      </c>
      <c r="M31" s="30">
        <f t="shared" si="0"/>
        <v>0.48693008493569245</v>
      </c>
      <c r="N31" s="30"/>
      <c r="O31" s="30">
        <f t="shared" si="0"/>
        <v>0.44231069780073795</v>
      </c>
      <c r="P31" s="30" t="e">
        <f t="shared" si="0"/>
        <v>#DIV/0!</v>
      </c>
      <c r="Q31" s="30">
        <f t="shared" si="0"/>
        <v>0.39708999743951834</v>
      </c>
      <c r="R31" s="30" t="e">
        <f t="shared" si="0"/>
        <v>#DIV/0!</v>
      </c>
      <c r="S31" s="30">
        <f t="shared" si="0"/>
        <v>0.67405499651607104</v>
      </c>
      <c r="T31" s="30" t="e">
        <f t="shared" si="0"/>
        <v>#DIV/0!</v>
      </c>
      <c r="U31" s="30">
        <f t="shared" si="0"/>
        <v>0.64768001177394496</v>
      </c>
      <c r="V31" s="30"/>
      <c r="W31" s="30">
        <f t="shared" si="0"/>
        <v>0.61911501075117437</v>
      </c>
      <c r="X31" s="30" t="e">
        <f t="shared" si="0"/>
        <v>#DIV/0!</v>
      </c>
      <c r="Y31" s="30">
        <f t="shared" si="0"/>
        <v>1.0000000150965955</v>
      </c>
      <c r="Z31" s="30" t="e">
        <f t="shared" si="0"/>
        <v>#DIV/0!</v>
      </c>
      <c r="AA31" s="30">
        <f t="shared" si="0"/>
        <v>0.55484523554108134</v>
      </c>
      <c r="AB31" s="30" t="e">
        <f t="shared" si="0"/>
        <v>#DIV/0!</v>
      </c>
      <c r="AC31" s="30">
        <f t="shared" si="0"/>
        <v>0.51874989531270377</v>
      </c>
      <c r="AD31" s="30" t="e">
        <f t="shared" si="0"/>
        <v>#DIV/0!</v>
      </c>
      <c r="AE31" s="30" t="e">
        <f t="shared" si="0"/>
        <v>#DIV/0!</v>
      </c>
      <c r="AF31" s="30" t="e">
        <f>1-AF29/AF26</f>
        <v>#DIV/0!</v>
      </c>
      <c r="AG31" s="30" t="e">
        <f>1-AG29/AG26</f>
        <v>#DIV/0!</v>
      </c>
      <c r="AI31" s="22"/>
    </row>
    <row r="32" spans="1:36" x14ac:dyDescent="0.2">
      <c r="A32" s="4"/>
      <c r="B32" s="4"/>
      <c r="C32" s="4"/>
      <c r="D32" s="21"/>
      <c r="E32" s="21"/>
      <c r="F32" s="4"/>
      <c r="G32" s="21"/>
      <c r="I32" s="21"/>
      <c r="K32" s="21"/>
      <c r="M32" s="21"/>
      <c r="N32" s="21"/>
      <c r="O32" s="21"/>
      <c r="Q32" s="21"/>
      <c r="S32" s="21"/>
      <c r="U32" s="21"/>
      <c r="W32" s="21"/>
      <c r="Y32" s="21"/>
      <c r="AA32" s="21"/>
      <c r="AC32" s="21"/>
      <c r="AF32" s="21"/>
      <c r="AG32" s="21"/>
      <c r="AI32" s="22"/>
    </row>
    <row r="33" spans="1:35" x14ac:dyDescent="0.2">
      <c r="A33" s="4"/>
      <c r="B33" s="4"/>
      <c r="C33" s="4"/>
      <c r="D33" s="21"/>
      <c r="E33" s="21"/>
      <c r="F33" s="4"/>
      <c r="G33" s="21"/>
      <c r="I33" s="21"/>
      <c r="K33" s="21"/>
      <c r="M33" s="21"/>
      <c r="N33" s="21"/>
      <c r="O33" s="21"/>
      <c r="Q33" s="21"/>
      <c r="S33" s="21"/>
      <c r="U33" s="21"/>
      <c r="W33" s="21"/>
      <c r="Y33" s="21"/>
      <c r="AA33" s="21"/>
      <c r="AC33" s="21"/>
      <c r="AF33" s="21"/>
      <c r="AG33" s="21"/>
      <c r="AI33" s="22"/>
    </row>
    <row r="34" spans="1:35" x14ac:dyDescent="0.2">
      <c r="A34" s="4"/>
      <c r="B34" s="18" t="s">
        <v>11</v>
      </c>
      <c r="C34" s="4"/>
      <c r="D34" s="21"/>
      <c r="E34" s="21">
        <f>+E29-E18</f>
        <v>-172383.61749999999</v>
      </c>
      <c r="F34" s="4"/>
      <c r="G34" s="21">
        <f>+G29-G18</f>
        <v>-812474.19374999986</v>
      </c>
      <c r="I34" s="21">
        <f>+I29-I18</f>
        <v>-162.13197500000001</v>
      </c>
      <c r="K34" s="21">
        <f>+K29-K18</f>
        <v>-273925.82308334007</v>
      </c>
      <c r="M34" s="21">
        <f>+M29-M18</f>
        <v>-563390.77537499997</v>
      </c>
      <c r="N34" s="21"/>
      <c r="O34" s="21">
        <f>+O29-O18</f>
        <v>160261.57000000007</v>
      </c>
      <c r="Q34" s="21">
        <f>+Q29-Q18</f>
        <v>-37450145.270000011</v>
      </c>
      <c r="S34" s="21">
        <f>+S29-S18</f>
        <v>-14288346.640000001</v>
      </c>
      <c r="U34" s="21">
        <f>+U29-U18</f>
        <v>-2310669.5499999998</v>
      </c>
      <c r="W34" s="21">
        <f>+W29-W18</f>
        <v>-5079869.0199999996</v>
      </c>
      <c r="Y34" s="21">
        <f>+Y29-Y18</f>
        <v>-1234234.8999999999</v>
      </c>
      <c r="AA34" s="21">
        <f>+AA29-AA18</f>
        <v>-437007.81000000006</v>
      </c>
      <c r="AC34" s="21">
        <f>+AC29-AC18</f>
        <v>-1081364.0099999998</v>
      </c>
      <c r="AF34" s="21">
        <f>+AF29-AF18</f>
        <v>0</v>
      </c>
      <c r="AG34" s="21">
        <f>+AG29-AG18</f>
        <v>0</v>
      </c>
      <c r="AI34" s="22">
        <f>SUM(E34:AH34)</f>
        <v>-63543712.171683341</v>
      </c>
    </row>
    <row r="35" spans="1:35" x14ac:dyDescent="0.2">
      <c r="A35" s="4"/>
      <c r="B35" s="4"/>
      <c r="C35" s="4"/>
      <c r="D35" s="21"/>
      <c r="E35" s="21"/>
      <c r="F35" s="4"/>
      <c r="G35" s="21"/>
      <c r="I35" s="21"/>
      <c r="K35" s="21"/>
      <c r="M35" s="21"/>
      <c r="N35" s="21"/>
      <c r="O35" s="21"/>
      <c r="Q35" s="21"/>
      <c r="S35" s="21"/>
      <c r="U35" s="21"/>
      <c r="W35" s="21"/>
      <c r="Y35" s="21"/>
      <c r="AA35" s="21"/>
      <c r="AC35" s="21"/>
      <c r="AF35" s="21"/>
      <c r="AG35" s="21"/>
      <c r="AI35" s="22"/>
    </row>
    <row r="36" spans="1:35" x14ac:dyDescent="0.2">
      <c r="A36" s="4"/>
      <c r="B36" s="18" t="s">
        <v>12</v>
      </c>
      <c r="C36" s="4"/>
      <c r="D36" s="21"/>
      <c r="E36" s="31">
        <v>0.35</v>
      </c>
      <c r="F36" s="4"/>
      <c r="G36" s="31">
        <v>0.35</v>
      </c>
      <c r="I36" s="31">
        <v>0.35</v>
      </c>
      <c r="K36" s="31">
        <v>0.35</v>
      </c>
      <c r="M36" s="31">
        <v>0.35</v>
      </c>
      <c r="N36" s="31"/>
      <c r="O36" s="31">
        <v>0.35</v>
      </c>
      <c r="Q36" s="31">
        <v>0.35</v>
      </c>
      <c r="S36" s="31">
        <v>0.35</v>
      </c>
      <c r="U36" s="31">
        <v>0.35</v>
      </c>
      <c r="W36" s="31">
        <v>0.35</v>
      </c>
      <c r="Y36" s="31">
        <v>0.35</v>
      </c>
      <c r="AA36" s="31">
        <v>0.35</v>
      </c>
      <c r="AC36" s="31">
        <v>0.35</v>
      </c>
      <c r="AF36" s="31">
        <v>0.35</v>
      </c>
      <c r="AG36" s="31">
        <v>0.35</v>
      </c>
      <c r="AI36" s="22"/>
    </row>
    <row r="37" spans="1:35" x14ac:dyDescent="0.2">
      <c r="A37" s="4"/>
      <c r="B37" s="4"/>
      <c r="C37" s="4"/>
      <c r="D37" s="21"/>
      <c r="E37" s="24" t="s">
        <v>3</v>
      </c>
      <c r="F37" s="4"/>
      <c r="G37" s="24" t="s">
        <v>3</v>
      </c>
      <c r="I37" s="24" t="s">
        <v>3</v>
      </c>
      <c r="K37" s="24" t="s">
        <v>3</v>
      </c>
      <c r="M37" s="24" t="s">
        <v>3</v>
      </c>
      <c r="N37" s="24"/>
      <c r="O37" s="24" t="s">
        <v>3</v>
      </c>
      <c r="Q37" s="24" t="s">
        <v>3</v>
      </c>
      <c r="S37" s="24" t="s">
        <v>3</v>
      </c>
      <c r="U37" s="24" t="s">
        <v>3</v>
      </c>
      <c r="W37" s="24" t="s">
        <v>3</v>
      </c>
      <c r="Y37" s="24" t="s">
        <v>3</v>
      </c>
      <c r="AA37" s="24" t="s">
        <v>3</v>
      </c>
      <c r="AC37" s="24" t="s">
        <v>3</v>
      </c>
      <c r="AF37" s="24" t="s">
        <v>3</v>
      </c>
      <c r="AG37" s="24" t="s">
        <v>3</v>
      </c>
      <c r="AI37" s="24" t="s">
        <v>3</v>
      </c>
    </row>
    <row r="38" spans="1:35" x14ac:dyDescent="0.2">
      <c r="A38" s="4"/>
      <c r="B38" s="18" t="str">
        <f>"Accum DFIT "&amp;B10&amp;" -  Asset &lt;Liability&gt;"</f>
        <v>Accum DFIT December 31, 2013 -  Asset &lt;Liability&gt;</v>
      </c>
      <c r="C38" s="4"/>
      <c r="D38" s="21"/>
      <c r="E38" s="21">
        <f>ROUND(E34*E36,0)</f>
        <v>-60334</v>
      </c>
      <c r="F38" s="4"/>
      <c r="G38" s="21">
        <f>ROUND(G34*G36,0)</f>
        <v>-284366</v>
      </c>
      <c r="I38" s="21">
        <f>ROUND(I34*I36,0)</f>
        <v>-57</v>
      </c>
      <c r="K38" s="21">
        <f>ROUND(K34*K36,0)</f>
        <v>-95874</v>
      </c>
      <c r="M38" s="21">
        <f>ROUND(M34*M36,0)</f>
        <v>-197187</v>
      </c>
      <c r="N38" s="21"/>
      <c r="O38" s="21">
        <f>ROUND(O34*O36,0)</f>
        <v>56092</v>
      </c>
      <c r="Q38" s="21">
        <f>ROUND(Q34*Q36,0)</f>
        <v>-13107551</v>
      </c>
      <c r="S38" s="21">
        <f>ROUND(S34*S36,0)</f>
        <v>-5000921</v>
      </c>
      <c r="U38" s="21">
        <f>ROUND(U34*U36,0)</f>
        <v>-808734</v>
      </c>
      <c r="W38" s="21">
        <f>ROUND(W34*W36,0)</f>
        <v>-1777954</v>
      </c>
      <c r="Y38" s="21">
        <f>ROUND(Y34*Y36,0)</f>
        <v>-431982</v>
      </c>
      <c r="AA38" s="21">
        <f>ROUND(AA34*AA36,0)</f>
        <v>-152953</v>
      </c>
      <c r="AC38" s="21">
        <f>ROUND(AC34*AC36,0)</f>
        <v>-378477</v>
      </c>
      <c r="AF38" s="21">
        <f>ROUND(AF34*AF36,0)</f>
        <v>0</v>
      </c>
      <c r="AG38" s="21">
        <f>ROUND(AG34*AG36,0)</f>
        <v>0</v>
      </c>
      <c r="AI38" s="22">
        <f>SUM(E38:AH38)</f>
        <v>-22240298</v>
      </c>
    </row>
    <row r="39" spans="1:35" x14ac:dyDescent="0.2">
      <c r="A39" s="4"/>
      <c r="B39" s="4"/>
      <c r="C39" s="4"/>
      <c r="D39" s="21"/>
      <c r="E39" s="24" t="s">
        <v>8</v>
      </c>
      <c r="F39" s="4"/>
      <c r="G39" s="24" t="s">
        <v>8</v>
      </c>
      <c r="I39" s="24" t="s">
        <v>8</v>
      </c>
      <c r="K39" s="24" t="s">
        <v>8</v>
      </c>
      <c r="M39" s="24" t="s">
        <v>8</v>
      </c>
      <c r="N39" s="24"/>
      <c r="O39" s="24" t="s">
        <v>8</v>
      </c>
      <c r="Q39" s="24" t="s">
        <v>8</v>
      </c>
      <c r="S39" s="24" t="s">
        <v>8</v>
      </c>
      <c r="U39" s="24" t="s">
        <v>8</v>
      </c>
      <c r="W39" s="24" t="s">
        <v>8</v>
      </c>
      <c r="Y39" s="24" t="s">
        <v>8</v>
      </c>
      <c r="AA39" s="24" t="s">
        <v>8</v>
      </c>
      <c r="AC39" s="24" t="s">
        <v>8</v>
      </c>
      <c r="AF39" s="24" t="s">
        <v>8</v>
      </c>
      <c r="AG39" s="24" t="s">
        <v>8</v>
      </c>
      <c r="AI39" s="24" t="s">
        <v>8</v>
      </c>
    </row>
    <row r="40" spans="1:35" x14ac:dyDescent="0.2">
      <c r="A40" s="4"/>
      <c r="B40" s="4"/>
      <c r="C40" s="4"/>
      <c r="D40" s="21"/>
      <c r="E40" s="21"/>
      <c r="F40" s="4"/>
      <c r="G40" s="21"/>
      <c r="I40" s="21"/>
      <c r="K40" s="21"/>
      <c r="M40" s="21"/>
      <c r="N40" s="21"/>
      <c r="O40" s="21"/>
      <c r="Q40" s="21"/>
      <c r="S40" s="21"/>
      <c r="U40" s="21"/>
      <c r="W40" s="21"/>
      <c r="Y40" s="21"/>
      <c r="AA40" s="21"/>
      <c r="AC40" s="21"/>
      <c r="AF40" s="21"/>
      <c r="AG40" s="21"/>
    </row>
    <row r="41" spans="1:35" x14ac:dyDescent="0.2">
      <c r="A41" s="4"/>
      <c r="B41" s="4"/>
      <c r="C41" s="4"/>
      <c r="D41" s="4"/>
      <c r="E41" s="4"/>
      <c r="F41" s="4"/>
      <c r="G41" s="4"/>
      <c r="I41" s="4"/>
      <c r="K41" s="4"/>
      <c r="M41" s="4"/>
      <c r="N41" s="4"/>
      <c r="O41" s="4"/>
      <c r="Q41" s="4"/>
      <c r="S41" s="4"/>
      <c r="U41" s="4"/>
      <c r="W41" s="4"/>
      <c r="Y41" s="4"/>
      <c r="AA41" s="4"/>
      <c r="AC41" s="4"/>
      <c r="AF41" s="4"/>
      <c r="AG41" s="4"/>
    </row>
    <row r="42" spans="1:35" x14ac:dyDescent="0.2">
      <c r="A42" s="4"/>
      <c r="B42" s="4"/>
      <c r="C42" s="4"/>
      <c r="D42" s="4"/>
      <c r="E42" s="84" t="s">
        <v>72</v>
      </c>
      <c r="F42" s="19"/>
      <c r="G42" s="84" t="s">
        <v>72</v>
      </c>
      <c r="H42" s="85"/>
      <c r="I42" s="84" t="s">
        <v>71</v>
      </c>
      <c r="J42" s="85"/>
      <c r="K42" s="84" t="s">
        <v>71</v>
      </c>
      <c r="L42" s="85"/>
      <c r="M42" s="84" t="s">
        <v>72</v>
      </c>
      <c r="N42" s="84"/>
      <c r="O42" s="84" t="s">
        <v>72</v>
      </c>
      <c r="P42" s="85"/>
      <c r="Q42" s="84" t="s">
        <v>72</v>
      </c>
      <c r="R42" s="85"/>
      <c r="S42" s="84" t="s">
        <v>73</v>
      </c>
      <c r="T42" s="85"/>
      <c r="U42" s="84" t="s">
        <v>73</v>
      </c>
      <c r="V42" s="85"/>
      <c r="W42" s="84" t="s">
        <v>73</v>
      </c>
      <c r="X42" s="85"/>
      <c r="Y42" s="84" t="s">
        <v>74</v>
      </c>
      <c r="Z42" s="85"/>
      <c r="AA42" s="84" t="s">
        <v>73</v>
      </c>
      <c r="AB42" s="85"/>
      <c r="AC42" s="84" t="s">
        <v>73</v>
      </c>
      <c r="AD42" s="85"/>
      <c r="AE42" s="85"/>
      <c r="AF42" s="84" t="s">
        <v>73</v>
      </c>
      <c r="AG42" s="84" t="s">
        <v>72</v>
      </c>
      <c r="AI42" s="24"/>
    </row>
    <row r="43" spans="1:35" x14ac:dyDescent="0.2">
      <c r="A43" s="4"/>
    </row>
    <row r="44" spans="1:35" x14ac:dyDescent="0.2">
      <c r="A44" s="4"/>
    </row>
    <row r="45" spans="1:35" x14ac:dyDescent="0.2">
      <c r="A45" s="4"/>
      <c r="B45" s="4"/>
      <c r="C45" s="4"/>
      <c r="D45" s="4"/>
      <c r="E45" s="4"/>
      <c r="F45" s="4"/>
      <c r="G45" s="4"/>
      <c r="I45" s="4"/>
      <c r="K45" s="4"/>
      <c r="M45" s="4"/>
      <c r="N45" s="4"/>
      <c r="O45" s="4"/>
      <c r="Q45" s="4"/>
      <c r="S45" s="4"/>
      <c r="U45" s="4"/>
      <c r="W45" s="4"/>
      <c r="Y45" s="4"/>
      <c r="AA45" s="4"/>
      <c r="AC45" s="4"/>
      <c r="AF45" s="4"/>
      <c r="AG45" s="4"/>
    </row>
    <row r="46" spans="1:35" x14ac:dyDescent="0.2">
      <c r="A46" s="4"/>
      <c r="B46" s="4"/>
      <c r="C46" s="4"/>
      <c r="D46" s="4"/>
      <c r="E46" s="4"/>
      <c r="F46" s="4"/>
      <c r="G46" s="4"/>
      <c r="I46" s="4"/>
      <c r="K46" s="4"/>
      <c r="M46" s="4"/>
      <c r="N46" s="4"/>
      <c r="O46" s="4"/>
      <c r="Q46" s="4"/>
      <c r="S46" s="4"/>
      <c r="U46" s="4"/>
      <c r="W46" s="4"/>
      <c r="Y46" s="4"/>
      <c r="AA46" s="4"/>
      <c r="AC46" s="4"/>
      <c r="AF46" s="4"/>
      <c r="AG46" s="4"/>
    </row>
    <row r="47" spans="1:35" x14ac:dyDescent="0.2">
      <c r="A47" s="4"/>
      <c r="B47" s="4"/>
      <c r="C47" s="4"/>
      <c r="D47" s="4"/>
      <c r="E47" s="4"/>
      <c r="F47" s="4"/>
      <c r="G47" s="4"/>
      <c r="I47" s="4"/>
      <c r="K47" s="4"/>
      <c r="M47" s="4"/>
      <c r="N47" s="4"/>
      <c r="O47" s="4"/>
      <c r="Q47" s="4"/>
      <c r="S47" s="4"/>
      <c r="U47" s="4"/>
      <c r="W47" s="4"/>
      <c r="Y47" s="4"/>
      <c r="AA47" s="4"/>
      <c r="AC47" s="4"/>
      <c r="AF47" s="4"/>
      <c r="AG47" s="4"/>
    </row>
    <row r="48" spans="1:35" x14ac:dyDescent="0.2">
      <c r="A48" s="4"/>
      <c r="B48" s="4"/>
      <c r="C48" s="4"/>
      <c r="D48" s="4"/>
      <c r="E48" s="4"/>
      <c r="F48" s="4"/>
      <c r="G48" s="4"/>
      <c r="I48" s="4"/>
      <c r="K48" s="4"/>
      <c r="M48" s="4"/>
      <c r="N48" s="4"/>
      <c r="O48" s="4"/>
      <c r="Q48" s="4"/>
      <c r="S48" s="4"/>
      <c r="U48" s="4"/>
      <c r="W48" s="4"/>
      <c r="Y48" s="4"/>
      <c r="AA48" s="4"/>
      <c r="AC48" s="4"/>
      <c r="AF48" s="4"/>
      <c r="AG48" s="4"/>
    </row>
    <row r="49" spans="1:33" x14ac:dyDescent="0.2">
      <c r="A49" s="4"/>
      <c r="B49" s="4"/>
      <c r="C49" s="4"/>
      <c r="D49" s="4"/>
      <c r="E49" s="4"/>
      <c r="F49" s="4"/>
      <c r="G49" s="4"/>
      <c r="I49" s="4"/>
      <c r="K49" s="4"/>
      <c r="M49" s="4"/>
      <c r="N49" s="4"/>
      <c r="O49" s="4"/>
      <c r="Q49" s="4"/>
      <c r="S49" s="4"/>
      <c r="U49" s="4"/>
      <c r="W49" s="4"/>
      <c r="Y49" s="4"/>
      <c r="AA49" s="4"/>
      <c r="AC49" s="4"/>
      <c r="AF49" s="4"/>
      <c r="AG49" s="4"/>
    </row>
    <row r="50" spans="1:33" x14ac:dyDescent="0.2">
      <c r="A50" s="4"/>
      <c r="B50" s="4"/>
      <c r="C50" s="4"/>
      <c r="D50" s="4"/>
      <c r="E50" s="4"/>
      <c r="F50" s="4"/>
      <c r="G50" s="4"/>
      <c r="I50" s="4"/>
      <c r="K50" s="4"/>
      <c r="Q50" s="4"/>
      <c r="S50" s="4"/>
      <c r="U50" s="4"/>
      <c r="Y50" s="4"/>
      <c r="AA50" s="4"/>
      <c r="AC50" s="4"/>
      <c r="AG50" s="4"/>
    </row>
    <row r="51" spans="1:33" x14ac:dyDescent="0.2">
      <c r="A51" s="4"/>
      <c r="B51" s="4"/>
      <c r="C51" s="4"/>
      <c r="D51" s="4"/>
      <c r="E51" s="4"/>
      <c r="F51" s="4"/>
      <c r="G51" s="4"/>
      <c r="I51" s="4"/>
      <c r="K51" s="4"/>
      <c r="Q51" s="4"/>
      <c r="S51" s="4"/>
      <c r="U51" s="4"/>
      <c r="Y51" s="4"/>
      <c r="AA51" s="4"/>
      <c r="AC51" s="4"/>
      <c r="AG51" s="4"/>
    </row>
    <row r="52" spans="1:33" x14ac:dyDescent="0.2">
      <c r="A52" s="4"/>
      <c r="B52" s="4"/>
      <c r="C52" s="4"/>
      <c r="D52" s="4"/>
      <c r="E52" s="4"/>
      <c r="F52" s="4"/>
      <c r="G52" s="4"/>
      <c r="I52" s="4"/>
      <c r="K52" s="4"/>
      <c r="Q52" s="4"/>
      <c r="S52" s="4"/>
      <c r="U52" s="4"/>
      <c r="Y52" s="4"/>
      <c r="AA52" s="4"/>
      <c r="AC52" s="4"/>
      <c r="AG52" s="4"/>
    </row>
    <row r="53" spans="1:33" x14ac:dyDescent="0.2">
      <c r="A53" s="4"/>
      <c r="B53" s="4"/>
      <c r="C53" s="4"/>
      <c r="D53" s="4"/>
      <c r="E53" s="4"/>
      <c r="F53" s="4"/>
      <c r="G53" s="4"/>
      <c r="I53" s="4"/>
      <c r="K53" s="4"/>
      <c r="Q53" s="4"/>
      <c r="S53" s="4"/>
      <c r="U53" s="4"/>
      <c r="Y53" s="4"/>
      <c r="AA53" s="4"/>
      <c r="AC53" s="4"/>
      <c r="AG53" s="4"/>
    </row>
    <row r="54" spans="1:33" x14ac:dyDescent="0.2">
      <c r="A54" s="4"/>
      <c r="B54" s="4"/>
      <c r="C54" s="4"/>
      <c r="D54" s="4"/>
      <c r="E54" s="4"/>
      <c r="F54" s="4"/>
      <c r="G54" s="4"/>
      <c r="I54" s="4"/>
      <c r="K54" s="4"/>
      <c r="Q54" s="4"/>
      <c r="S54" s="4"/>
      <c r="U54" s="4"/>
      <c r="Y54" s="4"/>
      <c r="AA54" s="4"/>
      <c r="AC54" s="4"/>
      <c r="AG54" s="4"/>
    </row>
    <row r="55" spans="1:33" x14ac:dyDescent="0.2">
      <c r="A55" s="4"/>
      <c r="B55" s="4"/>
      <c r="C55" s="4"/>
      <c r="D55" s="4"/>
      <c r="E55" s="4"/>
      <c r="F55" s="4"/>
      <c r="G55" s="4"/>
      <c r="I55" s="4"/>
      <c r="K55" s="4"/>
      <c r="Q55" s="4"/>
      <c r="S55" s="4"/>
      <c r="U55" s="4"/>
      <c r="Y55" s="4"/>
      <c r="AA55" s="4"/>
      <c r="AC55" s="4"/>
      <c r="AG55" s="4"/>
    </row>
    <row r="56" spans="1:33" x14ac:dyDescent="0.2">
      <c r="A56" s="4"/>
      <c r="B56" s="4"/>
      <c r="C56" s="4"/>
      <c r="D56" s="4"/>
      <c r="E56" s="4"/>
      <c r="F56" s="4"/>
      <c r="G56" s="4"/>
      <c r="I56" s="4"/>
      <c r="K56" s="4"/>
      <c r="Q56" s="4"/>
      <c r="S56" s="4"/>
      <c r="U56" s="4"/>
      <c r="Y56" s="4"/>
      <c r="AA56" s="4"/>
      <c r="AC56" s="4"/>
      <c r="AG56" s="4"/>
    </row>
    <row r="57" spans="1:33" x14ac:dyDescent="0.2">
      <c r="A57" s="4"/>
      <c r="B57" s="4"/>
      <c r="C57" s="4"/>
      <c r="D57" s="4"/>
      <c r="E57" s="4"/>
      <c r="F57" s="4"/>
      <c r="G57" s="4"/>
      <c r="I57" s="4"/>
      <c r="K57" s="4"/>
      <c r="Q57" s="4"/>
      <c r="S57" s="4"/>
      <c r="U57" s="4"/>
      <c r="Y57" s="4"/>
      <c r="AA57" s="4"/>
      <c r="AC57" s="4"/>
      <c r="AG57" s="4"/>
    </row>
    <row r="58" spans="1:33" x14ac:dyDescent="0.2">
      <c r="A58" s="4"/>
      <c r="B58" s="4"/>
      <c r="C58" s="4"/>
      <c r="D58" s="4"/>
      <c r="E58" s="4"/>
      <c r="F58" s="4"/>
      <c r="G58" s="4"/>
      <c r="I58" s="4"/>
      <c r="K58" s="4"/>
      <c r="Q58" s="4"/>
      <c r="S58" s="4"/>
      <c r="U58" s="4"/>
      <c r="Y58" s="4"/>
      <c r="AA58" s="4"/>
      <c r="AC58" s="4"/>
      <c r="AG58" s="4"/>
    </row>
    <row r="59" spans="1:33" x14ac:dyDescent="0.2">
      <c r="A59" s="4"/>
      <c r="B59" s="4"/>
      <c r="C59" s="4"/>
      <c r="D59" s="4"/>
      <c r="E59" s="4"/>
      <c r="F59" s="4"/>
      <c r="G59" s="4"/>
      <c r="I59" s="4"/>
      <c r="K59" s="4"/>
      <c r="Q59" s="4"/>
      <c r="S59" s="4"/>
      <c r="U59" s="4"/>
      <c r="Y59" s="4"/>
      <c r="AA59" s="4"/>
      <c r="AC59" s="4"/>
      <c r="AG59" s="4"/>
    </row>
    <row r="60" spans="1:33" x14ac:dyDescent="0.2">
      <c r="A60" s="4"/>
      <c r="B60" s="4"/>
      <c r="C60" s="4"/>
      <c r="D60" s="4"/>
      <c r="E60" s="4"/>
      <c r="F60" s="4"/>
      <c r="G60" s="4"/>
      <c r="I60" s="4"/>
      <c r="K60" s="4"/>
      <c r="Q60" s="4"/>
      <c r="S60" s="4"/>
      <c r="U60" s="4"/>
      <c r="Y60" s="4"/>
      <c r="AA60" s="4"/>
      <c r="AC60" s="4"/>
      <c r="AG60" s="4"/>
    </row>
    <row r="61" spans="1:33" x14ac:dyDescent="0.2">
      <c r="A61" s="4"/>
      <c r="B61" s="4"/>
      <c r="C61" s="4"/>
      <c r="D61" s="4"/>
      <c r="E61" s="4"/>
      <c r="F61" s="4"/>
      <c r="G61" s="4"/>
      <c r="I61" s="4"/>
      <c r="K61" s="4"/>
      <c r="Q61" s="4"/>
      <c r="S61" s="4"/>
      <c r="U61" s="4"/>
      <c r="Y61" s="4"/>
      <c r="AA61" s="4"/>
      <c r="AC61" s="4"/>
      <c r="AG61" s="4"/>
    </row>
    <row r="62" spans="1:33" x14ac:dyDescent="0.2">
      <c r="A62" s="4"/>
      <c r="B62" s="4"/>
      <c r="C62" s="4"/>
      <c r="D62" s="4"/>
      <c r="E62" s="4"/>
      <c r="F62" s="4"/>
      <c r="G62" s="4"/>
      <c r="I62" s="4"/>
      <c r="K62" s="4"/>
      <c r="Q62" s="4"/>
      <c r="S62" s="4"/>
      <c r="U62" s="4"/>
      <c r="Y62" s="4"/>
      <c r="AA62" s="4"/>
      <c r="AC62" s="4"/>
      <c r="AG62" s="4"/>
    </row>
    <row r="63" spans="1:33" x14ac:dyDescent="0.2">
      <c r="A63" s="4"/>
      <c r="B63" s="4"/>
      <c r="C63" s="4"/>
      <c r="D63" s="4"/>
      <c r="E63" s="4"/>
      <c r="F63" s="4"/>
      <c r="G63" s="4"/>
      <c r="I63" s="4"/>
      <c r="K63" s="4"/>
      <c r="Q63" s="4"/>
      <c r="S63" s="4"/>
      <c r="U63" s="4"/>
      <c r="Y63" s="4"/>
      <c r="AA63" s="4"/>
      <c r="AC63" s="4"/>
      <c r="AG63" s="4"/>
    </row>
    <row r="64" spans="1:33" x14ac:dyDescent="0.2">
      <c r="A64" s="4"/>
      <c r="B64" s="4"/>
      <c r="C64" s="4"/>
      <c r="D64" s="4"/>
      <c r="E64" s="4"/>
      <c r="F64" s="4"/>
      <c r="G64" s="4"/>
      <c r="I64" s="4"/>
      <c r="K64" s="4"/>
      <c r="Q64" s="4"/>
      <c r="S64" s="4"/>
      <c r="U64" s="4"/>
      <c r="Y64" s="4"/>
      <c r="AA64" s="4"/>
      <c r="AC64" s="4"/>
      <c r="AG64" s="4"/>
    </row>
    <row r="65" spans="1:33" x14ac:dyDescent="0.2">
      <c r="A65" s="4"/>
      <c r="B65" s="4"/>
      <c r="C65" s="4"/>
      <c r="D65" s="4"/>
      <c r="F65" s="4"/>
      <c r="G65" s="33"/>
      <c r="I65" s="33"/>
      <c r="K65" s="33"/>
      <c r="M65" s="33"/>
      <c r="N65" s="33"/>
      <c r="O65" s="33"/>
      <c r="Q65" s="33"/>
      <c r="S65" s="33"/>
      <c r="U65" s="33"/>
      <c r="AA65" s="33"/>
    </row>
    <row r="66" spans="1:33" ht="16.2" x14ac:dyDescent="0.25">
      <c r="A66" s="4"/>
      <c r="B66" s="5" t="s">
        <v>43</v>
      </c>
      <c r="C66" s="4"/>
      <c r="D66" s="34"/>
      <c r="E66" s="34"/>
      <c r="F66" s="4"/>
      <c r="G66" s="34"/>
      <c r="I66" s="34"/>
      <c r="K66" s="34"/>
      <c r="Q66" s="34"/>
      <c r="S66" s="34"/>
      <c r="U66" s="34"/>
      <c r="Y66" s="34"/>
      <c r="AA66" s="34"/>
      <c r="AC66" s="34"/>
      <c r="AG66" s="34"/>
    </row>
    <row r="67" spans="1:33" ht="12.6" x14ac:dyDescent="0.25">
      <c r="A67" s="4"/>
      <c r="B67" s="7" t="s">
        <v>0</v>
      </c>
      <c r="C67" s="4"/>
      <c r="D67" s="4"/>
      <c r="E67" s="4"/>
      <c r="F67" s="4"/>
      <c r="G67" s="4"/>
      <c r="I67" s="4"/>
      <c r="K67" s="4"/>
      <c r="Q67" s="4"/>
      <c r="S67" s="4"/>
      <c r="U67" s="4"/>
      <c r="Y67" s="4"/>
      <c r="AA67" s="4"/>
      <c r="AC67" s="4"/>
      <c r="AG67" s="4"/>
    </row>
    <row r="68" spans="1:33" x14ac:dyDescent="0.2">
      <c r="A68" s="4"/>
      <c r="B68" s="8" t="s">
        <v>1</v>
      </c>
      <c r="C68" s="4"/>
      <c r="D68" s="4"/>
      <c r="E68" s="4"/>
      <c r="F68" s="4"/>
      <c r="G68" s="4"/>
      <c r="I68" s="4"/>
      <c r="K68" s="4"/>
      <c r="Q68" s="4"/>
      <c r="S68" s="4"/>
      <c r="U68" s="4"/>
      <c r="Y68" s="4"/>
      <c r="AA68" s="4"/>
      <c r="AC68" s="4"/>
      <c r="AG68" s="4"/>
    </row>
    <row r="69" spans="1:33" x14ac:dyDescent="0.2">
      <c r="A69" s="4"/>
      <c r="B69" s="18"/>
      <c r="C69" s="4"/>
      <c r="D69" s="4"/>
      <c r="E69" s="4"/>
      <c r="F69" s="4"/>
      <c r="G69" s="4"/>
      <c r="I69" s="4"/>
      <c r="K69" s="4"/>
      <c r="Q69" s="4"/>
      <c r="S69" s="4"/>
      <c r="U69" s="4"/>
      <c r="Y69" s="4"/>
      <c r="AA69" s="4"/>
      <c r="AC69" s="4"/>
      <c r="AG69" s="4"/>
    </row>
    <row r="70" spans="1:33" x14ac:dyDescent="0.2">
      <c r="A70" s="4"/>
      <c r="B70" s="4"/>
      <c r="C70" s="4"/>
      <c r="D70" s="4"/>
      <c r="E70" s="4"/>
      <c r="F70" s="4"/>
      <c r="G70" s="4"/>
      <c r="I70" s="4"/>
      <c r="K70" s="4"/>
      <c r="M70" s="8" t="str">
        <f t="shared" ref="M70:O75" si="1">IF(M5="","",M5)</f>
        <v/>
      </c>
      <c r="N70" s="8"/>
      <c r="O70" s="8" t="str">
        <f t="shared" si="1"/>
        <v/>
      </c>
      <c r="Q70" s="4"/>
      <c r="S70" s="4"/>
      <c r="U70" s="4"/>
      <c r="Y70" s="4"/>
      <c r="AA70" s="4"/>
      <c r="AC70" s="4"/>
      <c r="AF70" s="8"/>
      <c r="AG70" s="4"/>
    </row>
    <row r="71" spans="1:33" x14ac:dyDescent="0.2">
      <c r="A71" s="4"/>
      <c r="B71" s="4"/>
      <c r="C71" s="4"/>
      <c r="D71" s="4"/>
      <c r="E71" s="4"/>
      <c r="F71" s="4"/>
      <c r="G71" s="4"/>
      <c r="I71" s="4"/>
      <c r="K71" s="4"/>
      <c r="M71" s="8" t="str">
        <f t="shared" si="1"/>
        <v/>
      </c>
      <c r="N71" s="8"/>
      <c r="O71" s="8" t="str">
        <f t="shared" si="1"/>
        <v/>
      </c>
      <c r="Q71" s="4"/>
      <c r="S71" s="4"/>
      <c r="U71" s="4"/>
      <c r="W71" s="8" t="str">
        <f>IF(W6="","",W6)</f>
        <v/>
      </c>
      <c r="Y71" s="8" t="str">
        <f>IF(Y6="","",Y6)</f>
        <v/>
      </c>
      <c r="AA71" s="4"/>
      <c r="AC71" s="4"/>
      <c r="AF71" s="8"/>
      <c r="AG71" s="4"/>
    </row>
    <row r="72" spans="1:33" x14ac:dyDescent="0.2">
      <c r="A72" s="4"/>
      <c r="B72" s="4"/>
      <c r="C72" s="4"/>
      <c r="D72" s="4"/>
      <c r="E72" s="4"/>
      <c r="F72" s="4"/>
      <c r="G72" s="8"/>
      <c r="I72" s="8" t="s">
        <v>29</v>
      </c>
      <c r="K72" s="8" t="str">
        <f>IF(K7="","",K7)</f>
        <v/>
      </c>
      <c r="M72" s="8" t="str">
        <f t="shared" si="1"/>
        <v/>
      </c>
      <c r="N72" s="8"/>
      <c r="O72" s="8" t="str">
        <f t="shared" si="1"/>
        <v/>
      </c>
      <c r="Q72" s="8" t="str">
        <f>IF(Q7="","",Q7)</f>
        <v/>
      </c>
      <c r="S72" s="8" t="str">
        <f>IF(S7="","",S7)</f>
        <v/>
      </c>
      <c r="U72" s="4"/>
      <c r="W72" s="8" t="str">
        <f>IF(W7="","",W7)</f>
        <v/>
      </c>
      <c r="Y72" s="8" t="str">
        <f>IF(Y7="","",Y7)</f>
        <v/>
      </c>
      <c r="AA72" s="8" t="str">
        <f>IF(AA7="","",AA7)</f>
        <v/>
      </c>
      <c r="AC72" s="8" t="str">
        <f>IF(AC7="","",AC7)</f>
        <v/>
      </c>
      <c r="AF72" s="8" t="str">
        <f t="shared" ref="AF72:AG75" si="2">IF(AF7="","",AF7)</f>
        <v/>
      </c>
      <c r="AG72" s="8" t="str">
        <f t="shared" si="2"/>
        <v/>
      </c>
    </row>
    <row r="73" spans="1:33" x14ac:dyDescent="0.2">
      <c r="A73" s="4"/>
      <c r="B73" s="4"/>
      <c r="C73" s="4"/>
      <c r="D73" s="8"/>
      <c r="E73" s="8" t="str">
        <f>E8</f>
        <v xml:space="preserve">Air Pollution </v>
      </c>
      <c r="F73" s="4"/>
      <c r="G73" s="8" t="str">
        <f>IF(G8="","",G8)</f>
        <v>Air Pollution</v>
      </c>
      <c r="I73" s="8" t="str">
        <f>IF(I8="","",I8)</f>
        <v>Air Pollution</v>
      </c>
      <c r="K73" s="8" t="str">
        <f>IF(K8="","",K8)</f>
        <v>Air Pollution</v>
      </c>
      <c r="M73" s="8" t="str">
        <f t="shared" si="1"/>
        <v>Air Pollution</v>
      </c>
      <c r="N73" s="8"/>
      <c r="O73" s="8" t="str">
        <f t="shared" si="1"/>
        <v>Air Pollution</v>
      </c>
      <c r="Q73" s="8" t="str">
        <f>IF(Q8="","",Q8)</f>
        <v>Air Pollution</v>
      </c>
      <c r="S73" s="8" t="str">
        <f>IF(S8="","",S8)</f>
        <v>Air Pollution</v>
      </c>
      <c r="U73" s="8" t="str">
        <f>IF(U8="","",U8)</f>
        <v>Air Pollution</v>
      </c>
      <c r="W73" s="8" t="str">
        <f>IF(W8="","",W8)</f>
        <v>Air Pollution</v>
      </c>
      <c r="Y73" s="8" t="str">
        <f>IF(Y8="","",Y8)</f>
        <v>Air Pollution</v>
      </c>
      <c r="AA73" s="8" t="str">
        <f>IF(AA8="","",AA8)</f>
        <v>Air Pollution</v>
      </c>
      <c r="AC73" s="8" t="str">
        <f>IF(AC8="","",AC8)</f>
        <v>Air Pollution</v>
      </c>
      <c r="AF73" s="8" t="str">
        <f t="shared" si="2"/>
        <v>Water Pollution</v>
      </c>
      <c r="AG73" s="8" t="str">
        <f t="shared" si="2"/>
        <v>Air Pollution</v>
      </c>
    </row>
    <row r="74" spans="1:33" ht="10.8" thickBot="1" x14ac:dyDescent="0.25">
      <c r="A74" s="4"/>
      <c r="B74" s="4"/>
      <c r="C74" s="4"/>
      <c r="D74" s="8"/>
      <c r="E74" s="14">
        <f>E9</f>
        <v>2001</v>
      </c>
      <c r="F74" s="35"/>
      <c r="G74" s="14">
        <f>IF(G9="","",G9)</f>
        <v>2002</v>
      </c>
      <c r="H74" s="15"/>
      <c r="I74" s="14">
        <f>IF(I9="","",I9)</f>
        <v>2003</v>
      </c>
      <c r="K74" s="14">
        <f>IF(K9="","",K9)</f>
        <v>2004</v>
      </c>
      <c r="M74" s="14">
        <f t="shared" si="1"/>
        <v>2005</v>
      </c>
      <c r="N74" s="14"/>
      <c r="O74" s="14">
        <f t="shared" si="1"/>
        <v>2006</v>
      </c>
      <c r="P74" s="15"/>
      <c r="Q74" s="14">
        <f>IF(Q9="","",Q9)</f>
        <v>2007</v>
      </c>
      <c r="R74" s="15"/>
      <c r="S74" s="14">
        <f>IF(S9="","",S9)</f>
        <v>2008</v>
      </c>
      <c r="T74" s="15"/>
      <c r="U74" s="14">
        <f>IF(U9="","",U9)</f>
        <v>2009</v>
      </c>
      <c r="V74" s="15"/>
      <c r="W74" s="14">
        <f>IF(W9="","",W9)</f>
        <v>2010</v>
      </c>
      <c r="X74" s="15"/>
      <c r="Y74" s="14">
        <f>IF(Y9="","",Y9)</f>
        <v>2011</v>
      </c>
      <c r="Z74" s="15"/>
      <c r="AA74" s="14">
        <f>IF(AA9="","",AA9)</f>
        <v>2012</v>
      </c>
      <c r="AB74" s="15"/>
      <c r="AC74" s="14">
        <f>IF(AC9="","",AC9)</f>
        <v>2013</v>
      </c>
      <c r="AD74" s="15"/>
      <c r="AE74" s="15"/>
      <c r="AF74" s="14">
        <f t="shared" si="2"/>
        <v>2013</v>
      </c>
      <c r="AG74" s="14">
        <f t="shared" si="2"/>
        <v>2014</v>
      </c>
    </row>
    <row r="75" spans="1:33" ht="13.8" thickTop="1" thickBot="1" x14ac:dyDescent="0.3">
      <c r="A75" s="4"/>
      <c r="B75" s="36" t="s">
        <v>13</v>
      </c>
      <c r="C75" s="37"/>
      <c r="D75" s="8"/>
      <c r="E75" s="8" t="str">
        <f>E10</f>
        <v>Non-FGD</v>
      </c>
      <c r="F75" s="4"/>
      <c r="G75" s="8" t="str">
        <f>IF(G10="","",G10)</f>
        <v>Non-FGD</v>
      </c>
      <c r="I75" s="8" t="str">
        <f>IF(I10="","",I10)</f>
        <v>Non-FGD</v>
      </c>
      <c r="K75" s="8" t="str">
        <f>IF(K10="","",K10)</f>
        <v>Non-FGD</v>
      </c>
      <c r="M75" s="8" t="str">
        <f t="shared" si="1"/>
        <v>Non-FGD</v>
      </c>
      <c r="N75" s="8"/>
      <c r="O75" s="8" t="str">
        <f t="shared" si="1"/>
        <v>Non-FGD</v>
      </c>
      <c r="Q75" s="8" t="str">
        <f>IF(Q10="","",Q10)</f>
        <v>Non-FGD</v>
      </c>
      <c r="S75" s="8" t="str">
        <f>IF(S10="","",S10)</f>
        <v>Non-FGD</v>
      </c>
      <c r="U75" s="8" t="str">
        <f>IF(U10="","",U10)</f>
        <v>Non-FGD</v>
      </c>
      <c r="W75" s="8" t="str">
        <f>IF(W10="","",W10)</f>
        <v>Non-FGD</v>
      </c>
      <c r="Y75" s="8" t="str">
        <f>IF(Y10="","",Y10)</f>
        <v>Non-FGD</v>
      </c>
      <c r="AA75" s="8" t="str">
        <f>IF(AA10="","",AA10)</f>
        <v>Non-FGD</v>
      </c>
      <c r="AC75" s="8" t="str">
        <f>IF(AC10="","",AC10)</f>
        <v>Non-FGD</v>
      </c>
      <c r="AF75" s="8" t="str">
        <f t="shared" si="2"/>
        <v>FGD</v>
      </c>
      <c r="AG75" s="8" t="str">
        <f t="shared" si="2"/>
        <v>Non-FGD</v>
      </c>
    </row>
    <row r="76" spans="1:33" ht="10.8" thickTop="1" x14ac:dyDescent="0.2">
      <c r="A76" s="4"/>
      <c r="B76" s="38"/>
      <c r="C76" s="4"/>
      <c r="D76" s="4"/>
      <c r="E76" s="17" t="s">
        <v>3</v>
      </c>
      <c r="F76" s="4"/>
      <c r="G76" s="17" t="s">
        <v>3</v>
      </c>
      <c r="I76" s="17" t="s">
        <v>3</v>
      </c>
      <c r="K76" s="17" t="s">
        <v>3</v>
      </c>
      <c r="M76" s="17" t="s">
        <v>3</v>
      </c>
      <c r="N76" s="17"/>
      <c r="O76" s="17" t="s">
        <v>3</v>
      </c>
      <c r="Q76" s="17" t="s">
        <v>3</v>
      </c>
      <c r="S76" s="17" t="s">
        <v>3</v>
      </c>
      <c r="U76" s="17" t="s">
        <v>3</v>
      </c>
      <c r="W76" s="17" t="s">
        <v>3</v>
      </c>
      <c r="Y76" s="17" t="s">
        <v>3</v>
      </c>
      <c r="AA76" s="17" t="s">
        <v>3</v>
      </c>
      <c r="AC76" s="17" t="s">
        <v>3</v>
      </c>
      <c r="AF76" s="17" t="s">
        <v>3</v>
      </c>
      <c r="AG76" s="17" t="s">
        <v>3</v>
      </c>
    </row>
    <row r="77" spans="1:33" x14ac:dyDescent="0.2">
      <c r="A77" s="4"/>
      <c r="B77" s="18" t="s">
        <v>4</v>
      </c>
      <c r="C77" s="4"/>
      <c r="D77" s="19"/>
      <c r="E77" s="39">
        <f>IF(E12="","",E12)</f>
        <v>37072</v>
      </c>
      <c r="F77" s="4"/>
      <c r="G77" s="39">
        <f>IF(G12="","",G12)</f>
        <v>37437</v>
      </c>
      <c r="I77" s="39">
        <f>IF(I12="","",I12)</f>
        <v>37802</v>
      </c>
      <c r="K77" s="39">
        <f>IF(K12="","",K12)</f>
        <v>38168</v>
      </c>
      <c r="M77" s="39">
        <f>IF(M12="","",M12)</f>
        <v>38533</v>
      </c>
      <c r="N77" s="39"/>
      <c r="O77" s="39">
        <f>IF(O12="","",O12)</f>
        <v>38898</v>
      </c>
      <c r="Q77" s="39">
        <f>IF(Q12="","",Q12)</f>
        <v>39263</v>
      </c>
      <c r="S77" s="39">
        <f>IF(S12="","",S12)</f>
        <v>39629</v>
      </c>
      <c r="U77" s="39">
        <f>IF(U12="","",U12)</f>
        <v>39994</v>
      </c>
      <c r="W77" s="39">
        <f>IF(W12="","",W12)</f>
        <v>40359</v>
      </c>
      <c r="Y77" s="39">
        <f>IF(Y12="","",Y12)</f>
        <v>40724</v>
      </c>
      <c r="AA77" s="39">
        <f>IF(AA12="","",AA12)</f>
        <v>41090</v>
      </c>
      <c r="AC77" s="39">
        <f>IF(AC12="","",AC12)</f>
        <v>41455</v>
      </c>
      <c r="AF77" s="39">
        <f>IF(AF12="","",AF12)</f>
        <v>41455</v>
      </c>
      <c r="AG77" s="39">
        <f>IF(AG12="","",AG12)</f>
        <v>41820</v>
      </c>
    </row>
    <row r="78" spans="1:33" x14ac:dyDescent="0.2">
      <c r="A78" s="4"/>
      <c r="B78" s="18" t="s">
        <v>14</v>
      </c>
      <c r="C78" s="4"/>
      <c r="D78" s="40"/>
      <c r="E78" s="41" t="s">
        <v>15</v>
      </c>
      <c r="F78" s="4"/>
      <c r="G78" s="41" t="s">
        <v>15</v>
      </c>
      <c r="I78" s="41" t="s">
        <v>15</v>
      </c>
      <c r="K78" s="41" t="s">
        <v>15</v>
      </c>
      <c r="M78" s="41" t="s">
        <v>15</v>
      </c>
      <c r="N78" s="41"/>
      <c r="O78" s="41" t="s">
        <v>15</v>
      </c>
      <c r="Q78" s="41" t="s">
        <v>15</v>
      </c>
      <c r="S78" s="41" t="s">
        <v>15</v>
      </c>
      <c r="U78" s="41" t="s">
        <v>15</v>
      </c>
      <c r="W78" s="41" t="s">
        <v>15</v>
      </c>
      <c r="Y78" s="41" t="s">
        <v>15</v>
      </c>
      <c r="AA78" s="41" t="s">
        <v>15</v>
      </c>
      <c r="AC78" s="41" t="s">
        <v>15</v>
      </c>
      <c r="AF78" s="41" t="s">
        <v>15</v>
      </c>
      <c r="AG78" s="41" t="s">
        <v>15</v>
      </c>
    </row>
    <row r="79" spans="1:33" x14ac:dyDescent="0.2">
      <c r="A79" s="4"/>
      <c r="B79" s="18" t="s">
        <v>16</v>
      </c>
      <c r="C79" s="4"/>
      <c r="D79" s="40"/>
      <c r="E79" s="41" t="s">
        <v>17</v>
      </c>
      <c r="F79" s="4"/>
      <c r="G79" s="41" t="s">
        <v>17</v>
      </c>
      <c r="I79" s="41" t="s">
        <v>17</v>
      </c>
      <c r="K79" s="41" t="s">
        <v>17</v>
      </c>
      <c r="M79" s="41" t="s">
        <v>17</v>
      </c>
      <c r="N79" s="41"/>
      <c r="O79" s="41" t="s">
        <v>17</v>
      </c>
      <c r="Q79" s="41" t="s">
        <v>17</v>
      </c>
      <c r="S79" s="41" t="s">
        <v>17</v>
      </c>
      <c r="U79" s="41" t="s">
        <v>17</v>
      </c>
      <c r="W79" s="41" t="s">
        <v>17</v>
      </c>
      <c r="Y79" s="41" t="s">
        <v>17</v>
      </c>
      <c r="AA79" s="41" t="s">
        <v>17</v>
      </c>
      <c r="AC79" s="41" t="s">
        <v>17</v>
      </c>
      <c r="AF79" s="41" t="s">
        <v>17</v>
      </c>
      <c r="AG79" s="41" t="s">
        <v>17</v>
      </c>
    </row>
    <row r="80" spans="1:33" x14ac:dyDescent="0.2">
      <c r="A80" s="4"/>
      <c r="B80" s="4"/>
      <c r="C80" s="4"/>
      <c r="D80" s="4"/>
      <c r="E80" s="4"/>
      <c r="F80" s="4"/>
      <c r="G80" s="4"/>
      <c r="I80" s="4"/>
      <c r="K80" s="4"/>
      <c r="M80" s="4"/>
      <c r="N80" s="4"/>
      <c r="O80" s="4"/>
      <c r="Q80" s="4"/>
      <c r="S80" s="4"/>
      <c r="U80" s="4"/>
      <c r="W80" s="4"/>
      <c r="Y80" s="4"/>
      <c r="AA80" s="4"/>
      <c r="AC80" s="4"/>
      <c r="AF80" s="4"/>
      <c r="AG80" s="4"/>
    </row>
    <row r="81" spans="1:33" x14ac:dyDescent="0.2">
      <c r="A81" s="4"/>
      <c r="B81" s="4"/>
      <c r="C81" s="4"/>
      <c r="D81" s="4"/>
      <c r="E81" s="4"/>
      <c r="F81" s="4"/>
      <c r="G81" s="4"/>
      <c r="I81" s="4"/>
      <c r="K81" s="4"/>
      <c r="M81" s="4"/>
      <c r="N81" s="4"/>
      <c r="O81" s="4"/>
      <c r="Q81" s="4"/>
      <c r="S81" s="4"/>
      <c r="U81" s="4"/>
      <c r="W81" s="4"/>
      <c r="Y81" s="4"/>
      <c r="AA81" s="4"/>
      <c r="AC81" s="4"/>
      <c r="AF81" s="4"/>
      <c r="AG81" s="4"/>
    </row>
    <row r="82" spans="1:33" ht="13.2" x14ac:dyDescent="0.25">
      <c r="A82" s="4"/>
      <c r="B82" s="42">
        <v>2000</v>
      </c>
      <c r="F82" s="4"/>
      <c r="X82" s="4"/>
    </row>
    <row r="83" spans="1:33" x14ac:dyDescent="0.2">
      <c r="A83" s="4"/>
      <c r="B83" s="18" t="s">
        <v>9</v>
      </c>
      <c r="C83" s="4"/>
      <c r="D83" s="4"/>
      <c r="E83" s="4">
        <v>0</v>
      </c>
      <c r="F83" s="4"/>
      <c r="G83" s="4">
        <v>0</v>
      </c>
      <c r="I83" s="4">
        <v>0</v>
      </c>
      <c r="K83" s="4">
        <v>0</v>
      </c>
      <c r="M83" s="4">
        <v>0</v>
      </c>
      <c r="N83" s="4"/>
      <c r="O83" s="4">
        <v>0</v>
      </c>
      <c r="Q83" s="4">
        <v>0</v>
      </c>
      <c r="S83" s="4">
        <v>0</v>
      </c>
      <c r="U83" s="4">
        <v>0</v>
      </c>
      <c r="W83" s="4">
        <v>0</v>
      </c>
      <c r="X83" s="4"/>
      <c r="Y83" s="4">
        <v>0</v>
      </c>
      <c r="AA83" s="4">
        <v>0</v>
      </c>
      <c r="AC83" s="4">
        <v>0</v>
      </c>
      <c r="AF83" s="4">
        <v>0</v>
      </c>
      <c r="AG83" s="4">
        <v>0</v>
      </c>
    </row>
    <row r="84" spans="1:33" x14ac:dyDescent="0.2">
      <c r="A84" s="4"/>
      <c r="B84" s="18" t="s">
        <v>18</v>
      </c>
      <c r="C84" s="4"/>
      <c r="D84" s="34"/>
      <c r="E84" s="34">
        <v>0</v>
      </c>
      <c r="F84" s="4"/>
      <c r="G84" s="34">
        <v>0</v>
      </c>
      <c r="I84" s="34">
        <v>0</v>
      </c>
      <c r="K84" s="34">
        <v>0</v>
      </c>
      <c r="M84" s="34">
        <v>0</v>
      </c>
      <c r="N84" s="34"/>
      <c r="O84" s="34">
        <v>0</v>
      </c>
      <c r="Q84" s="34">
        <v>0</v>
      </c>
      <c r="S84" s="34">
        <v>0</v>
      </c>
      <c r="U84" s="34">
        <v>0</v>
      </c>
      <c r="W84" s="34">
        <v>0</v>
      </c>
      <c r="X84" s="4"/>
      <c r="Y84" s="34">
        <v>0</v>
      </c>
      <c r="AA84" s="34">
        <v>0</v>
      </c>
      <c r="AC84" s="34">
        <v>0</v>
      </c>
      <c r="AF84" s="34">
        <v>0</v>
      </c>
      <c r="AG84" s="34">
        <v>0</v>
      </c>
    </row>
    <row r="85" spans="1:33" x14ac:dyDescent="0.2">
      <c r="A85" s="4"/>
      <c r="B85" s="4"/>
      <c r="C85" s="4"/>
      <c r="D85" s="4"/>
      <c r="E85" s="17" t="s">
        <v>3</v>
      </c>
      <c r="F85" s="4"/>
      <c r="G85" s="17" t="s">
        <v>3</v>
      </c>
      <c r="I85" s="17" t="s">
        <v>3</v>
      </c>
      <c r="K85" s="17" t="s">
        <v>3</v>
      </c>
      <c r="M85" s="17" t="s">
        <v>3</v>
      </c>
      <c r="N85" s="17"/>
      <c r="O85" s="17" t="s">
        <v>3</v>
      </c>
      <c r="Q85" s="17" t="s">
        <v>3</v>
      </c>
      <c r="S85" s="17" t="s">
        <v>3</v>
      </c>
      <c r="U85" s="17" t="s">
        <v>3</v>
      </c>
      <c r="W85" s="17" t="s">
        <v>3</v>
      </c>
      <c r="X85" s="4"/>
      <c r="Y85" s="17" t="s">
        <v>3</v>
      </c>
      <c r="AA85" s="17" t="s">
        <v>3</v>
      </c>
      <c r="AC85" s="17" t="s">
        <v>3</v>
      </c>
      <c r="AF85" s="17" t="s">
        <v>3</v>
      </c>
      <c r="AG85" s="17" t="s">
        <v>3</v>
      </c>
    </row>
    <row r="86" spans="1:33" x14ac:dyDescent="0.2">
      <c r="A86" s="4"/>
      <c r="B86" s="18" t="s">
        <v>19</v>
      </c>
      <c r="C86" s="4"/>
      <c r="D86" s="4"/>
      <c r="E86" s="4">
        <f>ROUND(E83*E84,0)</f>
        <v>0</v>
      </c>
      <c r="F86" s="4"/>
      <c r="G86" s="4">
        <f>ROUND(G83*G84,0)</f>
        <v>0</v>
      </c>
      <c r="I86" s="4">
        <f>ROUND(I83*I84,0)</f>
        <v>0</v>
      </c>
      <c r="K86" s="4">
        <f>ROUND(K83*K84,0)</f>
        <v>0</v>
      </c>
      <c r="M86" s="4">
        <f>ROUND(M83*M84,0)</f>
        <v>0</v>
      </c>
      <c r="N86" s="4"/>
      <c r="O86" s="4">
        <f>ROUND(O83*O84,0)</f>
        <v>0</v>
      </c>
      <c r="Q86" s="4">
        <f>ROUND(Q83*Q84,0)</f>
        <v>0</v>
      </c>
      <c r="S86" s="4">
        <f>ROUND(S83*S84,0)</f>
        <v>0</v>
      </c>
      <c r="U86" s="4">
        <f>ROUND(U83*U84,0)</f>
        <v>0</v>
      </c>
      <c r="W86" s="4">
        <f>ROUND(W83*W84,0)</f>
        <v>0</v>
      </c>
      <c r="X86" s="4"/>
      <c r="Y86" s="4">
        <f>ROUND(Y83*Y84,0)</f>
        <v>0</v>
      </c>
      <c r="AA86" s="4">
        <f>ROUND(AA83*AA84,0)</f>
        <v>0</v>
      </c>
      <c r="AC86" s="4">
        <f>ROUND(AC83*AC84,0)</f>
        <v>0</v>
      </c>
      <c r="AF86" s="4">
        <f>ROUND(AF83*AF84,0)</f>
        <v>0</v>
      </c>
      <c r="AG86" s="4">
        <f>ROUND(AG83*AG84,0)</f>
        <v>0</v>
      </c>
    </row>
    <row r="87" spans="1:33" x14ac:dyDescent="0.2">
      <c r="A87" s="4"/>
      <c r="B87" s="4"/>
      <c r="C87" s="4"/>
      <c r="D87" s="4"/>
      <c r="E87" s="17" t="s">
        <v>8</v>
      </c>
      <c r="F87" s="4"/>
      <c r="G87" s="17" t="s">
        <v>8</v>
      </c>
      <c r="I87" s="17" t="s">
        <v>8</v>
      </c>
      <c r="K87" s="17" t="s">
        <v>8</v>
      </c>
      <c r="M87" s="17" t="s">
        <v>8</v>
      </c>
      <c r="N87" s="17"/>
      <c r="O87" s="17" t="s">
        <v>8</v>
      </c>
      <c r="Q87" s="17" t="s">
        <v>8</v>
      </c>
      <c r="S87" s="17" t="s">
        <v>8</v>
      </c>
      <c r="U87" s="17" t="s">
        <v>8</v>
      </c>
      <c r="W87" s="17" t="s">
        <v>8</v>
      </c>
      <c r="X87" s="4"/>
      <c r="Y87" s="17" t="s">
        <v>8</v>
      </c>
      <c r="AA87" s="17" t="s">
        <v>8</v>
      </c>
      <c r="AC87" s="17" t="s">
        <v>8</v>
      </c>
      <c r="AF87" s="17" t="s">
        <v>8</v>
      </c>
      <c r="AG87" s="17" t="s">
        <v>8</v>
      </c>
    </row>
    <row r="88" spans="1:33" x14ac:dyDescent="0.2">
      <c r="A88" s="4"/>
      <c r="F88" s="4"/>
      <c r="X88" s="4"/>
    </row>
    <row r="89" spans="1:33" ht="13.2" x14ac:dyDescent="0.25">
      <c r="A89" s="4"/>
      <c r="B89" s="42">
        <v>2001</v>
      </c>
      <c r="F89" s="4"/>
      <c r="X89" s="4"/>
    </row>
    <row r="90" spans="1:33" x14ac:dyDescent="0.2">
      <c r="A90" s="4"/>
      <c r="B90" s="18" t="s">
        <v>9</v>
      </c>
      <c r="C90" s="4"/>
      <c r="D90" s="4"/>
      <c r="E90" s="4">
        <f>E15</f>
        <v>639077</v>
      </c>
      <c r="F90" s="4"/>
      <c r="G90" s="4">
        <v>0</v>
      </c>
      <c r="I90" s="4">
        <v>0</v>
      </c>
      <c r="K90" s="4">
        <v>0</v>
      </c>
      <c r="M90" s="4">
        <v>0</v>
      </c>
      <c r="N90" s="4"/>
      <c r="O90" s="4">
        <v>0</v>
      </c>
      <c r="Q90" s="4">
        <v>0</v>
      </c>
      <c r="S90" s="4">
        <v>0</v>
      </c>
      <c r="U90" s="4">
        <v>0</v>
      </c>
      <c r="W90" s="4">
        <v>0</v>
      </c>
      <c r="X90" s="4"/>
      <c r="Y90" s="4">
        <v>0</v>
      </c>
      <c r="AA90" s="4">
        <v>0</v>
      </c>
      <c r="AC90" s="4">
        <v>0</v>
      </c>
      <c r="AF90" s="4">
        <v>0</v>
      </c>
      <c r="AG90" s="4">
        <v>0</v>
      </c>
    </row>
    <row r="91" spans="1:33" x14ac:dyDescent="0.2">
      <c r="A91" s="4"/>
      <c r="B91" s="18" t="s">
        <v>18</v>
      </c>
      <c r="C91" s="4"/>
      <c r="D91" s="34"/>
      <c r="E91" s="34">
        <v>3.7499999999999999E-2</v>
      </c>
      <c r="F91" s="4"/>
      <c r="G91" s="34">
        <v>0</v>
      </c>
      <c r="I91" s="34">
        <v>0</v>
      </c>
      <c r="K91" s="34">
        <v>0</v>
      </c>
      <c r="M91" s="34">
        <v>0</v>
      </c>
      <c r="N91" s="34"/>
      <c r="O91" s="34">
        <v>0</v>
      </c>
      <c r="Q91" s="34">
        <v>0</v>
      </c>
      <c r="S91" s="34">
        <v>0</v>
      </c>
      <c r="U91" s="34">
        <v>0</v>
      </c>
      <c r="W91" s="34">
        <v>0</v>
      </c>
      <c r="X91" s="4"/>
      <c r="Y91" s="34">
        <v>0</v>
      </c>
      <c r="AA91" s="34">
        <v>0</v>
      </c>
      <c r="AC91" s="34">
        <v>0</v>
      </c>
      <c r="AF91" s="34">
        <v>0</v>
      </c>
      <c r="AG91" s="34">
        <v>0</v>
      </c>
    </row>
    <row r="92" spans="1:33" x14ac:dyDescent="0.2">
      <c r="A92" s="4"/>
      <c r="B92" s="4"/>
      <c r="C92" s="4"/>
      <c r="D92" s="4"/>
      <c r="E92" s="17" t="s">
        <v>3</v>
      </c>
      <c r="F92" s="4"/>
      <c r="G92" s="17" t="s">
        <v>3</v>
      </c>
      <c r="I92" s="17" t="s">
        <v>3</v>
      </c>
      <c r="K92" s="17" t="s">
        <v>3</v>
      </c>
      <c r="M92" s="17" t="s">
        <v>3</v>
      </c>
      <c r="N92" s="17"/>
      <c r="O92" s="17" t="s">
        <v>3</v>
      </c>
      <c r="Q92" s="17" t="s">
        <v>3</v>
      </c>
      <c r="S92" s="17" t="s">
        <v>3</v>
      </c>
      <c r="U92" s="17" t="s">
        <v>3</v>
      </c>
      <c r="W92" s="17" t="s">
        <v>3</v>
      </c>
      <c r="X92" s="4"/>
      <c r="Y92" s="17" t="s">
        <v>3</v>
      </c>
      <c r="AA92" s="17" t="s">
        <v>3</v>
      </c>
      <c r="AC92" s="17" t="s">
        <v>3</v>
      </c>
      <c r="AF92" s="17" t="s">
        <v>3</v>
      </c>
      <c r="AG92" s="17" t="s">
        <v>3</v>
      </c>
    </row>
    <row r="93" spans="1:33" x14ac:dyDescent="0.2">
      <c r="A93" s="4"/>
      <c r="B93" s="18" t="s">
        <v>20</v>
      </c>
      <c r="C93" s="4"/>
      <c r="D93" s="4"/>
      <c r="E93" s="4">
        <f>+(E90-E94)*E91</f>
        <v>23965.387500000001</v>
      </c>
      <c r="F93" s="4"/>
      <c r="G93" s="4">
        <f>ROUND(G90*G91,0)</f>
        <v>0</v>
      </c>
      <c r="I93" s="4">
        <f>ROUND(I90*I91,0)</f>
        <v>0</v>
      </c>
      <c r="K93" s="4">
        <f>ROUND(K90*K91,0)</f>
        <v>0</v>
      </c>
      <c r="M93" s="4">
        <f>ROUND(M90*M91,0)</f>
        <v>0</v>
      </c>
      <c r="N93" s="4"/>
      <c r="O93" s="4">
        <f>ROUND(O90*O91,0)</f>
        <v>0</v>
      </c>
      <c r="Q93" s="4">
        <f>ROUND(Q90*Q91,0)</f>
        <v>0</v>
      </c>
      <c r="S93" s="4">
        <f>ROUND(S90*S91,0)</f>
        <v>0</v>
      </c>
      <c r="U93" s="4">
        <f>ROUND(U90*U91,0)</f>
        <v>0</v>
      </c>
      <c r="W93" s="4">
        <f>ROUND(W90*W91,0)</f>
        <v>0</v>
      </c>
      <c r="X93" s="4"/>
      <c r="Y93" s="4">
        <f>ROUND(Y90*Y91,0)</f>
        <v>0</v>
      </c>
      <c r="AA93" s="4">
        <f>ROUND(AA90*AA91,0)</f>
        <v>0</v>
      </c>
      <c r="AC93" s="4">
        <f>ROUND(AC90*AC91,0)</f>
        <v>0</v>
      </c>
      <c r="AF93" s="4">
        <f>ROUND(AF90*AF91,0)</f>
        <v>0</v>
      </c>
      <c r="AG93" s="4">
        <f>ROUND(AG90*AG91,0)</f>
        <v>0</v>
      </c>
    </row>
    <row r="94" spans="1:33" x14ac:dyDescent="0.2">
      <c r="A94" s="4"/>
      <c r="B94" s="18" t="s">
        <v>27</v>
      </c>
      <c r="C94" s="4"/>
      <c r="D94" s="4"/>
      <c r="E94" s="43">
        <v>0</v>
      </c>
      <c r="F94" s="4"/>
      <c r="G94" s="4">
        <f>+G90*0.3</f>
        <v>0</v>
      </c>
      <c r="I94" s="4">
        <v>0</v>
      </c>
      <c r="K94" s="4">
        <v>0</v>
      </c>
      <c r="M94" s="4">
        <v>0</v>
      </c>
      <c r="N94" s="4"/>
      <c r="O94" s="4">
        <v>0</v>
      </c>
      <c r="Q94" s="4">
        <v>0</v>
      </c>
      <c r="S94" s="4">
        <v>0</v>
      </c>
      <c r="U94" s="4">
        <v>0</v>
      </c>
      <c r="W94" s="4">
        <v>0</v>
      </c>
      <c r="X94" s="4"/>
      <c r="Y94" s="4">
        <v>0</v>
      </c>
      <c r="AA94" s="4">
        <v>0</v>
      </c>
      <c r="AC94" s="4">
        <v>0</v>
      </c>
      <c r="AF94" s="4">
        <v>0</v>
      </c>
      <c r="AG94" s="4">
        <v>0</v>
      </c>
    </row>
    <row r="95" spans="1:33" x14ac:dyDescent="0.2">
      <c r="A95" s="4"/>
      <c r="B95" s="18"/>
      <c r="C95" s="4"/>
      <c r="D95" s="4"/>
      <c r="E95" s="17" t="s">
        <v>28</v>
      </c>
      <c r="F95" s="4"/>
      <c r="G95" s="17" t="s">
        <v>28</v>
      </c>
      <c r="I95" s="17" t="s">
        <v>28</v>
      </c>
      <c r="K95" s="17" t="s">
        <v>28</v>
      </c>
      <c r="M95" s="17" t="s">
        <v>28</v>
      </c>
      <c r="N95" s="17"/>
      <c r="O95" s="17" t="s">
        <v>28</v>
      </c>
      <c r="Q95" s="17" t="s">
        <v>28</v>
      </c>
      <c r="S95" s="17" t="s">
        <v>28</v>
      </c>
      <c r="U95" s="17" t="s">
        <v>28</v>
      </c>
      <c r="W95" s="17" t="s">
        <v>28</v>
      </c>
      <c r="X95" s="4"/>
      <c r="Y95" s="17" t="s">
        <v>28</v>
      </c>
      <c r="AA95" s="17" t="s">
        <v>28</v>
      </c>
      <c r="AC95" s="17" t="s">
        <v>28</v>
      </c>
      <c r="AF95" s="17" t="s">
        <v>28</v>
      </c>
      <c r="AG95" s="17" t="s">
        <v>28</v>
      </c>
    </row>
    <row r="96" spans="1:33" x14ac:dyDescent="0.2">
      <c r="A96" s="4"/>
      <c r="B96" s="18" t="s">
        <v>20</v>
      </c>
      <c r="C96" s="4"/>
      <c r="D96" s="4"/>
      <c r="E96" s="4">
        <f>E93+E94</f>
        <v>23965.387500000001</v>
      </c>
      <c r="F96" s="4"/>
      <c r="G96" s="4">
        <f>G93+G94</f>
        <v>0</v>
      </c>
      <c r="I96" s="4">
        <f>I93+I94</f>
        <v>0</v>
      </c>
      <c r="K96" s="4">
        <f>K93+K94</f>
        <v>0</v>
      </c>
      <c r="M96" s="4">
        <f>M93+M94</f>
        <v>0</v>
      </c>
      <c r="N96" s="4"/>
      <c r="O96" s="4">
        <f>O93+O94</f>
        <v>0</v>
      </c>
      <c r="Q96" s="4">
        <f>Q93+Q94</f>
        <v>0</v>
      </c>
      <c r="S96" s="4">
        <f>S93+S94</f>
        <v>0</v>
      </c>
      <c r="U96" s="4">
        <f>U93+U94</f>
        <v>0</v>
      </c>
      <c r="W96" s="4">
        <f>W93+W94</f>
        <v>0</v>
      </c>
      <c r="X96" s="4"/>
      <c r="Y96" s="4">
        <f>Y93+Y94</f>
        <v>0</v>
      </c>
      <c r="AA96" s="4">
        <f>AA93+AA94</f>
        <v>0</v>
      </c>
      <c r="AC96" s="4">
        <f>AC93+AC94</f>
        <v>0</v>
      </c>
      <c r="AF96" s="4">
        <f>AF93+AF94</f>
        <v>0</v>
      </c>
      <c r="AG96" s="4">
        <f>AG93+AG94</f>
        <v>0</v>
      </c>
    </row>
    <row r="97" spans="1:33" x14ac:dyDescent="0.2">
      <c r="A97" s="4"/>
      <c r="B97" s="4"/>
      <c r="C97" s="4"/>
      <c r="D97" s="4"/>
      <c r="E97" s="17" t="s">
        <v>8</v>
      </c>
      <c r="F97" s="4"/>
      <c r="G97" s="17" t="s">
        <v>8</v>
      </c>
      <c r="I97" s="17" t="s">
        <v>8</v>
      </c>
      <c r="K97" s="17" t="s">
        <v>8</v>
      </c>
      <c r="M97" s="17" t="s">
        <v>8</v>
      </c>
      <c r="N97" s="17"/>
      <c r="O97" s="17" t="s">
        <v>8</v>
      </c>
      <c r="Q97" s="17" t="s">
        <v>8</v>
      </c>
      <c r="S97" s="17" t="s">
        <v>8</v>
      </c>
      <c r="U97" s="17" t="s">
        <v>8</v>
      </c>
      <c r="W97" s="17" t="s">
        <v>8</v>
      </c>
      <c r="X97" s="4"/>
      <c r="Y97" s="17" t="s">
        <v>8</v>
      </c>
      <c r="AA97" s="17" t="s">
        <v>8</v>
      </c>
      <c r="AC97" s="17" t="s">
        <v>8</v>
      </c>
      <c r="AF97" s="17" t="s">
        <v>8</v>
      </c>
      <c r="AG97" s="17" t="s">
        <v>8</v>
      </c>
    </row>
    <row r="98" spans="1:33" x14ac:dyDescent="0.2">
      <c r="A98" s="4"/>
      <c r="B98" s="4"/>
      <c r="C98" s="4"/>
      <c r="D98" s="4"/>
      <c r="E98" s="17"/>
      <c r="F98" s="4"/>
      <c r="G98" s="17"/>
      <c r="I98" s="17"/>
      <c r="K98" s="17"/>
      <c r="M98" s="17"/>
      <c r="N98" s="17"/>
      <c r="O98" s="17"/>
      <c r="Q98" s="17"/>
      <c r="S98" s="17"/>
      <c r="U98" s="17"/>
      <c r="W98" s="17"/>
      <c r="X98" s="4"/>
      <c r="Y98" s="17"/>
      <c r="AA98" s="17"/>
      <c r="AC98" s="17"/>
      <c r="AF98" s="17"/>
      <c r="AG98" s="17"/>
    </row>
    <row r="99" spans="1:33" x14ac:dyDescent="0.2">
      <c r="A99" s="4"/>
      <c r="B99" s="44">
        <v>2002</v>
      </c>
      <c r="C99" s="4"/>
      <c r="D99" s="4"/>
      <c r="E99" s="17"/>
      <c r="F99" s="4"/>
      <c r="G99" s="17"/>
      <c r="I99" s="17"/>
      <c r="K99" s="17"/>
      <c r="M99" s="17"/>
      <c r="N99" s="17"/>
      <c r="O99" s="17"/>
      <c r="Q99" s="17"/>
      <c r="S99" s="17"/>
      <c r="U99" s="17"/>
      <c r="W99" s="17"/>
      <c r="X99" s="4"/>
      <c r="Y99" s="17"/>
      <c r="AA99" s="17"/>
      <c r="AC99" s="17"/>
      <c r="AF99" s="17"/>
      <c r="AG99" s="17"/>
    </row>
    <row r="100" spans="1:33" x14ac:dyDescent="0.2">
      <c r="A100" s="4"/>
      <c r="B100" s="18" t="s">
        <v>9</v>
      </c>
      <c r="C100" s="4"/>
      <c r="D100" s="4"/>
      <c r="E100" s="4">
        <f>+E90-E94</f>
        <v>639077</v>
      </c>
      <c r="F100" s="4"/>
      <c r="G100" s="4">
        <f>G26</f>
        <v>3163066.5</v>
      </c>
      <c r="I100" s="4">
        <v>0</v>
      </c>
      <c r="K100" s="4">
        <v>0</v>
      </c>
      <c r="M100" s="4">
        <v>0</v>
      </c>
      <c r="N100" s="4"/>
      <c r="O100" s="4">
        <v>0</v>
      </c>
      <c r="Q100" s="4">
        <v>0</v>
      </c>
      <c r="S100" s="4">
        <v>0</v>
      </c>
      <c r="U100" s="4">
        <v>0</v>
      </c>
      <c r="W100" s="4">
        <v>0</v>
      </c>
      <c r="X100" s="4"/>
      <c r="Y100" s="4">
        <v>0</v>
      </c>
      <c r="AA100" s="4">
        <v>0</v>
      </c>
      <c r="AC100" s="4">
        <v>0</v>
      </c>
      <c r="AF100" s="4">
        <v>0</v>
      </c>
      <c r="AG100" s="4">
        <v>0</v>
      </c>
    </row>
    <row r="101" spans="1:33" x14ac:dyDescent="0.2">
      <c r="A101" s="4"/>
      <c r="B101" s="18" t="s">
        <v>18</v>
      </c>
      <c r="C101" s="4"/>
      <c r="D101" s="34"/>
      <c r="E101" s="34">
        <v>7.2190000000000004E-2</v>
      </c>
      <c r="F101" s="4"/>
      <c r="G101" s="34">
        <v>3.7499999999999999E-2</v>
      </c>
      <c r="I101" s="34">
        <v>0</v>
      </c>
      <c r="K101" s="34">
        <v>0</v>
      </c>
      <c r="M101" s="34">
        <v>0</v>
      </c>
      <c r="N101" s="34"/>
      <c r="O101" s="34">
        <v>0</v>
      </c>
      <c r="Q101" s="34">
        <v>0</v>
      </c>
      <c r="S101" s="34">
        <v>0</v>
      </c>
      <c r="U101" s="34">
        <v>0</v>
      </c>
      <c r="W101" s="34">
        <v>0</v>
      </c>
      <c r="X101" s="4"/>
      <c r="Y101" s="34">
        <v>0</v>
      </c>
      <c r="AA101" s="34">
        <v>0</v>
      </c>
      <c r="AC101" s="34">
        <v>0</v>
      </c>
      <c r="AF101" s="34">
        <v>0</v>
      </c>
      <c r="AG101" s="34">
        <v>0</v>
      </c>
    </row>
    <row r="102" spans="1:33" x14ac:dyDescent="0.2">
      <c r="A102" s="4"/>
      <c r="B102" s="4"/>
      <c r="C102" s="4"/>
      <c r="D102" s="4"/>
      <c r="E102" s="17" t="s">
        <v>3</v>
      </c>
      <c r="F102" s="4"/>
      <c r="G102" s="17" t="s">
        <v>3</v>
      </c>
      <c r="I102" s="17" t="s">
        <v>3</v>
      </c>
      <c r="K102" s="17" t="s">
        <v>3</v>
      </c>
      <c r="M102" s="17" t="s">
        <v>3</v>
      </c>
      <c r="N102" s="17"/>
      <c r="O102" s="17" t="s">
        <v>3</v>
      </c>
      <c r="Q102" s="17" t="s">
        <v>3</v>
      </c>
      <c r="S102" s="17" t="s">
        <v>3</v>
      </c>
      <c r="U102" s="17" t="s">
        <v>3</v>
      </c>
      <c r="W102" s="17" t="s">
        <v>3</v>
      </c>
      <c r="X102" s="4"/>
      <c r="Y102" s="17" t="s">
        <v>3</v>
      </c>
      <c r="AA102" s="17" t="s">
        <v>3</v>
      </c>
      <c r="AC102" s="17" t="s">
        <v>3</v>
      </c>
      <c r="AF102" s="17" t="s">
        <v>3</v>
      </c>
      <c r="AG102" s="17" t="s">
        <v>3</v>
      </c>
    </row>
    <row r="103" spans="1:33" x14ac:dyDescent="0.2">
      <c r="A103" s="4"/>
      <c r="B103" s="18" t="s">
        <v>24</v>
      </c>
      <c r="C103" s="4"/>
      <c r="D103" s="4"/>
      <c r="E103" s="4">
        <f>ROUND(E100*E101,0)</f>
        <v>46135</v>
      </c>
      <c r="F103" s="4"/>
      <c r="G103" s="4">
        <f>+(G100-G104)*G101</f>
        <v>118614.99374999999</v>
      </c>
      <c r="I103" s="4">
        <f>ROUND(I100*I101,0)</f>
        <v>0</v>
      </c>
      <c r="K103" s="4">
        <f>ROUND(K100*K101,0)</f>
        <v>0</v>
      </c>
      <c r="M103" s="4">
        <f>ROUND(M100*M101,0)</f>
        <v>0</v>
      </c>
      <c r="N103" s="4"/>
      <c r="O103" s="4">
        <f>ROUND(O100*O101,0)</f>
        <v>0</v>
      </c>
      <c r="Q103" s="4">
        <f>ROUND(Q100*Q101,0)</f>
        <v>0</v>
      </c>
      <c r="S103" s="4">
        <f>ROUND(S100*S101,0)</f>
        <v>0</v>
      </c>
      <c r="U103" s="4">
        <f>ROUND(U100*U101,0)</f>
        <v>0</v>
      </c>
      <c r="W103" s="4">
        <f>ROUND(W100*W101,0)</f>
        <v>0</v>
      </c>
      <c r="X103" s="4"/>
      <c r="Y103" s="4">
        <f>ROUND(Y100*Y101,0)</f>
        <v>0</v>
      </c>
      <c r="AA103" s="4">
        <f>ROUND(AA100*AA101,0)</f>
        <v>0</v>
      </c>
      <c r="AC103" s="4">
        <f>ROUND(AC100*AC101,0)</f>
        <v>0</v>
      </c>
      <c r="AF103" s="4">
        <f>ROUND(AF100*AF101,0)</f>
        <v>0</v>
      </c>
      <c r="AG103" s="4">
        <f>ROUND(AG100*AG101,0)</f>
        <v>0</v>
      </c>
    </row>
    <row r="104" spans="1:33" x14ac:dyDescent="0.2">
      <c r="A104" s="4"/>
      <c r="B104" s="18" t="s">
        <v>27</v>
      </c>
      <c r="C104" s="4"/>
      <c r="D104" s="4"/>
      <c r="E104" s="4">
        <v>0</v>
      </c>
      <c r="F104" s="4"/>
      <c r="G104" s="43">
        <v>0</v>
      </c>
      <c r="I104" s="4">
        <v>0</v>
      </c>
      <c r="K104" s="4">
        <f>-K24</f>
        <v>0</v>
      </c>
      <c r="M104" s="4">
        <f>-M24</f>
        <v>0</v>
      </c>
      <c r="N104" s="4"/>
      <c r="O104" s="4">
        <f>-O24</f>
        <v>0</v>
      </c>
      <c r="Q104" s="4">
        <f>-Q24</f>
        <v>0</v>
      </c>
      <c r="S104" s="4">
        <v>0</v>
      </c>
      <c r="U104" s="4">
        <f>-U24</f>
        <v>0</v>
      </c>
      <c r="W104" s="4">
        <f>-W24</f>
        <v>0</v>
      </c>
      <c r="X104" s="4"/>
      <c r="Y104" s="4">
        <v>0</v>
      </c>
      <c r="AA104" s="4">
        <v>0</v>
      </c>
      <c r="AC104" s="4">
        <f>-AC24</f>
        <v>0</v>
      </c>
      <c r="AF104" s="4">
        <f>-AF24</f>
        <v>0</v>
      </c>
      <c r="AG104" s="4">
        <f>-AG24</f>
        <v>0</v>
      </c>
    </row>
    <row r="105" spans="1:33" x14ac:dyDescent="0.2">
      <c r="A105" s="4"/>
      <c r="B105" s="18"/>
      <c r="C105" s="4"/>
      <c r="D105" s="4"/>
      <c r="E105" s="17" t="s">
        <v>28</v>
      </c>
      <c r="F105" s="4"/>
      <c r="G105" s="17" t="s">
        <v>28</v>
      </c>
      <c r="I105" s="17" t="s">
        <v>28</v>
      </c>
      <c r="K105" s="17" t="s">
        <v>28</v>
      </c>
      <c r="M105" s="17" t="s">
        <v>28</v>
      </c>
      <c r="N105" s="17"/>
      <c r="O105" s="17" t="s">
        <v>28</v>
      </c>
      <c r="Q105" s="17" t="s">
        <v>28</v>
      </c>
      <c r="S105" s="17" t="s">
        <v>28</v>
      </c>
      <c r="U105" s="17" t="s">
        <v>28</v>
      </c>
      <c r="W105" s="17" t="s">
        <v>28</v>
      </c>
      <c r="X105" s="4"/>
      <c r="Y105" s="17" t="s">
        <v>28</v>
      </c>
      <c r="AA105" s="17" t="s">
        <v>28</v>
      </c>
      <c r="AC105" s="17" t="s">
        <v>28</v>
      </c>
      <c r="AF105" s="17" t="s">
        <v>28</v>
      </c>
      <c r="AG105" s="17" t="s">
        <v>28</v>
      </c>
    </row>
    <row r="106" spans="1:33" x14ac:dyDescent="0.2">
      <c r="A106" s="4"/>
      <c r="B106" s="18" t="s">
        <v>24</v>
      </c>
      <c r="C106" s="4"/>
      <c r="D106" s="4"/>
      <c r="E106" s="4">
        <f>E103+E104</f>
        <v>46135</v>
      </c>
      <c r="F106" s="4"/>
      <c r="G106" s="4">
        <f>G103+G104</f>
        <v>118614.99374999999</v>
      </c>
      <c r="I106" s="4">
        <f>I103+I104</f>
        <v>0</v>
      </c>
      <c r="K106" s="4">
        <f>K103+K104</f>
        <v>0</v>
      </c>
      <c r="M106" s="4">
        <f>M103+M104</f>
        <v>0</v>
      </c>
      <c r="N106" s="4"/>
      <c r="O106" s="4">
        <f>O103+O104</f>
        <v>0</v>
      </c>
      <c r="Q106" s="4">
        <f>Q103+Q104</f>
        <v>0</v>
      </c>
      <c r="S106" s="4">
        <f>S103+S104</f>
        <v>0</v>
      </c>
      <c r="U106" s="4">
        <f>U103+U104</f>
        <v>0</v>
      </c>
      <c r="W106" s="4">
        <f>W103+W104</f>
        <v>0</v>
      </c>
      <c r="X106" s="4"/>
      <c r="Y106" s="4">
        <f>Y103+Y104</f>
        <v>0</v>
      </c>
      <c r="AA106" s="4">
        <f>AA103+AA104</f>
        <v>0</v>
      </c>
      <c r="AC106" s="4">
        <f>AC103+AC104</f>
        <v>0</v>
      </c>
      <c r="AF106" s="4">
        <f>AF103+AF104</f>
        <v>0</v>
      </c>
      <c r="AG106" s="4">
        <f>AG103+AG104</f>
        <v>0</v>
      </c>
    </row>
    <row r="107" spans="1:33" x14ac:dyDescent="0.2">
      <c r="A107" s="4"/>
      <c r="B107" s="4"/>
      <c r="C107" s="4"/>
      <c r="D107" s="4"/>
      <c r="E107" s="17" t="s">
        <v>8</v>
      </c>
      <c r="F107" s="4"/>
      <c r="G107" s="17" t="s">
        <v>8</v>
      </c>
      <c r="I107" s="17" t="s">
        <v>8</v>
      </c>
      <c r="K107" s="17" t="s">
        <v>8</v>
      </c>
      <c r="M107" s="17" t="s">
        <v>8</v>
      </c>
      <c r="N107" s="17"/>
      <c r="O107" s="17" t="s">
        <v>8</v>
      </c>
      <c r="Q107" s="17" t="s">
        <v>8</v>
      </c>
      <c r="S107" s="17" t="s">
        <v>8</v>
      </c>
      <c r="U107" s="17" t="s">
        <v>8</v>
      </c>
      <c r="W107" s="17" t="s">
        <v>8</v>
      </c>
      <c r="X107" s="4"/>
      <c r="Y107" s="17" t="s">
        <v>8</v>
      </c>
      <c r="AA107" s="17" t="s">
        <v>8</v>
      </c>
      <c r="AC107" s="17" t="s">
        <v>8</v>
      </c>
      <c r="AF107" s="17" t="s">
        <v>8</v>
      </c>
      <c r="AG107" s="17" t="s">
        <v>8</v>
      </c>
    </row>
    <row r="108" spans="1:33" x14ac:dyDescent="0.2">
      <c r="A108" s="4"/>
      <c r="F108" s="4"/>
      <c r="X108" s="4"/>
    </row>
    <row r="109" spans="1:33" ht="13.2" x14ac:dyDescent="0.25">
      <c r="A109" s="4"/>
      <c r="B109" s="42">
        <v>2003</v>
      </c>
      <c r="C109" s="4"/>
      <c r="D109" s="4"/>
      <c r="E109" s="4"/>
      <c r="F109" s="4"/>
      <c r="G109" s="4"/>
      <c r="I109" s="4"/>
      <c r="K109" s="4"/>
      <c r="M109" s="4"/>
      <c r="N109" s="4"/>
      <c r="O109" s="4"/>
      <c r="Q109" s="4"/>
      <c r="S109" s="4"/>
      <c r="U109" s="4"/>
      <c r="W109" s="4"/>
      <c r="X109" s="4"/>
      <c r="Y109" s="4"/>
      <c r="AA109" s="4"/>
      <c r="AC109" s="4"/>
      <c r="AF109" s="4"/>
      <c r="AG109" s="4"/>
    </row>
    <row r="110" spans="1:33" x14ac:dyDescent="0.2">
      <c r="A110" s="4"/>
      <c r="B110" s="18" t="s">
        <v>9</v>
      </c>
      <c r="C110" s="4"/>
      <c r="D110" s="4"/>
      <c r="E110" s="4">
        <f>+E100</f>
        <v>639077</v>
      </c>
      <c r="F110" s="4"/>
      <c r="G110" s="4">
        <f>+G100-G104</f>
        <v>3163066.5</v>
      </c>
      <c r="I110" s="4">
        <f>I26</f>
        <v>430.78</v>
      </c>
      <c r="K110" s="4">
        <v>0</v>
      </c>
      <c r="M110" s="4">
        <v>0</v>
      </c>
      <c r="N110" s="4"/>
      <c r="O110" s="4">
        <v>0</v>
      </c>
      <c r="Q110" s="4">
        <v>0</v>
      </c>
      <c r="S110" s="4">
        <v>0</v>
      </c>
      <c r="U110" s="4">
        <v>0</v>
      </c>
      <c r="W110" s="4">
        <v>0</v>
      </c>
      <c r="X110" s="4"/>
      <c r="Y110" s="4">
        <v>0</v>
      </c>
      <c r="AA110" s="4">
        <v>0</v>
      </c>
      <c r="AC110" s="4">
        <v>0</v>
      </c>
      <c r="AF110" s="4">
        <v>0</v>
      </c>
      <c r="AG110" s="4">
        <v>0</v>
      </c>
    </row>
    <row r="111" spans="1:33" x14ac:dyDescent="0.2">
      <c r="A111" s="4"/>
      <c r="B111" s="18" t="s">
        <v>18</v>
      </c>
      <c r="C111" s="4"/>
      <c r="D111" s="34"/>
      <c r="E111" s="45">
        <v>6.6669999999999993E-2</v>
      </c>
      <c r="F111" s="4"/>
      <c r="G111" s="45">
        <v>7.2190000000000004E-2</v>
      </c>
      <c r="I111" s="45">
        <v>3.7499999999999999E-2</v>
      </c>
      <c r="K111" s="45">
        <v>0</v>
      </c>
      <c r="M111" s="45">
        <v>0</v>
      </c>
      <c r="N111" s="45"/>
      <c r="O111" s="45">
        <v>0</v>
      </c>
      <c r="Q111" s="45">
        <v>0</v>
      </c>
      <c r="S111" s="45">
        <v>0</v>
      </c>
      <c r="U111" s="45">
        <v>0</v>
      </c>
      <c r="W111" s="45">
        <v>0</v>
      </c>
      <c r="X111" s="4"/>
      <c r="Y111" s="45">
        <v>0</v>
      </c>
      <c r="AA111" s="45">
        <v>0</v>
      </c>
      <c r="AC111" s="45">
        <v>0</v>
      </c>
      <c r="AF111" s="45">
        <v>0</v>
      </c>
      <c r="AG111" s="45">
        <v>0</v>
      </c>
    </row>
    <row r="112" spans="1:33" x14ac:dyDescent="0.2">
      <c r="A112" s="4"/>
      <c r="B112" s="4"/>
      <c r="C112" s="4"/>
      <c r="D112" s="4"/>
      <c r="E112" s="17" t="s">
        <v>3</v>
      </c>
      <c r="F112" s="4"/>
      <c r="G112" s="17" t="s">
        <v>3</v>
      </c>
      <c r="I112" s="17" t="s">
        <v>3</v>
      </c>
      <c r="K112" s="17" t="s">
        <v>3</v>
      </c>
      <c r="M112" s="17" t="s">
        <v>3</v>
      </c>
      <c r="N112" s="17"/>
      <c r="O112" s="17" t="s">
        <v>3</v>
      </c>
      <c r="Q112" s="17" t="s">
        <v>3</v>
      </c>
      <c r="S112" s="17" t="s">
        <v>3</v>
      </c>
      <c r="U112" s="17" t="s">
        <v>3</v>
      </c>
      <c r="W112" s="17" t="s">
        <v>3</v>
      </c>
      <c r="X112" s="4"/>
      <c r="Y112" s="17" t="s">
        <v>3</v>
      </c>
      <c r="AA112" s="17" t="s">
        <v>3</v>
      </c>
      <c r="AC112" s="17" t="s">
        <v>3</v>
      </c>
      <c r="AF112" s="17" t="s">
        <v>3</v>
      </c>
      <c r="AG112" s="17" t="s">
        <v>3</v>
      </c>
    </row>
    <row r="113" spans="1:33" x14ac:dyDescent="0.2">
      <c r="A113" s="4"/>
      <c r="B113" s="18" t="s">
        <v>30</v>
      </c>
      <c r="C113" s="4"/>
      <c r="D113" s="4"/>
      <c r="E113" s="4">
        <f>ROUND(E110*E111,0)</f>
        <v>42607</v>
      </c>
      <c r="F113" s="4"/>
      <c r="G113" s="4">
        <f>ROUND(G110*G111,0)</f>
        <v>228342</v>
      </c>
      <c r="I113" s="4">
        <f>(+I110-I116)*I111</f>
        <v>11.307974999999999</v>
      </c>
      <c r="K113" s="4">
        <f>ROUND(K110*K111,0)</f>
        <v>0</v>
      </c>
      <c r="M113" s="4">
        <f>ROUND(M110*M111,0)</f>
        <v>0</v>
      </c>
      <c r="N113" s="4"/>
      <c r="O113" s="4">
        <f>ROUND(O110*O111,0)</f>
        <v>0</v>
      </c>
      <c r="Q113" s="4">
        <f>ROUND(Q110*Q111,0)</f>
        <v>0</v>
      </c>
      <c r="S113" s="4">
        <f>(+S110-S116)*0.4*S111</f>
        <v>0</v>
      </c>
      <c r="U113" s="4">
        <f>(+U110-U116)*0.4*U111</f>
        <v>0</v>
      </c>
      <c r="W113" s="4">
        <f>(+W110-W116)*0.4*W111</f>
        <v>0</v>
      </c>
      <c r="X113" s="4"/>
      <c r="Y113" s="4">
        <f>(+Y110-Y116)*0.4*Y111</f>
        <v>0</v>
      </c>
      <c r="AA113" s="4">
        <f>(+AA110-AA116)*0.4*AA111</f>
        <v>0</v>
      </c>
      <c r="AC113" s="4">
        <f>(+AC110-AC116)*0.4*AC111</f>
        <v>0</v>
      </c>
      <c r="AF113" s="4">
        <f>(+AF110-AF116)*0.4*AF111</f>
        <v>0</v>
      </c>
      <c r="AG113" s="4">
        <f>(+AG110-AG116)*0.4*AG111</f>
        <v>0</v>
      </c>
    </row>
    <row r="114" spans="1:33" x14ac:dyDescent="0.2">
      <c r="A114" s="4"/>
      <c r="B114" s="18" t="s">
        <v>31</v>
      </c>
      <c r="C114" s="4"/>
      <c r="D114" s="4"/>
      <c r="E114" s="4"/>
      <c r="F114" s="4"/>
      <c r="G114" s="4"/>
      <c r="I114" s="4"/>
      <c r="K114" s="4"/>
      <c r="M114" s="4"/>
      <c r="N114" s="4"/>
      <c r="O114" s="4"/>
      <c r="Q114" s="4"/>
      <c r="S114" s="46">
        <f>+(S110-S116)*0.6/60*7</f>
        <v>0</v>
      </c>
      <c r="U114" s="46">
        <f>+(U110-U116)*0.6/60*7</f>
        <v>0</v>
      </c>
      <c r="W114" s="46">
        <f>+(W110-W116)*0.6/60*7</f>
        <v>0</v>
      </c>
      <c r="X114" s="4"/>
      <c r="Y114" s="46">
        <f>+(Y110-Y116)*0.6/60*7</f>
        <v>0</v>
      </c>
      <c r="AA114" s="46">
        <f>+(AA110-AA116)*0.6/60*7</f>
        <v>0</v>
      </c>
      <c r="AC114" s="46">
        <f>+(AC110-AC116)*0.6/60*7</f>
        <v>0</v>
      </c>
      <c r="AF114" s="46">
        <f>+(AF110-AF116)*0.6/60*7</f>
        <v>0</v>
      </c>
      <c r="AG114" s="46">
        <f>+(AG110-AG116)*0.6/60*7</f>
        <v>0</v>
      </c>
    </row>
    <row r="115" spans="1:33" x14ac:dyDescent="0.2">
      <c r="A115" s="4"/>
      <c r="B115" s="18"/>
      <c r="C115" s="4"/>
      <c r="D115" s="4"/>
      <c r="E115" s="4"/>
      <c r="F115" s="4"/>
      <c r="G115" s="4"/>
      <c r="I115" s="4"/>
      <c r="K115" s="4"/>
      <c r="M115" s="4"/>
      <c r="N115" s="4"/>
      <c r="O115" s="4"/>
      <c r="Q115" s="4"/>
      <c r="S115" s="4"/>
      <c r="U115" s="4"/>
      <c r="W115" s="4"/>
      <c r="X115" s="4"/>
      <c r="Y115" s="4"/>
      <c r="AA115" s="4"/>
      <c r="AC115" s="4"/>
      <c r="AF115" s="4"/>
      <c r="AG115" s="4"/>
    </row>
    <row r="116" spans="1:33" x14ac:dyDescent="0.2">
      <c r="A116" s="4"/>
      <c r="B116" s="18" t="s">
        <v>27</v>
      </c>
      <c r="C116" s="4"/>
      <c r="D116" s="4"/>
      <c r="E116" s="46">
        <v>0</v>
      </c>
      <c r="F116" s="4"/>
      <c r="G116" s="4">
        <v>0</v>
      </c>
      <c r="I116" s="46">
        <f>+I110*0.3</f>
        <v>129.23399999999998</v>
      </c>
      <c r="K116" s="4">
        <f>-K24</f>
        <v>0</v>
      </c>
      <c r="M116" s="4">
        <f>-M24</f>
        <v>0</v>
      </c>
      <c r="N116" s="4"/>
      <c r="O116" s="4">
        <f>-O24</f>
        <v>0</v>
      </c>
      <c r="Q116" s="4">
        <f>-Q24</f>
        <v>0</v>
      </c>
      <c r="S116" s="46">
        <f>+S110*0.3</f>
        <v>0</v>
      </c>
      <c r="U116" s="46">
        <f>+U110*0.3</f>
        <v>0</v>
      </c>
      <c r="W116" s="46">
        <f>+W110*0.3</f>
        <v>0</v>
      </c>
      <c r="X116" s="4"/>
      <c r="Y116" s="46">
        <f>+Y110*0.3</f>
        <v>0</v>
      </c>
      <c r="AA116" s="46">
        <f>+AA110*0.3</f>
        <v>0</v>
      </c>
      <c r="AC116" s="46">
        <f>+AC110*0.3</f>
        <v>0</v>
      </c>
      <c r="AF116" s="46">
        <f>+AF110*0.3</f>
        <v>0</v>
      </c>
      <c r="AG116" s="46">
        <f>+AG110*0.3</f>
        <v>0</v>
      </c>
    </row>
    <row r="117" spans="1:33" x14ac:dyDescent="0.2">
      <c r="A117" s="4"/>
      <c r="B117" s="18"/>
      <c r="C117" s="4"/>
      <c r="D117" s="4"/>
      <c r="E117" s="17" t="s">
        <v>3</v>
      </c>
      <c r="F117" s="4"/>
      <c r="G117" s="17" t="s">
        <v>3</v>
      </c>
      <c r="I117" s="17" t="s">
        <v>3</v>
      </c>
      <c r="K117" s="17" t="s">
        <v>3</v>
      </c>
      <c r="M117" s="17" t="s">
        <v>3</v>
      </c>
      <c r="N117" s="17"/>
      <c r="O117" s="17" t="s">
        <v>3</v>
      </c>
      <c r="Q117" s="17" t="s">
        <v>3</v>
      </c>
      <c r="S117" s="17" t="s">
        <v>3</v>
      </c>
      <c r="U117" s="17" t="s">
        <v>3</v>
      </c>
      <c r="W117" s="17" t="s">
        <v>3</v>
      </c>
      <c r="X117" s="4"/>
      <c r="Y117" s="17" t="s">
        <v>3</v>
      </c>
      <c r="AA117" s="17" t="s">
        <v>3</v>
      </c>
      <c r="AC117" s="17" t="s">
        <v>3</v>
      </c>
      <c r="AF117" s="17" t="s">
        <v>3</v>
      </c>
      <c r="AG117" s="17" t="s">
        <v>3</v>
      </c>
    </row>
    <row r="118" spans="1:33" x14ac:dyDescent="0.2">
      <c r="A118" s="4"/>
      <c r="B118" s="18" t="s">
        <v>25</v>
      </c>
      <c r="C118" s="4"/>
      <c r="D118" s="4"/>
      <c r="E118" s="4">
        <f>E113+E116</f>
        <v>42607</v>
      </c>
      <c r="F118" s="4"/>
      <c r="G118" s="4">
        <f>G113+G116</f>
        <v>228342</v>
      </c>
      <c r="I118" s="4">
        <f>I113+I116</f>
        <v>140.54197499999998</v>
      </c>
      <c r="K118" s="4">
        <f>K113+K116</f>
        <v>0</v>
      </c>
      <c r="M118" s="4">
        <f>M113+M116</f>
        <v>0</v>
      </c>
      <c r="N118" s="4"/>
      <c r="O118" s="4">
        <f>O113+O116</f>
        <v>0</v>
      </c>
      <c r="Q118" s="4">
        <f>Q113+Q116</f>
        <v>0</v>
      </c>
      <c r="S118" s="4">
        <f>SUM(S113:S116)</f>
        <v>0</v>
      </c>
      <c r="U118" s="4">
        <f>SUM(U113:U116)</f>
        <v>0</v>
      </c>
      <c r="W118" s="4">
        <f>SUM(W113:W116)</f>
        <v>0</v>
      </c>
      <c r="X118" s="4"/>
      <c r="Y118" s="4">
        <f>SUM(Y113:Y116)</f>
        <v>0</v>
      </c>
      <c r="AA118" s="4">
        <f>SUM(AA113:AA116)</f>
        <v>0</v>
      </c>
      <c r="AC118" s="4">
        <f>SUM(AC113:AC116)</f>
        <v>0</v>
      </c>
      <c r="AF118" s="4">
        <f>SUM(AF113:AF116)</f>
        <v>0</v>
      </c>
      <c r="AG118" s="4">
        <f>SUM(AG113:AG116)</f>
        <v>0</v>
      </c>
    </row>
    <row r="119" spans="1:33" x14ac:dyDescent="0.2">
      <c r="A119" s="4"/>
      <c r="B119" s="4"/>
      <c r="C119" s="4"/>
      <c r="D119" s="4"/>
      <c r="E119" s="17" t="s">
        <v>8</v>
      </c>
      <c r="F119" s="4"/>
      <c r="G119" s="17" t="s">
        <v>8</v>
      </c>
      <c r="I119" s="17" t="s">
        <v>8</v>
      </c>
      <c r="K119" s="17" t="s">
        <v>8</v>
      </c>
      <c r="M119" s="17" t="s">
        <v>8</v>
      </c>
      <c r="N119" s="17"/>
      <c r="O119" s="17" t="s">
        <v>8</v>
      </c>
      <c r="Q119" s="17" t="s">
        <v>8</v>
      </c>
      <c r="S119" s="17" t="s">
        <v>8</v>
      </c>
      <c r="U119" s="17" t="s">
        <v>8</v>
      </c>
      <c r="W119" s="17" t="s">
        <v>8</v>
      </c>
      <c r="X119" s="4"/>
      <c r="Y119" s="17" t="s">
        <v>8</v>
      </c>
      <c r="AA119" s="17" t="s">
        <v>8</v>
      </c>
      <c r="AC119" s="17" t="s">
        <v>8</v>
      </c>
      <c r="AF119" s="17" t="s">
        <v>8</v>
      </c>
      <c r="AG119" s="17" t="s">
        <v>8</v>
      </c>
    </row>
    <row r="120" spans="1:33" x14ac:dyDescent="0.2">
      <c r="A120" s="4"/>
      <c r="B120" s="4"/>
      <c r="C120" s="4"/>
      <c r="D120" s="4"/>
      <c r="E120" s="4"/>
      <c r="F120" s="4"/>
      <c r="G120" s="4"/>
      <c r="I120" s="4"/>
      <c r="K120" s="4"/>
      <c r="M120" s="4"/>
      <c r="N120" s="4"/>
      <c r="O120" s="4"/>
      <c r="Q120" s="4"/>
      <c r="S120" s="4"/>
      <c r="U120" s="4"/>
      <c r="W120" s="4"/>
      <c r="X120" s="4"/>
      <c r="Y120" s="4"/>
      <c r="AA120" s="4"/>
      <c r="AC120" s="4"/>
      <c r="AF120" s="4"/>
      <c r="AG120" s="4"/>
    </row>
    <row r="121" spans="1:33" ht="13.2" x14ac:dyDescent="0.25">
      <c r="A121" s="4"/>
      <c r="B121" s="42">
        <v>2004</v>
      </c>
      <c r="C121" s="4"/>
      <c r="D121" s="4"/>
      <c r="E121" s="4"/>
      <c r="F121" s="4"/>
      <c r="G121" s="4"/>
      <c r="I121" s="4"/>
      <c r="K121" s="4"/>
      <c r="M121" s="4"/>
      <c r="N121" s="4"/>
      <c r="O121" s="4"/>
      <c r="Q121" s="4"/>
      <c r="S121" s="4"/>
      <c r="U121" s="4"/>
      <c r="W121" s="4"/>
      <c r="X121" s="4"/>
      <c r="Y121" s="4"/>
      <c r="AA121" s="4"/>
      <c r="AC121" s="4"/>
      <c r="AF121" s="4"/>
      <c r="AG121" s="4"/>
    </row>
    <row r="122" spans="1:33" x14ac:dyDescent="0.2">
      <c r="A122" s="4"/>
      <c r="B122" s="18" t="s">
        <v>9</v>
      </c>
      <c r="C122" s="4"/>
      <c r="D122" s="4"/>
      <c r="E122" s="4">
        <f>+E100</f>
        <v>639077</v>
      </c>
      <c r="F122" s="4"/>
      <c r="G122" s="4">
        <f>+G110</f>
        <v>3163066.5</v>
      </c>
      <c r="I122" s="21">
        <f>+I110-I116</f>
        <v>301.54599999999999</v>
      </c>
      <c r="K122" s="4">
        <f>+K26</f>
        <v>710692.9800000001</v>
      </c>
      <c r="M122" s="4">
        <v>0</v>
      </c>
      <c r="N122" s="4"/>
      <c r="O122" s="4">
        <v>0</v>
      </c>
      <c r="Q122" s="4">
        <v>0</v>
      </c>
      <c r="S122" s="21">
        <f>+S110-S116</f>
        <v>0</v>
      </c>
      <c r="U122" s="21">
        <f>+U110-U116</f>
        <v>0</v>
      </c>
      <c r="W122" s="21">
        <f>+W110-W116</f>
        <v>0</v>
      </c>
      <c r="X122" s="4"/>
      <c r="Y122" s="21">
        <f>+Y110-Y116</f>
        <v>0</v>
      </c>
      <c r="AA122" s="21">
        <f>+AA110-AA116</f>
        <v>0</v>
      </c>
      <c r="AC122" s="21">
        <f>+AC110-AC116</f>
        <v>0</v>
      </c>
      <c r="AF122" s="21">
        <f>+AF110-AF116</f>
        <v>0</v>
      </c>
      <c r="AG122" s="21">
        <f>+AG110-AG116</f>
        <v>0</v>
      </c>
    </row>
    <row r="123" spans="1:33" x14ac:dyDescent="0.2">
      <c r="A123" s="4"/>
      <c r="B123" s="18" t="s">
        <v>18</v>
      </c>
      <c r="C123" s="4"/>
      <c r="D123" s="4"/>
      <c r="E123" s="45">
        <v>6.1769999999999999E-2</v>
      </c>
      <c r="F123" s="4"/>
      <c r="G123" s="45">
        <v>6.6769999999999996E-2</v>
      </c>
      <c r="I123" s="45">
        <v>7.2190000000000004E-2</v>
      </c>
      <c r="K123" s="45">
        <v>3.7499999999999999E-2</v>
      </c>
      <c r="M123" s="45">
        <v>0</v>
      </c>
      <c r="N123" s="45"/>
      <c r="O123" s="45">
        <v>0</v>
      </c>
      <c r="Q123" s="45">
        <v>0</v>
      </c>
      <c r="S123" s="45">
        <v>0</v>
      </c>
      <c r="U123" s="45">
        <v>0</v>
      </c>
      <c r="W123" s="45">
        <v>0</v>
      </c>
      <c r="X123" s="4"/>
      <c r="Y123" s="45">
        <v>0</v>
      </c>
      <c r="AA123" s="45">
        <v>0</v>
      </c>
      <c r="AC123" s="45">
        <v>0</v>
      </c>
      <c r="AF123" s="45">
        <v>0</v>
      </c>
      <c r="AG123" s="45">
        <v>0</v>
      </c>
    </row>
    <row r="124" spans="1:33" x14ac:dyDescent="0.2">
      <c r="A124" s="4"/>
      <c r="B124" s="4"/>
      <c r="C124" s="4"/>
      <c r="D124" s="4"/>
      <c r="E124" s="17" t="s">
        <v>3</v>
      </c>
      <c r="F124" s="4"/>
      <c r="G124" s="17" t="s">
        <v>3</v>
      </c>
      <c r="I124" s="17" t="s">
        <v>3</v>
      </c>
      <c r="K124" s="17" t="s">
        <v>3</v>
      </c>
      <c r="M124" s="17" t="s">
        <v>3</v>
      </c>
      <c r="N124" s="17"/>
      <c r="O124" s="17" t="s">
        <v>3</v>
      </c>
      <c r="Q124" s="17" t="s">
        <v>3</v>
      </c>
      <c r="S124" s="17" t="s">
        <v>3</v>
      </c>
      <c r="U124" s="17" t="s">
        <v>3</v>
      </c>
      <c r="W124" s="17" t="s">
        <v>3</v>
      </c>
      <c r="X124" s="4"/>
      <c r="Y124" s="17" t="s">
        <v>3</v>
      </c>
      <c r="AA124" s="17" t="s">
        <v>3</v>
      </c>
      <c r="AC124" s="17" t="s">
        <v>3</v>
      </c>
      <c r="AF124" s="17" t="s">
        <v>3</v>
      </c>
      <c r="AG124" s="17" t="s">
        <v>3</v>
      </c>
    </row>
    <row r="125" spans="1:33" x14ac:dyDescent="0.2">
      <c r="A125" s="4"/>
      <c r="B125" s="18" t="s">
        <v>32</v>
      </c>
      <c r="C125" s="4"/>
      <c r="D125" s="4"/>
      <c r="E125" s="4">
        <f>ROUND(E122*E123,0)</f>
        <v>39476</v>
      </c>
      <c r="F125" s="4"/>
      <c r="G125" s="4">
        <f>ROUND(G122*G123,0)</f>
        <v>211198</v>
      </c>
      <c r="I125" s="4">
        <f>ROUND(I122*I123,0)</f>
        <v>22</v>
      </c>
      <c r="K125" s="4">
        <f>+(K122-K128)*K123</f>
        <v>18655.690725</v>
      </c>
      <c r="M125" s="4">
        <f>+(M122-M128)*M123</f>
        <v>0</v>
      </c>
      <c r="N125" s="4"/>
      <c r="O125" s="4">
        <f>+(O122-O128)*O123</f>
        <v>0</v>
      </c>
      <c r="Q125" s="4">
        <f>ROUND(Q122*Q123,0)</f>
        <v>0</v>
      </c>
      <c r="S125" s="4">
        <f>(+S122)*0.4*S123</f>
        <v>0</v>
      </c>
      <c r="U125" s="4">
        <f>(+U122)*0.4*U123</f>
        <v>0</v>
      </c>
      <c r="W125" s="4">
        <f>(+W122)*0.4*W123</f>
        <v>0</v>
      </c>
      <c r="X125" s="4"/>
      <c r="Y125" s="4">
        <f>(+Y122)*0.4*Y123</f>
        <v>0</v>
      </c>
      <c r="AA125" s="4">
        <f>(+AA122)*0.4*AA123</f>
        <v>0</v>
      </c>
      <c r="AC125" s="4">
        <f>(+AC122)*0.4*AC123</f>
        <v>0</v>
      </c>
      <c r="AF125" s="4">
        <f>(+AF122)*0.4*AF123</f>
        <v>0</v>
      </c>
      <c r="AG125" s="4">
        <f>(+AG122)*0.4*AG123</f>
        <v>0</v>
      </c>
    </row>
    <row r="126" spans="1:33" x14ac:dyDescent="0.2">
      <c r="A126" s="4"/>
      <c r="B126" s="18" t="s">
        <v>33</v>
      </c>
      <c r="C126" s="4"/>
      <c r="D126" s="4"/>
      <c r="E126" s="4"/>
      <c r="F126" s="4"/>
      <c r="G126" s="4">
        <v>0</v>
      </c>
      <c r="I126" s="4">
        <v>0</v>
      </c>
      <c r="K126" s="4">
        <v>0</v>
      </c>
      <c r="M126" s="4">
        <v>0</v>
      </c>
      <c r="N126" s="4"/>
      <c r="O126" s="4">
        <v>0</v>
      </c>
      <c r="Q126" s="4">
        <v>0</v>
      </c>
      <c r="S126" s="4">
        <f>+(S122)*0.6/60*12</f>
        <v>0</v>
      </c>
      <c r="U126" s="4">
        <f>+(U122)*0.6/60*12</f>
        <v>0</v>
      </c>
      <c r="W126" s="4">
        <f>+(W122)*0.6/60*12</f>
        <v>0</v>
      </c>
      <c r="X126" s="4"/>
      <c r="Y126" s="4">
        <f>+(Y122)*0.6/60*12</f>
        <v>0</v>
      </c>
      <c r="AA126" s="4">
        <f>+(AA122)*0.6/60*12</f>
        <v>0</v>
      </c>
      <c r="AC126" s="4">
        <f>+(AC122)*0.6/60*12</f>
        <v>0</v>
      </c>
      <c r="AF126" s="4">
        <f>+(AF122)*0.6/60*12</f>
        <v>0</v>
      </c>
      <c r="AG126" s="4">
        <f>+(AG122)*0.6/60*12</f>
        <v>0</v>
      </c>
    </row>
    <row r="127" spans="1:33" x14ac:dyDescent="0.2">
      <c r="A127" s="4"/>
      <c r="B127" s="18"/>
      <c r="C127" s="4"/>
      <c r="D127" s="4"/>
      <c r="E127" s="4"/>
      <c r="F127" s="4"/>
      <c r="G127" s="4"/>
      <c r="I127" s="4"/>
      <c r="K127" s="4"/>
      <c r="M127" s="4"/>
      <c r="N127" s="4"/>
      <c r="O127" s="4"/>
      <c r="Q127" s="4"/>
      <c r="S127" s="4"/>
      <c r="U127" s="4"/>
      <c r="W127" s="4"/>
      <c r="X127" s="4"/>
      <c r="Y127" s="4"/>
      <c r="AA127" s="4"/>
      <c r="AC127" s="4"/>
      <c r="AF127" s="4"/>
      <c r="AG127" s="4"/>
    </row>
    <row r="128" spans="1:33" x14ac:dyDescent="0.2">
      <c r="A128" s="4"/>
      <c r="B128" s="18" t="s">
        <v>27</v>
      </c>
      <c r="C128" s="4"/>
      <c r="D128" s="4"/>
      <c r="E128" s="46">
        <v>0</v>
      </c>
      <c r="F128" s="4"/>
      <c r="G128" s="4">
        <v>0</v>
      </c>
      <c r="I128" s="4">
        <v>0</v>
      </c>
      <c r="K128" s="46">
        <f>+K122*0.3</f>
        <v>213207.89400000003</v>
      </c>
      <c r="M128" s="46">
        <f>+M122*0.3</f>
        <v>0</v>
      </c>
      <c r="N128" s="46"/>
      <c r="O128" s="46">
        <f>+O122*0.3</f>
        <v>0</v>
      </c>
      <c r="Q128" s="46">
        <f>+Q122*0.3</f>
        <v>0</v>
      </c>
      <c r="S128" s="4">
        <v>0</v>
      </c>
      <c r="U128" s="4">
        <v>0</v>
      </c>
      <c r="W128" s="4">
        <v>0</v>
      </c>
      <c r="X128" s="4"/>
      <c r="Y128" s="4">
        <v>0</v>
      </c>
      <c r="AA128" s="4">
        <v>0</v>
      </c>
      <c r="AC128" s="4">
        <v>0</v>
      </c>
      <c r="AF128" s="4">
        <v>0</v>
      </c>
      <c r="AG128" s="4">
        <v>0</v>
      </c>
    </row>
    <row r="129" spans="1:33" x14ac:dyDescent="0.2">
      <c r="A129" s="4"/>
      <c r="B129" s="18"/>
      <c r="C129" s="4"/>
      <c r="D129" s="4"/>
      <c r="E129" s="17" t="s">
        <v>3</v>
      </c>
      <c r="F129" s="4"/>
      <c r="G129" s="17" t="s">
        <v>3</v>
      </c>
      <c r="I129" s="17" t="s">
        <v>3</v>
      </c>
      <c r="K129" s="17" t="s">
        <v>3</v>
      </c>
      <c r="M129" s="17" t="s">
        <v>3</v>
      </c>
      <c r="N129" s="17"/>
      <c r="O129" s="17" t="s">
        <v>3</v>
      </c>
      <c r="Q129" s="17" t="s">
        <v>3</v>
      </c>
      <c r="S129" s="17" t="s">
        <v>3</v>
      </c>
      <c r="U129" s="17" t="s">
        <v>3</v>
      </c>
      <c r="W129" s="17" t="s">
        <v>3</v>
      </c>
      <c r="X129" s="4"/>
      <c r="Y129" s="17" t="s">
        <v>3</v>
      </c>
      <c r="AA129" s="17" t="s">
        <v>3</v>
      </c>
      <c r="AC129" s="17" t="s">
        <v>3</v>
      </c>
      <c r="AF129" s="17" t="s">
        <v>3</v>
      </c>
      <c r="AG129" s="17" t="s">
        <v>3</v>
      </c>
    </row>
    <row r="130" spans="1:33" x14ac:dyDescent="0.2">
      <c r="A130" s="4"/>
      <c r="B130" s="18" t="s">
        <v>34</v>
      </c>
      <c r="C130" s="4"/>
      <c r="D130" s="4"/>
      <c r="E130" s="4">
        <f>E125+E128</f>
        <v>39476</v>
      </c>
      <c r="F130" s="4"/>
      <c r="G130" s="4">
        <f>G125+G128</f>
        <v>211198</v>
      </c>
      <c r="I130" s="4">
        <f>I125+I128</f>
        <v>22</v>
      </c>
      <c r="K130" s="4">
        <f>SUM(K125:K128)</f>
        <v>231863.58472500002</v>
      </c>
      <c r="M130" s="4">
        <f>SUM(M125:M128)</f>
        <v>0</v>
      </c>
      <c r="N130" s="4"/>
      <c r="O130" s="4">
        <f>SUM(O125:O128)</f>
        <v>0</v>
      </c>
      <c r="Q130" s="4">
        <f>Q125+Q128</f>
        <v>0</v>
      </c>
      <c r="S130" s="4">
        <f>SUM(S125:S128)</f>
        <v>0</v>
      </c>
      <c r="U130" s="4">
        <f>SUM(U125:U128)</f>
        <v>0</v>
      </c>
      <c r="W130" s="4">
        <f>SUM(W125:W128)</f>
        <v>0</v>
      </c>
      <c r="X130" s="4"/>
      <c r="Y130" s="4">
        <f>SUM(Y125:Y128)</f>
        <v>0</v>
      </c>
      <c r="AA130" s="4">
        <f>SUM(AA125:AA128)</f>
        <v>0</v>
      </c>
      <c r="AC130" s="4">
        <f>SUM(AC125:AC128)</f>
        <v>0</v>
      </c>
      <c r="AF130" s="4">
        <f>SUM(AF125:AF128)</f>
        <v>0</v>
      </c>
      <c r="AG130" s="4">
        <f>SUM(AG125:AG128)</f>
        <v>0</v>
      </c>
    </row>
    <row r="131" spans="1:33" x14ac:dyDescent="0.2">
      <c r="A131" s="4"/>
      <c r="B131" s="4"/>
      <c r="C131" s="4"/>
      <c r="D131" s="4"/>
      <c r="E131" s="17" t="s">
        <v>8</v>
      </c>
      <c r="F131" s="4"/>
      <c r="G131" s="17" t="s">
        <v>8</v>
      </c>
      <c r="I131" s="17" t="s">
        <v>8</v>
      </c>
      <c r="K131" s="17" t="s">
        <v>8</v>
      </c>
      <c r="M131" s="17" t="s">
        <v>8</v>
      </c>
      <c r="N131" s="17"/>
      <c r="O131" s="17"/>
      <c r="Q131" s="17" t="s">
        <v>8</v>
      </c>
      <c r="S131" s="17" t="s">
        <v>8</v>
      </c>
      <c r="U131" s="17" t="s">
        <v>8</v>
      </c>
      <c r="W131" s="17" t="s">
        <v>8</v>
      </c>
      <c r="X131" s="4"/>
      <c r="Y131" s="17" t="s">
        <v>8</v>
      </c>
      <c r="AA131" s="17" t="s">
        <v>8</v>
      </c>
      <c r="AC131" s="17" t="s">
        <v>8</v>
      </c>
      <c r="AF131" s="17" t="s">
        <v>8</v>
      </c>
      <c r="AG131" s="17" t="s">
        <v>8</v>
      </c>
    </row>
    <row r="132" spans="1:33" x14ac:dyDescent="0.2">
      <c r="A132" s="4"/>
      <c r="B132" s="4"/>
      <c r="C132" s="4"/>
      <c r="D132" s="4"/>
      <c r="E132" s="4"/>
      <c r="F132" s="4"/>
      <c r="G132" s="4"/>
      <c r="I132" s="4"/>
      <c r="K132" s="4"/>
      <c r="M132" s="4"/>
      <c r="N132" s="4"/>
      <c r="O132" s="4"/>
      <c r="Q132" s="4"/>
      <c r="S132" s="4"/>
      <c r="U132" s="4"/>
      <c r="W132" s="4"/>
      <c r="X132" s="4"/>
      <c r="Y132" s="4"/>
      <c r="AA132" s="4"/>
      <c r="AC132" s="4"/>
      <c r="AF132" s="4"/>
      <c r="AG132" s="4"/>
    </row>
    <row r="133" spans="1:33" x14ac:dyDescent="0.2">
      <c r="A133" s="4"/>
      <c r="B133" s="4"/>
      <c r="C133" s="4"/>
      <c r="D133" s="4"/>
      <c r="F133" s="4"/>
      <c r="G133" s="4"/>
      <c r="I133" s="4"/>
      <c r="K133" s="4"/>
      <c r="M133" s="33"/>
      <c r="N133" s="33"/>
      <c r="O133" s="33"/>
      <c r="Q133" s="4"/>
      <c r="S133" s="4"/>
      <c r="U133" s="4"/>
      <c r="X133" s="4"/>
      <c r="Y133" s="33"/>
      <c r="AA133" s="4"/>
    </row>
    <row r="134" spans="1:33" ht="16.2" x14ac:dyDescent="0.25">
      <c r="A134" s="4"/>
      <c r="B134" s="5" t="s">
        <v>43</v>
      </c>
      <c r="C134" s="4"/>
      <c r="D134" s="34"/>
      <c r="E134" s="34"/>
      <c r="F134" s="4"/>
      <c r="G134" s="34"/>
      <c r="I134" s="34"/>
      <c r="K134" s="34"/>
      <c r="Q134" s="34"/>
      <c r="S134" s="34"/>
      <c r="U134" s="34"/>
      <c r="X134" s="4"/>
      <c r="Y134" s="34"/>
      <c r="AA134" s="34"/>
      <c r="AC134" s="34"/>
      <c r="AF134" s="34"/>
      <c r="AG134" s="34"/>
    </row>
    <row r="135" spans="1:33" ht="12.6" x14ac:dyDescent="0.25">
      <c r="A135" s="4"/>
      <c r="B135" s="7" t="s">
        <v>0</v>
      </c>
      <c r="C135" s="4"/>
      <c r="D135" s="4"/>
      <c r="E135" s="4"/>
      <c r="F135" s="4"/>
      <c r="G135" s="4"/>
      <c r="I135" s="4"/>
      <c r="K135" s="4"/>
      <c r="Q135" s="4"/>
      <c r="S135" s="4"/>
      <c r="U135" s="4"/>
      <c r="X135" s="4"/>
      <c r="Y135" s="4"/>
      <c r="AA135" s="4"/>
      <c r="AC135" s="4"/>
      <c r="AF135" s="4"/>
      <c r="AG135" s="4"/>
    </row>
    <row r="136" spans="1:33" x14ac:dyDescent="0.2">
      <c r="A136" s="4"/>
      <c r="B136" s="8" t="s">
        <v>1</v>
      </c>
      <c r="C136" s="4"/>
      <c r="D136" s="4"/>
      <c r="E136" s="4"/>
      <c r="F136" s="4"/>
      <c r="G136" s="4"/>
      <c r="I136" s="4"/>
      <c r="K136" s="4"/>
      <c r="Q136" s="4"/>
      <c r="S136" s="4"/>
      <c r="U136" s="4"/>
      <c r="X136" s="4"/>
      <c r="Y136" s="4"/>
      <c r="AA136" s="4"/>
      <c r="AC136" s="4"/>
      <c r="AF136" s="4"/>
      <c r="AG136" s="4"/>
    </row>
    <row r="137" spans="1:33" x14ac:dyDescent="0.2">
      <c r="A137" s="4"/>
      <c r="B137" s="18"/>
      <c r="C137" s="4"/>
      <c r="D137" s="4"/>
      <c r="E137" s="4"/>
      <c r="F137" s="4"/>
      <c r="G137" s="4"/>
      <c r="I137" s="4"/>
      <c r="K137" s="4"/>
      <c r="Q137" s="4"/>
      <c r="S137" s="4"/>
      <c r="U137" s="4"/>
      <c r="X137" s="4"/>
      <c r="Y137" s="4"/>
      <c r="AA137" s="4"/>
      <c r="AC137" s="4"/>
      <c r="AF137" s="4"/>
      <c r="AG137" s="4"/>
    </row>
    <row r="138" spans="1:33" x14ac:dyDescent="0.2">
      <c r="A138" s="4"/>
      <c r="B138" s="4"/>
      <c r="C138" s="4"/>
      <c r="D138" s="4"/>
      <c r="E138" s="4"/>
      <c r="F138" s="4"/>
      <c r="G138" s="4"/>
      <c r="I138" s="4"/>
      <c r="K138" s="4"/>
      <c r="M138" s="8" t="str">
        <f>IF(M70="","",M70)</f>
        <v/>
      </c>
      <c r="N138" s="8"/>
      <c r="O138" s="8" t="str">
        <f>IF(O70="","",O70)</f>
        <v/>
      </c>
      <c r="Q138" s="4"/>
      <c r="S138" s="4"/>
      <c r="U138" s="4"/>
      <c r="X138" s="4"/>
      <c r="Y138" s="4"/>
      <c r="AA138" s="4"/>
      <c r="AC138" s="4"/>
      <c r="AF138" s="4"/>
      <c r="AG138" s="4"/>
    </row>
    <row r="139" spans="1:33" x14ac:dyDescent="0.2">
      <c r="A139" s="4"/>
      <c r="B139" s="4"/>
      <c r="C139" s="4"/>
      <c r="D139" s="4"/>
      <c r="E139" s="4"/>
      <c r="F139" s="4"/>
      <c r="G139" s="4"/>
      <c r="I139" s="4"/>
      <c r="K139" s="4"/>
      <c r="M139" s="8"/>
      <c r="N139" s="8"/>
      <c r="O139" s="8"/>
      <c r="Q139" s="4"/>
      <c r="S139" s="4"/>
      <c r="U139" s="4"/>
      <c r="W139" s="8"/>
      <c r="X139" s="4"/>
      <c r="Y139" s="8"/>
      <c r="AA139" s="4"/>
      <c r="AC139" s="4"/>
      <c r="AF139" s="4"/>
      <c r="AG139" s="4"/>
    </row>
    <row r="140" spans="1:33" x14ac:dyDescent="0.2">
      <c r="A140" s="4"/>
      <c r="B140" s="4"/>
      <c r="C140" s="4"/>
      <c r="D140" s="4"/>
      <c r="E140" s="8"/>
      <c r="F140" s="4"/>
      <c r="G140" s="8"/>
      <c r="I140" s="8"/>
      <c r="K140" s="8"/>
      <c r="M140" s="8"/>
      <c r="N140" s="8"/>
      <c r="O140" s="8"/>
      <c r="Q140" s="8"/>
      <c r="S140" s="8"/>
      <c r="U140" s="8"/>
      <c r="W140" s="8"/>
      <c r="X140" s="4"/>
      <c r="Y140" s="8"/>
      <c r="AA140" s="8"/>
      <c r="AC140" s="8"/>
      <c r="AF140" s="8"/>
      <c r="AG140" s="8"/>
    </row>
    <row r="141" spans="1:33" x14ac:dyDescent="0.2">
      <c r="A141" s="4"/>
      <c r="B141" s="4"/>
      <c r="C141" s="4"/>
      <c r="D141" s="8"/>
      <c r="E141" s="8" t="str">
        <f>E$8</f>
        <v xml:space="preserve">Air Pollution </v>
      </c>
      <c r="F141" s="4"/>
      <c r="G141" s="8" t="str">
        <f>G$8</f>
        <v>Air Pollution</v>
      </c>
      <c r="I141" s="8" t="str">
        <f>I$8</f>
        <v>Air Pollution</v>
      </c>
      <c r="K141" s="8" t="str">
        <f>K$8</f>
        <v>Air Pollution</v>
      </c>
      <c r="M141" s="8" t="str">
        <f>M$8</f>
        <v>Air Pollution</v>
      </c>
      <c r="N141" s="8"/>
      <c r="O141" s="8" t="str">
        <f>O$8</f>
        <v>Air Pollution</v>
      </c>
      <c r="Q141" s="8" t="str">
        <f>Q$8</f>
        <v>Air Pollution</v>
      </c>
      <c r="S141" s="8" t="str">
        <f>S$8</f>
        <v>Air Pollution</v>
      </c>
      <c r="U141" s="8" t="str">
        <f>U$8</f>
        <v>Air Pollution</v>
      </c>
      <c r="W141" s="8" t="str">
        <f>W$8</f>
        <v>Air Pollution</v>
      </c>
      <c r="X141" s="4"/>
      <c r="Y141" s="8" t="str">
        <f>Y$8</f>
        <v>Air Pollution</v>
      </c>
      <c r="AA141" s="8" t="str">
        <f>AA$8</f>
        <v>Air Pollution</v>
      </c>
      <c r="AC141" s="8" t="str">
        <f>AC$8</f>
        <v>Air Pollution</v>
      </c>
      <c r="AF141" s="8" t="str">
        <f>IF(AF73="","",AF73)</f>
        <v>Water Pollution</v>
      </c>
      <c r="AG141" s="8" t="str">
        <f>AG$8</f>
        <v>Air Pollution</v>
      </c>
    </row>
    <row r="142" spans="1:33" s="15" customFormat="1" ht="10.8" thickBot="1" x14ac:dyDescent="0.25">
      <c r="A142" s="35"/>
      <c r="B142" s="35"/>
      <c r="C142" s="35"/>
      <c r="D142" s="14"/>
      <c r="E142" s="14">
        <f>E$9</f>
        <v>2001</v>
      </c>
      <c r="F142" s="35"/>
      <c r="G142" s="14">
        <f>G$9</f>
        <v>2002</v>
      </c>
      <c r="I142" s="14">
        <f>I$9</f>
        <v>2003</v>
      </c>
      <c r="K142" s="14">
        <f>K$9</f>
        <v>2004</v>
      </c>
      <c r="M142" s="14">
        <f>M$9</f>
        <v>2005</v>
      </c>
      <c r="N142" s="14"/>
      <c r="O142" s="14">
        <f>O$9</f>
        <v>2006</v>
      </c>
      <c r="Q142" s="14">
        <f>Q$9</f>
        <v>2007</v>
      </c>
      <c r="S142" s="14">
        <f>S$9</f>
        <v>2008</v>
      </c>
      <c r="U142" s="14">
        <f>U$9</f>
        <v>2009</v>
      </c>
      <c r="W142" s="14">
        <f>W$9</f>
        <v>2010</v>
      </c>
      <c r="X142" s="35"/>
      <c r="Y142" s="14">
        <f>Y$9</f>
        <v>2011</v>
      </c>
      <c r="AA142" s="14">
        <f>AA$9</f>
        <v>2012</v>
      </c>
      <c r="AC142" s="14">
        <f>AC$9</f>
        <v>2013</v>
      </c>
      <c r="AF142" s="14">
        <f>IF(AF74="","",AF74)</f>
        <v>2013</v>
      </c>
      <c r="AG142" s="14">
        <f>AG$9</f>
        <v>2014</v>
      </c>
    </row>
    <row r="143" spans="1:33" ht="13.8" thickTop="1" thickBot="1" x14ac:dyDescent="0.3">
      <c r="A143" s="4"/>
      <c r="B143" s="36" t="s">
        <v>36</v>
      </c>
      <c r="C143" s="37"/>
      <c r="D143" s="8"/>
      <c r="E143" s="8" t="str">
        <f>E$10</f>
        <v>Non-FGD</v>
      </c>
      <c r="F143" s="4"/>
      <c r="G143" s="8" t="str">
        <f>G$10</f>
        <v>Non-FGD</v>
      </c>
      <c r="I143" s="8" t="str">
        <f>I$10</f>
        <v>Non-FGD</v>
      </c>
      <c r="K143" s="8" t="str">
        <f>K$10</f>
        <v>Non-FGD</v>
      </c>
      <c r="M143" s="8" t="str">
        <f>M$10</f>
        <v>Non-FGD</v>
      </c>
      <c r="N143" s="8"/>
      <c r="O143" s="8" t="str">
        <f>O$10</f>
        <v>Non-FGD</v>
      </c>
      <c r="Q143" s="8" t="str">
        <f>Q$10</f>
        <v>Non-FGD</v>
      </c>
      <c r="S143" s="8" t="str">
        <f>S$10</f>
        <v>Non-FGD</v>
      </c>
      <c r="U143" s="8" t="str">
        <f>U$10</f>
        <v>Non-FGD</v>
      </c>
      <c r="W143" s="8" t="str">
        <f>W$10</f>
        <v>Non-FGD</v>
      </c>
      <c r="X143" s="4"/>
      <c r="Y143" s="8" t="str">
        <f>Y$10</f>
        <v>Non-FGD</v>
      </c>
      <c r="AA143" s="8" t="str">
        <f>AA$10</f>
        <v>Non-FGD</v>
      </c>
      <c r="AC143" s="8" t="str">
        <f>AC$10</f>
        <v>Non-FGD</v>
      </c>
      <c r="AF143" s="8" t="str">
        <f>IF(AF75="","",AF75)</f>
        <v>FGD</v>
      </c>
      <c r="AG143" s="8" t="str">
        <f>AG$10</f>
        <v>Non-FGD</v>
      </c>
    </row>
    <row r="144" spans="1:33" ht="10.8" thickTop="1" x14ac:dyDescent="0.2">
      <c r="A144" s="4"/>
      <c r="B144" s="38"/>
      <c r="C144" s="4"/>
      <c r="D144" s="4"/>
      <c r="E144" s="17" t="s">
        <v>3</v>
      </c>
      <c r="F144" s="4"/>
      <c r="G144" s="17" t="s">
        <v>3</v>
      </c>
      <c r="I144" s="17" t="s">
        <v>3</v>
      </c>
      <c r="K144" s="17" t="s">
        <v>3</v>
      </c>
      <c r="M144" s="17" t="s">
        <v>3</v>
      </c>
      <c r="N144" s="17"/>
      <c r="O144" s="17" t="s">
        <v>3</v>
      </c>
      <c r="Q144" s="17" t="s">
        <v>3</v>
      </c>
      <c r="S144" s="17" t="s">
        <v>3</v>
      </c>
      <c r="U144" s="17" t="s">
        <v>3</v>
      </c>
      <c r="W144" s="17" t="s">
        <v>3</v>
      </c>
      <c r="X144" s="4"/>
      <c r="Y144" s="17" t="s">
        <v>3</v>
      </c>
      <c r="AA144" s="17" t="s">
        <v>3</v>
      </c>
      <c r="AC144" s="17" t="s">
        <v>3</v>
      </c>
      <c r="AF144" s="17" t="s">
        <v>3</v>
      </c>
      <c r="AG144" s="17" t="s">
        <v>3</v>
      </c>
    </row>
    <row r="145" spans="1:33" x14ac:dyDescent="0.2">
      <c r="A145" s="4"/>
      <c r="E145" s="9" t="str">
        <f>E79</f>
        <v>Half-Year</v>
      </c>
      <c r="F145" s="55"/>
      <c r="G145" s="9" t="str">
        <f>G79</f>
        <v>Half-Year</v>
      </c>
      <c r="H145" s="9"/>
      <c r="I145" s="9" t="str">
        <f>I79</f>
        <v>Half-Year</v>
      </c>
      <c r="J145" s="9"/>
      <c r="K145" s="9" t="str">
        <f>K79</f>
        <v>Half-Year</v>
      </c>
      <c r="L145" s="9"/>
      <c r="M145" s="69" t="str">
        <f>M79</f>
        <v>Half-Year</v>
      </c>
      <c r="N145" s="69"/>
      <c r="O145" s="69" t="str">
        <f>O79</f>
        <v>Half-Year</v>
      </c>
      <c r="P145" s="9"/>
      <c r="Q145" s="9" t="str">
        <f>Q79</f>
        <v>Half-Year</v>
      </c>
      <c r="R145" s="9"/>
      <c r="S145" s="9" t="str">
        <f>S79</f>
        <v>Half-Year</v>
      </c>
      <c r="T145" s="9"/>
      <c r="U145" s="9" t="str">
        <f>U79</f>
        <v>Half-Year</v>
      </c>
      <c r="V145" s="9"/>
      <c r="W145" s="9" t="str">
        <f>W79</f>
        <v>Half-Year</v>
      </c>
      <c r="X145" s="55"/>
      <c r="Y145" s="9" t="str">
        <f>Y79</f>
        <v>Half-Year</v>
      </c>
      <c r="Z145" s="9"/>
      <c r="AA145" s="9" t="str">
        <f>AA79</f>
        <v>Half-Year</v>
      </c>
      <c r="AB145" s="9"/>
      <c r="AC145" s="9" t="str">
        <f>AC79</f>
        <v>Half-Year</v>
      </c>
      <c r="AD145" s="9"/>
      <c r="AE145" s="9"/>
      <c r="AF145" s="9" t="str">
        <f>AF79</f>
        <v>Half-Year</v>
      </c>
      <c r="AG145" s="9" t="str">
        <f>AG79</f>
        <v>Half-Year</v>
      </c>
    </row>
    <row r="146" spans="1:33" x14ac:dyDescent="0.2">
      <c r="A146" s="4"/>
      <c r="E146" s="70">
        <f>E12</f>
        <v>37072</v>
      </c>
      <c r="F146" s="71"/>
      <c r="G146" s="70">
        <f>G12</f>
        <v>37437</v>
      </c>
      <c r="H146" s="70"/>
      <c r="I146" s="70">
        <f>I12</f>
        <v>37802</v>
      </c>
      <c r="J146" s="70"/>
      <c r="K146" s="70">
        <f>K12</f>
        <v>38168</v>
      </c>
      <c r="L146" s="70"/>
      <c r="M146" s="70">
        <f>M12</f>
        <v>38533</v>
      </c>
      <c r="N146" s="70"/>
      <c r="O146" s="70">
        <f>O12</f>
        <v>38898</v>
      </c>
      <c r="P146" s="70"/>
      <c r="Q146" s="70">
        <f>Q12</f>
        <v>39263</v>
      </c>
      <c r="R146" s="70"/>
      <c r="S146" s="70">
        <f>S12</f>
        <v>39629</v>
      </c>
      <c r="T146" s="70"/>
      <c r="U146" s="70">
        <f>U12</f>
        <v>39994</v>
      </c>
      <c r="V146" s="70"/>
      <c r="W146" s="70">
        <f>W12</f>
        <v>40359</v>
      </c>
      <c r="X146" s="71"/>
      <c r="Y146" s="70">
        <f>Y12</f>
        <v>40724</v>
      </c>
      <c r="Z146" s="70"/>
      <c r="AA146" s="70">
        <f>AA12</f>
        <v>41090</v>
      </c>
      <c r="AB146" s="70"/>
      <c r="AC146" s="70">
        <f>AC12</f>
        <v>41455</v>
      </c>
      <c r="AD146" s="70"/>
      <c r="AE146" s="70"/>
      <c r="AF146" s="70">
        <f>AF12</f>
        <v>41455</v>
      </c>
      <c r="AG146" s="70">
        <f>AG12</f>
        <v>41820</v>
      </c>
    </row>
    <row r="147" spans="1:33" ht="13.2" x14ac:dyDescent="0.25">
      <c r="A147" s="4"/>
      <c r="B147" s="42">
        <v>2005</v>
      </c>
      <c r="C147" s="4"/>
      <c r="D147" s="4"/>
      <c r="E147" s="4"/>
      <c r="F147" s="4"/>
      <c r="G147" s="4"/>
      <c r="I147" s="4"/>
      <c r="K147" s="4"/>
      <c r="M147" s="4"/>
      <c r="N147" s="4"/>
      <c r="O147" s="4"/>
      <c r="Q147" s="4"/>
      <c r="S147" s="4"/>
      <c r="U147" s="4"/>
      <c r="W147" s="4"/>
      <c r="X147" s="4"/>
      <c r="Y147" s="4"/>
      <c r="AA147" s="4"/>
      <c r="AC147" s="4"/>
      <c r="AF147" s="4"/>
      <c r="AG147" s="4"/>
    </row>
    <row r="148" spans="1:33" x14ac:dyDescent="0.2">
      <c r="A148" s="4"/>
      <c r="B148" s="18" t="s">
        <v>9</v>
      </c>
      <c r="C148" s="4"/>
      <c r="D148" s="4"/>
      <c r="E148" s="4">
        <f>+E100</f>
        <v>639077</v>
      </c>
      <c r="F148" s="4"/>
      <c r="G148" s="4">
        <f>+G122</f>
        <v>3163066.5</v>
      </c>
      <c r="I148" s="4">
        <f>+I122</f>
        <v>301.54599999999999</v>
      </c>
      <c r="K148" s="4">
        <f>+K122-K128</f>
        <v>497485.08600000007</v>
      </c>
      <c r="M148" s="21">
        <f>M15</f>
        <v>2559933.21</v>
      </c>
      <c r="N148" s="21"/>
      <c r="O148" s="21"/>
      <c r="Q148" s="4">
        <v>0</v>
      </c>
      <c r="S148" s="4">
        <f>S122</f>
        <v>0</v>
      </c>
      <c r="U148" s="4">
        <f>U122</f>
        <v>0</v>
      </c>
      <c r="W148" s="4">
        <f>W122</f>
        <v>0</v>
      </c>
      <c r="X148" s="4"/>
      <c r="Y148" s="21">
        <v>0</v>
      </c>
      <c r="AA148" s="21">
        <v>0</v>
      </c>
      <c r="AC148" s="21">
        <v>0</v>
      </c>
      <c r="AF148" s="21">
        <v>0</v>
      </c>
      <c r="AG148" s="21">
        <v>0</v>
      </c>
    </row>
    <row r="149" spans="1:33" x14ac:dyDescent="0.2">
      <c r="A149" s="4"/>
      <c r="B149" s="18" t="s">
        <v>18</v>
      </c>
      <c r="C149" s="4"/>
      <c r="D149" s="4"/>
      <c r="E149" s="45">
        <v>5.713E-2</v>
      </c>
      <c r="F149" s="4"/>
      <c r="G149" s="45">
        <v>6.1769999999999999E-2</v>
      </c>
      <c r="I149" s="45">
        <v>6.6769999999999996E-2</v>
      </c>
      <c r="K149" s="45">
        <v>7.2190000000000004E-2</v>
      </c>
      <c r="M149" s="45">
        <v>3.7499999999999999E-2</v>
      </c>
      <c r="N149" s="45"/>
      <c r="O149" s="45"/>
      <c r="Q149" s="45">
        <v>0</v>
      </c>
      <c r="S149" s="45">
        <v>0</v>
      </c>
      <c r="U149" s="45">
        <v>0</v>
      </c>
      <c r="W149" s="45">
        <v>0</v>
      </c>
      <c r="X149" s="4"/>
      <c r="Y149" s="45">
        <v>0</v>
      </c>
      <c r="AA149" s="45">
        <v>0</v>
      </c>
      <c r="AC149" s="45">
        <v>0</v>
      </c>
      <c r="AF149" s="45">
        <v>0</v>
      </c>
      <c r="AG149" s="45">
        <v>0</v>
      </c>
    </row>
    <row r="150" spans="1:33" x14ac:dyDescent="0.2">
      <c r="A150" s="4"/>
      <c r="B150" s="4"/>
      <c r="C150" s="4"/>
      <c r="D150" s="4"/>
      <c r="E150" s="17" t="s">
        <v>3</v>
      </c>
      <c r="F150" s="4"/>
      <c r="G150" s="17" t="s">
        <v>3</v>
      </c>
      <c r="I150" s="17" t="s">
        <v>3</v>
      </c>
      <c r="K150" s="17" t="s">
        <v>3</v>
      </c>
      <c r="M150" s="17" t="s">
        <v>3</v>
      </c>
      <c r="N150" s="17"/>
      <c r="O150" s="17"/>
      <c r="Q150" s="17" t="s">
        <v>3</v>
      </c>
      <c r="S150" s="17" t="s">
        <v>3</v>
      </c>
      <c r="U150" s="17" t="s">
        <v>3</v>
      </c>
      <c r="W150" s="17" t="s">
        <v>3</v>
      </c>
      <c r="X150" s="4"/>
      <c r="Y150" s="17" t="s">
        <v>3</v>
      </c>
      <c r="AA150" s="17" t="s">
        <v>3</v>
      </c>
      <c r="AC150" s="17" t="s">
        <v>3</v>
      </c>
      <c r="AF150" s="17" t="s">
        <v>3</v>
      </c>
      <c r="AG150" s="17" t="s">
        <v>3</v>
      </c>
    </row>
    <row r="151" spans="1:33" x14ac:dyDescent="0.2">
      <c r="A151" s="4"/>
      <c r="B151" s="18" t="s">
        <v>38</v>
      </c>
      <c r="C151" s="4"/>
      <c r="D151" s="4"/>
      <c r="E151" s="4">
        <f>ROUND(E148*E149,0)</f>
        <v>36510</v>
      </c>
      <c r="F151" s="4"/>
      <c r="G151" s="4">
        <f>ROUND(G148*G149,0)</f>
        <v>195383</v>
      </c>
      <c r="I151" s="4">
        <f>ROUND(I148*I149,0)</f>
        <v>20</v>
      </c>
      <c r="K151" s="4">
        <f>+K148*K149</f>
        <v>35913.448358340007</v>
      </c>
      <c r="M151" s="4">
        <f>+M148*M149</f>
        <v>95997.495374999999</v>
      </c>
      <c r="N151" s="4"/>
      <c r="O151" s="4"/>
      <c r="Q151" s="4">
        <f>ROUND(Q148*Q149,0)</f>
        <v>0</v>
      </c>
      <c r="S151" s="4">
        <f>(+S148)*0.4*S149</f>
        <v>0</v>
      </c>
      <c r="U151" s="4">
        <f>(+U148)*0.4*U149</f>
        <v>0</v>
      </c>
      <c r="W151" s="4">
        <f>(+W148)*0.4*W149</f>
        <v>0</v>
      </c>
      <c r="X151" s="4"/>
      <c r="Y151" s="4">
        <f>(+Y148)*0.4*Y149</f>
        <v>0</v>
      </c>
      <c r="AA151" s="4">
        <f>(+AA148)*0.4*AA149</f>
        <v>0</v>
      </c>
      <c r="AC151" s="4">
        <f>(+AC148)*0.4*AC149</f>
        <v>0</v>
      </c>
      <c r="AF151" s="4">
        <f>(+AF148)*0.4*AF149</f>
        <v>0</v>
      </c>
      <c r="AG151" s="4">
        <f>(+AG148)*0.4*AG149</f>
        <v>0</v>
      </c>
    </row>
    <row r="152" spans="1:33" x14ac:dyDescent="0.2">
      <c r="A152" s="4"/>
      <c r="B152" s="18" t="s">
        <v>39</v>
      </c>
      <c r="C152" s="4"/>
      <c r="D152" s="4"/>
      <c r="E152" s="4"/>
      <c r="F152" s="4"/>
      <c r="G152" s="4">
        <v>0</v>
      </c>
      <c r="I152" s="4">
        <v>0</v>
      </c>
      <c r="K152" s="4">
        <v>0</v>
      </c>
      <c r="M152" s="4">
        <v>0</v>
      </c>
      <c r="N152" s="4"/>
      <c r="O152" s="4"/>
      <c r="Q152" s="4">
        <v>0</v>
      </c>
      <c r="S152" s="4">
        <f>+(S148)*0.6/60*12</f>
        <v>0</v>
      </c>
      <c r="U152" s="4">
        <f>+(U148)*0.6/60*12</f>
        <v>0</v>
      </c>
      <c r="W152" s="4">
        <f>+(W148)*0.6/60*12</f>
        <v>0</v>
      </c>
      <c r="X152" s="4"/>
      <c r="Y152" s="4">
        <f>+(Y148)*0.6/60*12</f>
        <v>0</v>
      </c>
      <c r="AA152" s="4">
        <f>+(AA148)*0.6/60*12</f>
        <v>0</v>
      </c>
      <c r="AC152" s="4">
        <f>+(AC148)*0.6/60*12</f>
        <v>0</v>
      </c>
      <c r="AF152" s="4">
        <f>+(AF148)*0.6/60*12</f>
        <v>0</v>
      </c>
      <c r="AG152" s="4">
        <f>+(AG148)*0.6/60*12</f>
        <v>0</v>
      </c>
    </row>
    <row r="153" spans="1:33" x14ac:dyDescent="0.2">
      <c r="A153" s="4"/>
      <c r="B153" s="18"/>
      <c r="C153" s="4"/>
      <c r="D153" s="4"/>
      <c r="E153" s="4"/>
      <c r="F153" s="4"/>
      <c r="G153" s="4"/>
      <c r="I153" s="4"/>
      <c r="K153" s="4"/>
      <c r="M153" s="4"/>
      <c r="N153" s="4"/>
      <c r="O153" s="4"/>
      <c r="Q153" s="4"/>
      <c r="S153" s="4"/>
      <c r="U153" s="4"/>
      <c r="W153" s="4"/>
      <c r="X153" s="4"/>
      <c r="Y153" s="4"/>
      <c r="AA153" s="4"/>
      <c r="AC153" s="4"/>
      <c r="AF153" s="4"/>
      <c r="AG153" s="4"/>
    </row>
    <row r="154" spans="1:33" x14ac:dyDescent="0.2">
      <c r="A154" s="4"/>
      <c r="B154" s="18" t="s">
        <v>27</v>
      </c>
      <c r="C154" s="4"/>
      <c r="D154" s="4"/>
      <c r="E154" s="46">
        <v>0</v>
      </c>
      <c r="F154" s="4"/>
      <c r="G154" s="46">
        <v>0</v>
      </c>
      <c r="I154" s="46">
        <v>0</v>
      </c>
      <c r="K154" s="46">
        <v>0</v>
      </c>
      <c r="M154" s="46">
        <v>0</v>
      </c>
      <c r="N154" s="46"/>
      <c r="O154" s="46"/>
      <c r="Q154" s="46">
        <v>0</v>
      </c>
      <c r="S154" s="46">
        <v>0</v>
      </c>
      <c r="U154" s="46">
        <v>0</v>
      </c>
      <c r="W154" s="46">
        <v>0</v>
      </c>
      <c r="X154" s="4"/>
      <c r="Y154" s="46">
        <v>0</v>
      </c>
      <c r="AA154" s="46">
        <v>0</v>
      </c>
      <c r="AC154" s="46">
        <v>0</v>
      </c>
      <c r="AF154" s="46">
        <v>0</v>
      </c>
      <c r="AG154" s="46">
        <v>0</v>
      </c>
    </row>
    <row r="155" spans="1:33" x14ac:dyDescent="0.2">
      <c r="A155" s="4"/>
      <c r="B155" s="18"/>
      <c r="C155" s="4"/>
      <c r="D155" s="4"/>
      <c r="E155" s="4"/>
      <c r="F155" s="4"/>
      <c r="G155" s="4"/>
      <c r="I155" s="4"/>
      <c r="K155" s="4"/>
      <c r="M155" s="4"/>
      <c r="N155" s="4"/>
      <c r="O155" s="4"/>
      <c r="Q155" s="4"/>
      <c r="S155" s="4"/>
      <c r="U155" s="4"/>
      <c r="W155" s="4"/>
      <c r="X155" s="4"/>
      <c r="Y155" s="4"/>
      <c r="AA155" s="4"/>
      <c r="AC155" s="4"/>
      <c r="AF155" s="4"/>
      <c r="AG155" s="4"/>
    </row>
    <row r="156" spans="1:33" x14ac:dyDescent="0.2">
      <c r="A156" s="4"/>
      <c r="B156" s="4"/>
      <c r="C156" s="4"/>
      <c r="D156" s="4"/>
      <c r="E156" s="17"/>
      <c r="F156" s="4"/>
      <c r="G156" s="17"/>
      <c r="I156" s="17"/>
      <c r="K156" s="17"/>
      <c r="M156" s="17"/>
      <c r="N156" s="17"/>
      <c r="O156" s="17"/>
      <c r="Q156" s="17"/>
      <c r="S156" s="17"/>
      <c r="U156" s="17"/>
      <c r="W156" s="17"/>
      <c r="X156" s="4"/>
      <c r="Y156" s="17"/>
      <c r="AA156" s="17"/>
      <c r="AC156" s="17"/>
      <c r="AF156" s="17"/>
      <c r="AG156" s="17"/>
    </row>
    <row r="157" spans="1:33" ht="10.8" thickBot="1" x14ac:dyDescent="0.25">
      <c r="A157" s="4"/>
      <c r="B157" s="18" t="s">
        <v>40</v>
      </c>
      <c r="C157" s="4"/>
      <c r="D157" s="4"/>
      <c r="E157" s="47">
        <f>E151+E154</f>
        <v>36510</v>
      </c>
      <c r="F157" s="4"/>
      <c r="G157" s="47">
        <f>G151+G154+G152</f>
        <v>195383</v>
      </c>
      <c r="I157" s="47">
        <f>I151+I154+I152</f>
        <v>20</v>
      </c>
      <c r="K157" s="47">
        <f>K151+K154+K152</f>
        <v>35913.448358340007</v>
      </c>
      <c r="M157" s="47">
        <f>M151+M154+M152</f>
        <v>95997.495374999999</v>
      </c>
      <c r="N157" s="47"/>
      <c r="O157" s="47">
        <f>O151+O154+O152</f>
        <v>0</v>
      </c>
      <c r="Q157" s="47">
        <f>Q151+Q154+Q152</f>
        <v>0</v>
      </c>
      <c r="S157" s="47">
        <f>S151+S154+S152</f>
        <v>0</v>
      </c>
      <c r="U157" s="47">
        <f>U151+U154+U152</f>
        <v>0</v>
      </c>
      <c r="W157" s="47">
        <f>W151+W154+W152</f>
        <v>0</v>
      </c>
      <c r="X157" s="4"/>
      <c r="Y157" s="47">
        <f>Y151+Y154+Y152</f>
        <v>0</v>
      </c>
      <c r="AA157" s="47">
        <f>AA151+AA154+AA152</f>
        <v>0</v>
      </c>
      <c r="AC157" s="47">
        <f>AC151+AC154+AC152</f>
        <v>0</v>
      </c>
      <c r="AF157" s="47">
        <f>AF151+AF154+AF152</f>
        <v>0</v>
      </c>
      <c r="AG157" s="47">
        <f>AG151+AG154+AG152</f>
        <v>0</v>
      </c>
    </row>
    <row r="158" spans="1:33" ht="10.8" thickTop="1" x14ac:dyDescent="0.2">
      <c r="A158" s="4"/>
      <c r="B158" s="4"/>
      <c r="C158" s="4"/>
      <c r="D158" s="4"/>
      <c r="E158" s="17"/>
      <c r="F158" s="4"/>
      <c r="G158" s="17"/>
      <c r="I158" s="17"/>
      <c r="K158" s="17"/>
      <c r="M158" s="17"/>
      <c r="N158" s="17"/>
      <c r="O158" s="17"/>
      <c r="Q158" s="17"/>
      <c r="S158" s="17"/>
      <c r="U158" s="17"/>
      <c r="W158" s="17"/>
      <c r="X158" s="4"/>
      <c r="Y158" s="17"/>
      <c r="AA158" s="17"/>
      <c r="AC158" s="17"/>
      <c r="AF158" s="17"/>
      <c r="AG158" s="17"/>
    </row>
    <row r="159" spans="1:33" x14ac:dyDescent="0.2">
      <c r="A159" s="4"/>
      <c r="B159" s="18"/>
      <c r="C159" s="4"/>
      <c r="D159" s="4"/>
      <c r="E159" s="4"/>
      <c r="F159" s="4"/>
      <c r="G159" s="4"/>
      <c r="I159" s="4"/>
      <c r="K159" s="4"/>
      <c r="M159" s="4"/>
      <c r="N159" s="4"/>
      <c r="O159" s="4"/>
      <c r="Q159" s="4"/>
      <c r="S159" s="4"/>
      <c r="U159" s="4"/>
      <c r="W159" s="4"/>
      <c r="X159" s="4"/>
      <c r="Y159" s="4"/>
      <c r="AA159" s="4"/>
      <c r="AC159" s="4"/>
      <c r="AF159" s="4"/>
      <c r="AG159" s="4"/>
    </row>
    <row r="160" spans="1:33" ht="13.2" x14ac:dyDescent="0.25">
      <c r="A160" s="4"/>
      <c r="B160" s="42">
        <v>2006</v>
      </c>
      <c r="C160" s="4"/>
      <c r="D160" s="4"/>
      <c r="E160" s="4"/>
      <c r="F160" s="4"/>
      <c r="G160" s="4"/>
      <c r="I160" s="4"/>
      <c r="K160" s="4"/>
      <c r="M160" s="4"/>
      <c r="N160" s="4"/>
      <c r="O160" s="4"/>
      <c r="Q160" s="4"/>
      <c r="S160" s="4"/>
      <c r="U160" s="4"/>
      <c r="W160" s="4"/>
      <c r="X160" s="4"/>
      <c r="Y160" s="4"/>
      <c r="AA160" s="4"/>
      <c r="AC160" s="4"/>
      <c r="AF160" s="4"/>
      <c r="AG160" s="4"/>
    </row>
    <row r="161" spans="1:33" x14ac:dyDescent="0.2">
      <c r="A161" s="4"/>
      <c r="B161" s="18" t="s">
        <v>9</v>
      </c>
      <c r="C161" s="4"/>
      <c r="D161" s="4"/>
      <c r="E161" s="4">
        <f>E148</f>
        <v>639077</v>
      </c>
      <c r="F161" s="4"/>
      <c r="G161" s="4">
        <f>G148</f>
        <v>3163066.5</v>
      </c>
      <c r="I161" s="4">
        <f>I148</f>
        <v>301.54599999999999</v>
      </c>
      <c r="K161" s="4">
        <f>K148</f>
        <v>497485.08600000007</v>
      </c>
      <c r="M161" s="21">
        <f>+M148-M154</f>
        <v>2559933.21</v>
      </c>
      <c r="N161" s="21"/>
      <c r="O161" s="21">
        <f>O15</f>
        <v>-778830.3600000001</v>
      </c>
      <c r="Q161" s="4">
        <f>Q148</f>
        <v>0</v>
      </c>
      <c r="S161" s="4">
        <f>S148</f>
        <v>0</v>
      </c>
      <c r="U161" s="4">
        <f>U148</f>
        <v>0</v>
      </c>
      <c r="W161" s="4">
        <f>W148</f>
        <v>0</v>
      </c>
      <c r="X161" s="4"/>
      <c r="Y161" s="21">
        <f>Y148</f>
        <v>0</v>
      </c>
      <c r="AA161" s="21">
        <f>AA148</f>
        <v>0</v>
      </c>
      <c r="AC161" s="21">
        <v>0</v>
      </c>
      <c r="AF161" s="21">
        <v>0</v>
      </c>
      <c r="AG161" s="21">
        <v>0</v>
      </c>
    </row>
    <row r="162" spans="1:33" x14ac:dyDescent="0.2">
      <c r="A162" s="4"/>
      <c r="B162" s="18" t="s">
        <v>18</v>
      </c>
      <c r="C162" s="4"/>
      <c r="D162" s="4"/>
      <c r="E162" s="45">
        <v>5.2850000000000001E-2</v>
      </c>
      <c r="F162" s="4"/>
      <c r="G162" s="45">
        <v>5.713E-2</v>
      </c>
      <c r="I162" s="45">
        <v>6.1769999999999999E-2</v>
      </c>
      <c r="K162" s="45">
        <v>6.6769999999999996E-2</v>
      </c>
      <c r="M162" s="45">
        <v>7.2190000000000004E-2</v>
      </c>
      <c r="N162" s="45"/>
      <c r="O162" s="45">
        <v>3.7499999999999999E-2</v>
      </c>
      <c r="Q162" s="45">
        <v>0</v>
      </c>
      <c r="S162" s="45">
        <v>0</v>
      </c>
      <c r="U162" s="45">
        <v>0</v>
      </c>
      <c r="W162" s="45">
        <v>0</v>
      </c>
      <c r="X162" s="4"/>
      <c r="Y162" s="45">
        <v>0</v>
      </c>
      <c r="AA162" s="45">
        <v>0</v>
      </c>
      <c r="AC162" s="45">
        <v>0</v>
      </c>
      <c r="AF162" s="45">
        <v>0</v>
      </c>
      <c r="AG162" s="45">
        <v>0</v>
      </c>
    </row>
    <row r="163" spans="1:33" x14ac:dyDescent="0.2">
      <c r="A163" s="4"/>
      <c r="B163" s="4"/>
      <c r="C163" s="4"/>
      <c r="D163" s="4"/>
      <c r="E163" s="17" t="s">
        <v>3</v>
      </c>
      <c r="F163" s="4"/>
      <c r="G163" s="17" t="s">
        <v>3</v>
      </c>
      <c r="I163" s="17" t="s">
        <v>3</v>
      </c>
      <c r="K163" s="17" t="s">
        <v>3</v>
      </c>
      <c r="M163" s="17" t="s">
        <v>3</v>
      </c>
      <c r="N163" s="17"/>
      <c r="O163" s="17" t="s">
        <v>3</v>
      </c>
      <c r="Q163" s="17" t="s">
        <v>3</v>
      </c>
      <c r="S163" s="17" t="s">
        <v>3</v>
      </c>
      <c r="U163" s="17" t="s">
        <v>3</v>
      </c>
      <c r="W163" s="17" t="s">
        <v>3</v>
      </c>
      <c r="X163" s="4"/>
      <c r="Y163" s="17" t="s">
        <v>3</v>
      </c>
      <c r="AA163" s="17" t="s">
        <v>3</v>
      </c>
      <c r="AC163" s="17" t="s">
        <v>3</v>
      </c>
      <c r="AF163" s="17" t="s">
        <v>3</v>
      </c>
      <c r="AG163" s="17" t="s">
        <v>3</v>
      </c>
    </row>
    <row r="164" spans="1:33" x14ac:dyDescent="0.2">
      <c r="A164" s="4"/>
      <c r="B164" s="18" t="s">
        <v>41</v>
      </c>
      <c r="C164" s="4"/>
      <c r="D164" s="4"/>
      <c r="E164" s="4">
        <f>ROUND(E161*E162,0)</f>
        <v>33775</v>
      </c>
      <c r="F164" s="4"/>
      <c r="G164" s="4">
        <f>ROUND(G161*G162,0)</f>
        <v>180706</v>
      </c>
      <c r="I164" s="4">
        <f>ROUND(I161*I162,0)</f>
        <v>19</v>
      </c>
      <c r="K164" s="4">
        <f>+K161*K162</f>
        <v>33217.079192220001</v>
      </c>
      <c r="M164" s="4">
        <f>+M161*M162</f>
        <v>184801.57842990002</v>
      </c>
      <c r="N164" s="4"/>
      <c r="O164" s="4">
        <f>+O161*O162</f>
        <v>-29206.138500000005</v>
      </c>
      <c r="Q164" s="4">
        <f>ROUND(Q161*Q162,0)</f>
        <v>0</v>
      </c>
      <c r="S164" s="4">
        <f>(+S161)*0.4*S162</f>
        <v>0</v>
      </c>
      <c r="U164" s="4">
        <f>(+U161)*0.4*U162</f>
        <v>0</v>
      </c>
      <c r="W164" s="4">
        <f>(+W161)*0.4*W162</f>
        <v>0</v>
      </c>
      <c r="X164" s="4"/>
      <c r="Y164" s="4">
        <f>(+Y161)*0.4*Y162</f>
        <v>0</v>
      </c>
      <c r="AA164" s="4">
        <f>(+AA161)*0.4*AA162</f>
        <v>0</v>
      </c>
      <c r="AC164" s="4">
        <f>(+AC161)*0.4*AC162</f>
        <v>0</v>
      </c>
      <c r="AF164" s="4">
        <f>(+AF161)*0.4*AF162</f>
        <v>0</v>
      </c>
      <c r="AG164" s="4">
        <f>(+AG161)*0.4*AG162</f>
        <v>0</v>
      </c>
    </row>
    <row r="165" spans="1:33" x14ac:dyDescent="0.2">
      <c r="A165" s="4"/>
      <c r="B165" s="18" t="s">
        <v>48</v>
      </c>
      <c r="C165" s="4"/>
      <c r="D165" s="4"/>
      <c r="E165" s="4"/>
      <c r="F165" s="4"/>
      <c r="G165" s="4">
        <v>0</v>
      </c>
      <c r="I165" s="4">
        <v>0</v>
      </c>
      <c r="K165" s="4">
        <v>0</v>
      </c>
      <c r="M165" s="4">
        <v>0</v>
      </c>
      <c r="N165" s="4"/>
      <c r="O165" s="4">
        <v>0</v>
      </c>
      <c r="Q165" s="4">
        <v>0</v>
      </c>
      <c r="S165" s="4">
        <f>+(S161)*0.6/60*12</f>
        <v>0</v>
      </c>
      <c r="U165" s="4">
        <f>+(U161)*0.6/60*12</f>
        <v>0</v>
      </c>
      <c r="W165" s="4">
        <f>+(W161)*0.6/60*12</f>
        <v>0</v>
      </c>
      <c r="X165" s="4"/>
      <c r="Y165" s="4">
        <f>+(Y161)*0.6/60*12</f>
        <v>0</v>
      </c>
      <c r="AA165" s="4">
        <f>+(AA161)*0.6/60*12</f>
        <v>0</v>
      </c>
      <c r="AC165" s="4">
        <f>+(AC161)*0.6/60*12</f>
        <v>0</v>
      </c>
      <c r="AF165" s="4">
        <f>+(AF161)*0.6/60*12</f>
        <v>0</v>
      </c>
      <c r="AG165" s="4">
        <f>+(AG161)*0.6/60*12</f>
        <v>0</v>
      </c>
    </row>
    <row r="166" spans="1:33" x14ac:dyDescent="0.2">
      <c r="A166" s="4"/>
      <c r="B166" s="18"/>
      <c r="C166" s="4"/>
      <c r="D166" s="4"/>
      <c r="E166" s="4"/>
      <c r="F166" s="4"/>
      <c r="G166" s="4"/>
      <c r="I166" s="4"/>
      <c r="K166" s="4"/>
      <c r="M166" s="4"/>
      <c r="N166" s="4"/>
      <c r="O166" s="4"/>
      <c r="Q166" s="4"/>
      <c r="S166" s="4"/>
      <c r="U166" s="4"/>
      <c r="W166" s="4"/>
      <c r="X166" s="4"/>
      <c r="Y166" s="4"/>
      <c r="AA166" s="4"/>
      <c r="AC166" s="4"/>
      <c r="AF166" s="4"/>
      <c r="AG166" s="4"/>
    </row>
    <row r="167" spans="1:33" x14ac:dyDescent="0.2">
      <c r="A167" s="4"/>
      <c r="B167" s="18" t="s">
        <v>27</v>
      </c>
      <c r="C167" s="4"/>
      <c r="D167" s="4"/>
      <c r="E167" s="46"/>
      <c r="F167" s="4"/>
      <c r="G167" s="46"/>
      <c r="I167" s="46"/>
      <c r="K167" s="46"/>
      <c r="M167" s="46"/>
      <c r="N167" s="46"/>
      <c r="O167" s="46">
        <v>0</v>
      </c>
      <c r="Q167" s="46"/>
      <c r="S167" s="46"/>
      <c r="U167" s="46"/>
      <c r="W167" s="46"/>
      <c r="X167" s="4"/>
      <c r="Y167" s="46"/>
      <c r="AA167" s="46"/>
      <c r="AC167" s="46"/>
      <c r="AF167" s="46"/>
      <c r="AG167" s="46"/>
    </row>
    <row r="168" spans="1:33" x14ac:dyDescent="0.2">
      <c r="A168" s="4"/>
      <c r="B168" s="18"/>
      <c r="C168" s="4"/>
      <c r="D168" s="4"/>
      <c r="E168" s="17" t="s">
        <v>3</v>
      </c>
      <c r="F168" s="4"/>
      <c r="G168" s="17" t="s">
        <v>3</v>
      </c>
      <c r="I168" s="17" t="s">
        <v>3</v>
      </c>
      <c r="K168" s="17" t="s">
        <v>3</v>
      </c>
      <c r="M168" s="17" t="s">
        <v>3</v>
      </c>
      <c r="N168" s="17"/>
      <c r="O168" s="17" t="s">
        <v>3</v>
      </c>
      <c r="Q168" s="17" t="s">
        <v>3</v>
      </c>
      <c r="S168" s="17" t="s">
        <v>3</v>
      </c>
      <c r="U168" s="17" t="s">
        <v>3</v>
      </c>
      <c r="W168" s="17" t="s">
        <v>3</v>
      </c>
      <c r="X168" s="4"/>
      <c r="Y168" s="17" t="s">
        <v>3</v>
      </c>
      <c r="AA168" s="17" t="s">
        <v>3</v>
      </c>
      <c r="AC168" s="17" t="s">
        <v>3</v>
      </c>
      <c r="AF168" s="17" t="s">
        <v>3</v>
      </c>
      <c r="AG168" s="17" t="s">
        <v>3</v>
      </c>
    </row>
    <row r="169" spans="1:33" x14ac:dyDescent="0.2">
      <c r="A169" s="4"/>
      <c r="B169" s="18" t="s">
        <v>42</v>
      </c>
      <c r="C169" s="4"/>
      <c r="D169" s="4"/>
      <c r="E169" s="4">
        <f>SUM(E164:E167)</f>
        <v>33775</v>
      </c>
      <c r="F169" s="4"/>
      <c r="G169" s="4">
        <f>SUM(G164:G167)</f>
        <v>180706</v>
      </c>
      <c r="I169" s="4">
        <f>SUM(I164:I167)</f>
        <v>19</v>
      </c>
      <c r="K169" s="4">
        <f>SUM(K164:K167)</f>
        <v>33217.079192220001</v>
      </c>
      <c r="M169" s="4">
        <f>SUM(M164:M167)</f>
        <v>184801.57842990002</v>
      </c>
      <c r="N169" s="4"/>
      <c r="O169" s="4">
        <f>SUM(O164:O167)</f>
        <v>-29206.138500000005</v>
      </c>
      <c r="Q169" s="4">
        <f>SUM(Q164:Q167)</f>
        <v>0</v>
      </c>
      <c r="S169" s="4">
        <f>SUM(S164:S167)</f>
        <v>0</v>
      </c>
      <c r="U169" s="4">
        <f>SUM(U164:U167)</f>
        <v>0</v>
      </c>
      <c r="W169" s="4">
        <f>SUM(W164:W167)</f>
        <v>0</v>
      </c>
      <c r="X169" s="4"/>
      <c r="Y169" s="4">
        <f>SUM(Y164:Y167)</f>
        <v>0</v>
      </c>
      <c r="AA169" s="4">
        <f>SUM(AA164:AA167)</f>
        <v>0</v>
      </c>
      <c r="AC169" s="4">
        <f>SUM(AC164:AC167)</f>
        <v>0</v>
      </c>
      <c r="AF169" s="4">
        <f>SUM(AF164:AF167)</f>
        <v>0</v>
      </c>
      <c r="AG169" s="4">
        <f>SUM(AG164:AG167)</f>
        <v>0</v>
      </c>
    </row>
    <row r="170" spans="1:33" x14ac:dyDescent="0.2">
      <c r="A170" s="4"/>
      <c r="B170" s="18" t="s">
        <v>21</v>
      </c>
      <c r="C170" s="4"/>
      <c r="D170" s="4"/>
      <c r="E170" s="48">
        <v>1</v>
      </c>
      <c r="F170" s="4"/>
      <c r="G170" s="48">
        <v>1</v>
      </c>
      <c r="I170" s="48">
        <v>1</v>
      </c>
      <c r="K170" s="48">
        <v>1</v>
      </c>
      <c r="M170" s="48">
        <v>1</v>
      </c>
      <c r="N170" s="48"/>
      <c r="O170" s="48">
        <v>1</v>
      </c>
      <c r="Q170" s="48">
        <v>0</v>
      </c>
      <c r="S170" s="48">
        <v>0</v>
      </c>
      <c r="U170" s="48">
        <v>0</v>
      </c>
      <c r="W170" s="48">
        <v>0</v>
      </c>
      <c r="X170" s="4"/>
      <c r="Y170" s="48">
        <v>0</v>
      </c>
      <c r="AA170" s="48">
        <v>0</v>
      </c>
      <c r="AC170" s="48">
        <v>0</v>
      </c>
      <c r="AF170" s="48">
        <v>0</v>
      </c>
      <c r="AG170" s="48">
        <v>0</v>
      </c>
    </row>
    <row r="171" spans="1:33" x14ac:dyDescent="0.2">
      <c r="A171" s="4"/>
      <c r="B171" s="18" t="s">
        <v>22</v>
      </c>
      <c r="C171" s="4"/>
      <c r="D171" s="4"/>
      <c r="E171" s="48"/>
      <c r="F171" s="4"/>
      <c r="G171" s="48"/>
      <c r="I171" s="48"/>
      <c r="K171" s="48"/>
      <c r="M171" s="48"/>
      <c r="N171" s="48"/>
      <c r="O171" s="48"/>
      <c r="Q171" s="48"/>
      <c r="S171" s="48"/>
      <c r="U171" s="48"/>
      <c r="W171" s="48"/>
      <c r="X171" s="4"/>
      <c r="Y171" s="48"/>
      <c r="AA171" s="48"/>
      <c r="AC171" s="48"/>
      <c r="AF171" s="48"/>
      <c r="AG171" s="48"/>
    </row>
    <row r="172" spans="1:33" x14ac:dyDescent="0.2">
      <c r="A172" s="4"/>
      <c r="B172" s="4"/>
      <c r="C172" s="4"/>
      <c r="D172" s="4"/>
      <c r="E172" s="17" t="s">
        <v>3</v>
      </c>
      <c r="F172" s="4"/>
      <c r="G172" s="17" t="s">
        <v>3</v>
      </c>
      <c r="I172" s="17" t="s">
        <v>3</v>
      </c>
      <c r="K172" s="17" t="s">
        <v>3</v>
      </c>
      <c r="M172" s="17" t="s">
        <v>3</v>
      </c>
      <c r="N172" s="17"/>
      <c r="O172" s="17" t="s">
        <v>3</v>
      </c>
      <c r="Q172" s="17" t="s">
        <v>3</v>
      </c>
      <c r="S172" s="17" t="s">
        <v>3</v>
      </c>
      <c r="U172" s="17" t="s">
        <v>3</v>
      </c>
      <c r="W172" s="17" t="s">
        <v>3</v>
      </c>
      <c r="X172" s="4"/>
      <c r="Y172" s="17" t="s">
        <v>3</v>
      </c>
      <c r="AA172" s="17" t="s">
        <v>3</v>
      </c>
      <c r="AC172" s="17" t="s">
        <v>3</v>
      </c>
      <c r="AF172" s="17" t="s">
        <v>3</v>
      </c>
      <c r="AG172" s="17" t="s">
        <v>3</v>
      </c>
    </row>
    <row r="173" spans="1:33" x14ac:dyDescent="0.2">
      <c r="A173" s="43"/>
      <c r="B173" s="18" t="s">
        <v>42</v>
      </c>
      <c r="C173" s="4"/>
      <c r="D173" s="4"/>
      <c r="E173" s="4">
        <f>ROUND(E169*E170,0)</f>
        <v>33775</v>
      </c>
      <c r="F173" s="4"/>
      <c r="G173" s="4">
        <f>ROUND(G169*G170,0)</f>
        <v>180706</v>
      </c>
      <c r="I173" s="4">
        <f>ROUND(I169*I170,0)</f>
        <v>19</v>
      </c>
      <c r="K173" s="4">
        <f>ROUND(K169*K170,0)</f>
        <v>33217</v>
      </c>
      <c r="M173" s="4">
        <f>ROUND(M169*M170,0)</f>
        <v>184802</v>
      </c>
      <c r="N173" s="4"/>
      <c r="O173" s="4">
        <f>ROUND(O169*O170,0)</f>
        <v>-29206</v>
      </c>
      <c r="Q173" s="4">
        <f>ROUND(Q169*Q170,0)</f>
        <v>0</v>
      </c>
      <c r="S173" s="4">
        <f>ROUND(S169*S170,0)</f>
        <v>0</v>
      </c>
      <c r="U173" s="4">
        <f>ROUND(U169*U170,0)</f>
        <v>0</v>
      </c>
      <c r="W173" s="4">
        <f>ROUND(W169*W170,0)</f>
        <v>0</v>
      </c>
      <c r="X173" s="4"/>
      <c r="Y173" s="4">
        <f>ROUND(Y169*Y170,0)</f>
        <v>0</v>
      </c>
      <c r="AA173" s="4">
        <f>ROUND(AA169*AA170,0)</f>
        <v>0</v>
      </c>
      <c r="AC173" s="4">
        <f>ROUND(AC169*AC170,0)</f>
        <v>0</v>
      </c>
      <c r="AF173" s="4">
        <f>ROUND(AF169*AF170,0)</f>
        <v>0</v>
      </c>
      <c r="AG173" s="4">
        <f>ROUND(AG169*AG170,0)</f>
        <v>0</v>
      </c>
    </row>
    <row r="174" spans="1:33" x14ac:dyDescent="0.2">
      <c r="A174" s="4"/>
      <c r="B174" s="4"/>
      <c r="C174" s="4"/>
      <c r="D174" s="4"/>
      <c r="E174" s="17" t="s">
        <v>8</v>
      </c>
      <c r="F174" s="4"/>
      <c r="G174" s="17" t="s">
        <v>8</v>
      </c>
      <c r="I174" s="17" t="s">
        <v>8</v>
      </c>
      <c r="K174" s="17" t="s">
        <v>8</v>
      </c>
      <c r="M174" s="17" t="s">
        <v>8</v>
      </c>
      <c r="N174" s="17"/>
      <c r="O174" s="17" t="s">
        <v>8</v>
      </c>
      <c r="Q174" s="17" t="s">
        <v>8</v>
      </c>
      <c r="S174" s="17" t="s">
        <v>8</v>
      </c>
      <c r="U174" s="17" t="s">
        <v>8</v>
      </c>
      <c r="W174" s="17" t="s">
        <v>8</v>
      </c>
      <c r="X174" s="4"/>
      <c r="Y174" s="17" t="s">
        <v>8</v>
      </c>
      <c r="AA174" s="17" t="s">
        <v>8</v>
      </c>
      <c r="AC174" s="17" t="s">
        <v>8</v>
      </c>
      <c r="AF174" s="17" t="s">
        <v>8</v>
      </c>
      <c r="AG174" s="17" t="s">
        <v>8</v>
      </c>
    </row>
    <row r="175" spans="1:33" x14ac:dyDescent="0.2">
      <c r="A175" s="4"/>
      <c r="B175" s="18"/>
      <c r="C175" s="4"/>
      <c r="D175" s="4"/>
      <c r="E175" s="4"/>
      <c r="F175" s="4"/>
      <c r="G175" s="4"/>
      <c r="I175" s="4"/>
      <c r="K175" s="4"/>
      <c r="M175" s="4"/>
      <c r="N175" s="4"/>
      <c r="O175" s="4"/>
      <c r="Q175" s="4"/>
      <c r="S175" s="4"/>
      <c r="U175" s="4"/>
      <c r="W175" s="4"/>
      <c r="X175" s="4"/>
      <c r="Y175" s="4"/>
      <c r="AA175" s="4"/>
      <c r="AC175" s="4"/>
      <c r="AF175" s="4"/>
      <c r="AG175" s="4"/>
    </row>
    <row r="176" spans="1:33" ht="13.2" x14ac:dyDescent="0.25">
      <c r="A176" s="4"/>
      <c r="B176" s="42">
        <v>2007</v>
      </c>
      <c r="C176" s="4"/>
      <c r="D176" s="4"/>
      <c r="E176" s="4"/>
      <c r="F176" s="4"/>
      <c r="G176" s="4"/>
      <c r="I176" s="4"/>
      <c r="K176" s="4"/>
      <c r="M176" s="4"/>
      <c r="N176" s="4"/>
      <c r="O176" s="4"/>
      <c r="Q176" s="4"/>
      <c r="S176" s="4"/>
      <c r="U176" s="4"/>
      <c r="W176" s="4"/>
      <c r="X176" s="4"/>
      <c r="Y176" s="4"/>
      <c r="AA176" s="4"/>
      <c r="AC176" s="4"/>
      <c r="AF176" s="4"/>
      <c r="AG176" s="4"/>
    </row>
    <row r="177" spans="1:33" x14ac:dyDescent="0.2">
      <c r="A177" s="4"/>
      <c r="B177" s="18" t="s">
        <v>9</v>
      </c>
      <c r="C177" s="4"/>
      <c r="D177" s="4"/>
      <c r="E177" s="4">
        <f>+E161</f>
        <v>639077</v>
      </c>
      <c r="F177" s="4"/>
      <c r="G177" s="4">
        <f>+G161</f>
        <v>3163066.5</v>
      </c>
      <c r="I177" s="4">
        <f>+I161</f>
        <v>301.54599999999999</v>
      </c>
      <c r="K177" s="4">
        <f>+K161</f>
        <v>497485.08600000007</v>
      </c>
      <c r="M177" s="4">
        <f>+M161</f>
        <v>2559933.21</v>
      </c>
      <c r="N177" s="4"/>
      <c r="O177" s="4">
        <f>+O161-O167</f>
        <v>-778830.3600000001</v>
      </c>
      <c r="Q177" s="4">
        <f>Q15</f>
        <v>193855520.15000001</v>
      </c>
      <c r="S177" s="4">
        <f>+S161</f>
        <v>0</v>
      </c>
      <c r="U177" s="4">
        <f>+U161</f>
        <v>0</v>
      </c>
      <c r="W177" s="4">
        <f>+W161</f>
        <v>0</v>
      </c>
      <c r="X177" s="4"/>
      <c r="Y177" s="4">
        <f>+Y161</f>
        <v>0</v>
      </c>
      <c r="AA177" s="4">
        <f>+AA161</f>
        <v>0</v>
      </c>
      <c r="AC177" s="4">
        <f>+AC161</f>
        <v>0</v>
      </c>
      <c r="AF177" s="4">
        <f>+AF161</f>
        <v>0</v>
      </c>
      <c r="AG177" s="4">
        <f>+AG161</f>
        <v>0</v>
      </c>
    </row>
    <row r="178" spans="1:33" x14ac:dyDescent="0.2">
      <c r="A178" s="4"/>
      <c r="B178" s="18" t="s">
        <v>18</v>
      </c>
      <c r="C178" s="4"/>
      <c r="D178" s="4"/>
      <c r="E178" s="49">
        <v>4.888E-2</v>
      </c>
      <c r="F178" s="4"/>
      <c r="G178" s="49">
        <v>5.2850000000000001E-2</v>
      </c>
      <c r="I178" s="49">
        <v>5.713E-2</v>
      </c>
      <c r="K178" s="49">
        <v>6.1769999999999999E-2</v>
      </c>
      <c r="M178" s="49">
        <v>6.6769999999999996E-2</v>
      </c>
      <c r="N178" s="49"/>
      <c r="O178" s="49">
        <v>7.2190000000000004E-2</v>
      </c>
      <c r="Q178" s="49">
        <v>3.7499999999999999E-2</v>
      </c>
      <c r="S178" s="49">
        <v>0</v>
      </c>
      <c r="U178" s="49">
        <v>0</v>
      </c>
      <c r="W178" s="49">
        <v>0</v>
      </c>
      <c r="X178" s="4"/>
      <c r="Y178" s="49">
        <v>0</v>
      </c>
      <c r="AA178" s="49">
        <v>0</v>
      </c>
      <c r="AC178" s="49">
        <v>0</v>
      </c>
      <c r="AF178" s="49">
        <v>0</v>
      </c>
      <c r="AG178" s="49">
        <v>0</v>
      </c>
    </row>
    <row r="179" spans="1:33" x14ac:dyDescent="0.2">
      <c r="A179" s="4"/>
      <c r="B179" s="4"/>
      <c r="C179" s="4"/>
      <c r="D179" s="4"/>
      <c r="E179" s="17" t="s">
        <v>3</v>
      </c>
      <c r="F179" s="4"/>
      <c r="G179" s="17" t="s">
        <v>3</v>
      </c>
      <c r="I179" s="17" t="s">
        <v>3</v>
      </c>
      <c r="K179" s="17" t="s">
        <v>3</v>
      </c>
      <c r="M179" s="17" t="s">
        <v>3</v>
      </c>
      <c r="N179" s="17"/>
      <c r="O179" s="17" t="s">
        <v>3</v>
      </c>
      <c r="Q179" s="17" t="s">
        <v>3</v>
      </c>
      <c r="S179" s="17" t="s">
        <v>3</v>
      </c>
      <c r="U179" s="17" t="s">
        <v>3</v>
      </c>
      <c r="W179" s="17" t="s">
        <v>3</v>
      </c>
      <c r="X179" s="4"/>
      <c r="Y179" s="17" t="s">
        <v>3</v>
      </c>
      <c r="AA179" s="17" t="s">
        <v>3</v>
      </c>
      <c r="AC179" s="17" t="s">
        <v>3</v>
      </c>
      <c r="AF179" s="17" t="s">
        <v>3</v>
      </c>
      <c r="AG179" s="17" t="s">
        <v>3</v>
      </c>
    </row>
    <row r="180" spans="1:33" x14ac:dyDescent="0.2">
      <c r="A180" s="4"/>
      <c r="B180" s="18" t="s">
        <v>46</v>
      </c>
      <c r="C180" s="4"/>
      <c r="D180" s="4"/>
      <c r="E180" s="4">
        <f>ROUND(E177*E178,0)</f>
        <v>31238</v>
      </c>
      <c r="F180" s="4"/>
      <c r="G180" s="4">
        <f>ROUND(G177*G178,0)</f>
        <v>167168</v>
      </c>
      <c r="I180" s="4">
        <f>ROUND(I177*I178,0)</f>
        <v>17</v>
      </c>
      <c r="K180" s="4">
        <f>+K177*K178</f>
        <v>30729.653762220005</v>
      </c>
      <c r="M180" s="4">
        <f>+M177*M178</f>
        <v>170926.74043169999</v>
      </c>
      <c r="N180" s="4"/>
      <c r="O180" s="4">
        <f>+O177*O178</f>
        <v>-56223.763688400009</v>
      </c>
      <c r="Q180" s="4">
        <f>ROUND(Q177*Q178,0)</f>
        <v>7269582</v>
      </c>
      <c r="S180" s="4">
        <f>(+S177)*0.4*S178</f>
        <v>0</v>
      </c>
      <c r="U180" s="4">
        <f>(+U177)*0.4*U178</f>
        <v>0</v>
      </c>
      <c r="W180" s="4">
        <f>(+W177)*0.4*W178</f>
        <v>0</v>
      </c>
      <c r="X180" s="4"/>
      <c r="Y180" s="4">
        <f>(+Y177)*0.4*Y178</f>
        <v>0</v>
      </c>
      <c r="AA180" s="4">
        <f>(+AA177)*0.4*AA178</f>
        <v>0</v>
      </c>
      <c r="AC180" s="4">
        <f>(+AC177)*0.4*AC178</f>
        <v>0</v>
      </c>
      <c r="AF180" s="4">
        <f>(+AF177)*0.4*AF178</f>
        <v>0</v>
      </c>
      <c r="AG180" s="4">
        <f>(+AG177)*0.4*AG178</f>
        <v>0</v>
      </c>
    </row>
    <row r="181" spans="1:33" x14ac:dyDescent="0.2">
      <c r="A181" s="4"/>
      <c r="B181" s="18" t="s">
        <v>47</v>
      </c>
      <c r="C181" s="4"/>
      <c r="D181" s="4"/>
      <c r="E181" s="4"/>
      <c r="F181" s="4"/>
      <c r="G181" s="4">
        <v>0</v>
      </c>
      <c r="I181" s="4">
        <v>0</v>
      </c>
      <c r="K181" s="4">
        <v>0</v>
      </c>
      <c r="M181" s="4">
        <v>0</v>
      </c>
      <c r="N181" s="4"/>
      <c r="O181" s="4">
        <v>0</v>
      </c>
      <c r="Q181" s="4">
        <v>0</v>
      </c>
      <c r="S181" s="4">
        <f>+(S177)*0.6/60*12</f>
        <v>0</v>
      </c>
      <c r="U181" s="4">
        <f>+(U177)*0.6/60*12</f>
        <v>0</v>
      </c>
      <c r="W181" s="4">
        <f>+(W177)*0.6/60*12</f>
        <v>0</v>
      </c>
      <c r="X181" s="4"/>
      <c r="Y181" s="4">
        <f>+(Y177)*0.6/60*12</f>
        <v>0</v>
      </c>
      <c r="AA181" s="4">
        <f>+(AA177)*0.6/60*12</f>
        <v>0</v>
      </c>
      <c r="AC181" s="4">
        <f>+(AC177)*0.6/60*12</f>
        <v>0</v>
      </c>
      <c r="AF181" s="4">
        <f>+(AF177)*0.6/60*12</f>
        <v>0</v>
      </c>
      <c r="AG181" s="4">
        <f>+(AG177)*0.6/60*12</f>
        <v>0</v>
      </c>
    </row>
    <row r="182" spans="1:33" x14ac:dyDescent="0.2">
      <c r="A182" s="4"/>
      <c r="B182" s="18"/>
      <c r="C182" s="4"/>
      <c r="D182" s="4"/>
      <c r="E182" s="4"/>
      <c r="F182" s="4"/>
      <c r="G182" s="4"/>
      <c r="I182" s="4"/>
      <c r="K182" s="4"/>
      <c r="M182" s="4"/>
      <c r="N182" s="4"/>
      <c r="O182" s="4"/>
      <c r="Q182" s="4"/>
      <c r="S182" s="4"/>
      <c r="U182" s="4"/>
      <c r="W182" s="4"/>
      <c r="X182" s="4"/>
      <c r="Y182" s="4"/>
      <c r="AA182" s="4"/>
      <c r="AC182" s="4"/>
      <c r="AF182" s="4"/>
      <c r="AG182" s="4"/>
    </row>
    <row r="183" spans="1:33" x14ac:dyDescent="0.2">
      <c r="A183" s="4"/>
      <c r="B183" s="18" t="s">
        <v>27</v>
      </c>
      <c r="C183" s="4"/>
      <c r="D183" s="4"/>
      <c r="E183" s="46"/>
      <c r="F183" s="4"/>
      <c r="G183" s="46"/>
      <c r="I183" s="46"/>
      <c r="K183" s="46"/>
      <c r="M183" s="46"/>
      <c r="N183" s="46"/>
      <c r="O183" s="46"/>
      <c r="Q183" s="46">
        <v>0</v>
      </c>
      <c r="S183" s="46"/>
      <c r="U183" s="46"/>
      <c r="W183" s="46"/>
      <c r="X183" s="4"/>
      <c r="Y183" s="46"/>
      <c r="AA183" s="46"/>
      <c r="AC183" s="46"/>
      <c r="AF183" s="46"/>
      <c r="AG183" s="46"/>
    </row>
    <row r="184" spans="1:33" x14ac:dyDescent="0.2">
      <c r="A184" s="4"/>
      <c r="B184" s="18"/>
      <c r="C184" s="4"/>
      <c r="D184" s="4"/>
      <c r="E184" s="17" t="s">
        <v>3</v>
      </c>
      <c r="F184" s="4"/>
      <c r="G184" s="17" t="s">
        <v>3</v>
      </c>
      <c r="I184" s="17" t="s">
        <v>3</v>
      </c>
      <c r="K184" s="17" t="s">
        <v>3</v>
      </c>
      <c r="M184" s="17" t="s">
        <v>3</v>
      </c>
      <c r="N184" s="17"/>
      <c r="O184" s="17" t="s">
        <v>3</v>
      </c>
      <c r="Q184" s="17" t="s">
        <v>3</v>
      </c>
      <c r="S184" s="17" t="s">
        <v>3</v>
      </c>
      <c r="U184" s="17" t="s">
        <v>3</v>
      </c>
      <c r="W184" s="17" t="s">
        <v>3</v>
      </c>
      <c r="X184" s="4"/>
      <c r="Y184" s="17" t="s">
        <v>3</v>
      </c>
      <c r="AA184" s="17" t="s">
        <v>3</v>
      </c>
      <c r="AC184" s="17" t="s">
        <v>3</v>
      </c>
      <c r="AF184" s="17" t="s">
        <v>3</v>
      </c>
      <c r="AG184" s="17" t="s">
        <v>3</v>
      </c>
    </row>
    <row r="185" spans="1:33" x14ac:dyDescent="0.2">
      <c r="A185" s="4"/>
      <c r="B185" s="18" t="s">
        <v>44</v>
      </c>
      <c r="C185" s="4"/>
      <c r="D185" s="4"/>
      <c r="E185" s="4">
        <f>SUM(E180:E182)</f>
        <v>31238</v>
      </c>
      <c r="F185" s="4"/>
      <c r="G185" s="4">
        <f>SUM(G180:G182)</f>
        <v>167168</v>
      </c>
      <c r="I185" s="4">
        <f>SUM(I180:I182)</f>
        <v>17</v>
      </c>
      <c r="K185" s="4">
        <f>SUM(K180:K182)</f>
        <v>30729.653762220005</v>
      </c>
      <c r="M185" s="4">
        <f>SUM(M180:M182)</f>
        <v>170926.74043169999</v>
      </c>
      <c r="N185" s="4"/>
      <c r="O185" s="4">
        <f>SUM(O180:O182)</f>
        <v>-56223.763688400009</v>
      </c>
      <c r="Q185" s="4">
        <f>SUM(Q180:Q182)</f>
        <v>7269582</v>
      </c>
      <c r="S185" s="4">
        <f>SUM(S180:S182)</f>
        <v>0</v>
      </c>
      <c r="U185" s="4">
        <f>SUM(U180:U182)</f>
        <v>0</v>
      </c>
      <c r="W185" s="4">
        <f>SUM(W180:W182)</f>
        <v>0</v>
      </c>
      <c r="X185" s="4"/>
      <c r="Y185" s="4">
        <f>SUM(Y180:Y182)</f>
        <v>0</v>
      </c>
      <c r="AA185" s="4">
        <f>SUM(AA180:AA182)</f>
        <v>0</v>
      </c>
      <c r="AC185" s="4">
        <f>SUM(AC180:AC182)</f>
        <v>0</v>
      </c>
      <c r="AF185" s="4">
        <f>SUM(AF180:AF182)</f>
        <v>0</v>
      </c>
      <c r="AG185" s="4">
        <f>SUM(AG180:AG182)</f>
        <v>0</v>
      </c>
    </row>
    <row r="186" spans="1:33" x14ac:dyDescent="0.2">
      <c r="A186" s="4"/>
      <c r="B186" s="18" t="s">
        <v>21</v>
      </c>
      <c r="C186" s="4"/>
      <c r="D186" s="4"/>
      <c r="E186" s="48">
        <v>1</v>
      </c>
      <c r="F186" s="4"/>
      <c r="G186" s="48">
        <v>1</v>
      </c>
      <c r="I186" s="48">
        <v>1</v>
      </c>
      <c r="K186" s="48">
        <v>1</v>
      </c>
      <c r="M186" s="48">
        <v>1</v>
      </c>
      <c r="N186" s="48"/>
      <c r="O186" s="48">
        <v>1</v>
      </c>
      <c r="Q186" s="48">
        <v>1</v>
      </c>
      <c r="S186" s="48">
        <v>0</v>
      </c>
      <c r="U186" s="48">
        <v>0</v>
      </c>
      <c r="W186" s="48">
        <v>0</v>
      </c>
      <c r="X186" s="4"/>
      <c r="Y186" s="48">
        <v>0</v>
      </c>
      <c r="AA186" s="48">
        <v>0</v>
      </c>
      <c r="AC186" s="48">
        <v>0</v>
      </c>
      <c r="AF186" s="48">
        <v>0</v>
      </c>
      <c r="AG186" s="48">
        <v>0</v>
      </c>
    </row>
    <row r="187" spans="1:33" x14ac:dyDescent="0.2">
      <c r="A187" s="4"/>
      <c r="B187" s="18"/>
      <c r="C187" s="4"/>
      <c r="D187" s="4"/>
      <c r="E187" s="48"/>
      <c r="F187" s="4"/>
      <c r="G187" s="48"/>
      <c r="I187" s="48"/>
      <c r="K187" s="48"/>
      <c r="M187" s="48"/>
      <c r="N187" s="48"/>
      <c r="O187" s="48"/>
      <c r="Q187" s="48"/>
      <c r="S187" s="48"/>
      <c r="U187" s="48"/>
      <c r="W187" s="48"/>
      <c r="X187" s="4"/>
      <c r="Y187" s="48"/>
      <c r="AA187" s="48"/>
      <c r="AC187" s="48"/>
      <c r="AF187" s="48"/>
      <c r="AG187" s="48"/>
    </row>
    <row r="188" spans="1:33" x14ac:dyDescent="0.2">
      <c r="A188" s="4"/>
      <c r="B188" s="4"/>
      <c r="C188" s="4"/>
      <c r="D188" s="4"/>
      <c r="E188" s="17" t="s">
        <v>3</v>
      </c>
      <c r="F188" s="4"/>
      <c r="G188" s="17" t="s">
        <v>3</v>
      </c>
      <c r="I188" s="17" t="s">
        <v>3</v>
      </c>
      <c r="K188" s="17" t="s">
        <v>3</v>
      </c>
      <c r="M188" s="17" t="s">
        <v>3</v>
      </c>
      <c r="N188" s="17"/>
      <c r="O188" s="17" t="s">
        <v>3</v>
      </c>
      <c r="Q188" s="17" t="s">
        <v>3</v>
      </c>
      <c r="S188" s="17" t="s">
        <v>3</v>
      </c>
      <c r="U188" s="17" t="s">
        <v>3</v>
      </c>
      <c r="W188" s="17" t="s">
        <v>3</v>
      </c>
      <c r="X188" s="4"/>
      <c r="Y188" s="17" t="s">
        <v>3</v>
      </c>
      <c r="AA188" s="17" t="s">
        <v>3</v>
      </c>
      <c r="AC188" s="17" t="s">
        <v>3</v>
      </c>
      <c r="AF188" s="17" t="s">
        <v>3</v>
      </c>
      <c r="AG188" s="17" t="s">
        <v>3</v>
      </c>
    </row>
    <row r="189" spans="1:33" x14ac:dyDescent="0.2">
      <c r="A189" s="43"/>
      <c r="B189" s="18" t="s">
        <v>44</v>
      </c>
      <c r="C189" s="4"/>
      <c r="D189" s="4"/>
      <c r="E189" s="4">
        <f>ROUND(E185*E186,0)</f>
        <v>31238</v>
      </c>
      <c r="F189" s="4"/>
      <c r="G189" s="4">
        <f>ROUND(G185*G186,0)</f>
        <v>167168</v>
      </c>
      <c r="I189" s="4">
        <f>ROUND(I185*I186,0)</f>
        <v>17</v>
      </c>
      <c r="K189" s="4">
        <f>ROUND(K185*K186,0)</f>
        <v>30730</v>
      </c>
      <c r="M189" s="4">
        <f>ROUND(M185*M186,0)</f>
        <v>170927</v>
      </c>
      <c r="N189" s="4"/>
      <c r="O189" s="4">
        <f>ROUND(O185*O186,0)</f>
        <v>-56224</v>
      </c>
      <c r="Q189" s="4">
        <f>ROUND(Q185*Q186,0)</f>
        <v>7269582</v>
      </c>
      <c r="S189" s="4">
        <f>ROUND(S185*S186,0)</f>
        <v>0</v>
      </c>
      <c r="U189" s="4">
        <f>ROUND(U185*U186,0)</f>
        <v>0</v>
      </c>
      <c r="W189" s="4">
        <f>ROUND(W185*W186,0)</f>
        <v>0</v>
      </c>
      <c r="X189" s="4"/>
      <c r="Y189" s="4">
        <f>ROUND(Y185*Y186,0)</f>
        <v>0</v>
      </c>
      <c r="AA189" s="4">
        <f>ROUND(AA185*AA186,0)</f>
        <v>0</v>
      </c>
      <c r="AC189" s="4">
        <f>ROUND(AC185*AC186,0)</f>
        <v>0</v>
      </c>
      <c r="AF189" s="4">
        <f>ROUND(AF185*AF186,0)</f>
        <v>0</v>
      </c>
      <c r="AG189" s="4">
        <f>ROUND(AG185*AG186,0)</f>
        <v>0</v>
      </c>
    </row>
    <row r="190" spans="1:33" x14ac:dyDescent="0.2">
      <c r="A190" s="4"/>
      <c r="B190" s="4"/>
      <c r="C190" s="4"/>
      <c r="D190" s="4"/>
      <c r="E190" s="17" t="s">
        <v>8</v>
      </c>
      <c r="F190" s="4"/>
      <c r="G190" s="17" t="s">
        <v>8</v>
      </c>
      <c r="I190" s="17" t="s">
        <v>8</v>
      </c>
      <c r="K190" s="17" t="s">
        <v>8</v>
      </c>
      <c r="M190" s="17" t="s">
        <v>8</v>
      </c>
      <c r="N190" s="17"/>
      <c r="O190" s="17" t="s">
        <v>8</v>
      </c>
      <c r="Q190" s="17" t="s">
        <v>8</v>
      </c>
      <c r="S190" s="17" t="s">
        <v>8</v>
      </c>
      <c r="U190" s="17" t="s">
        <v>8</v>
      </c>
      <c r="W190" s="17" t="s">
        <v>8</v>
      </c>
      <c r="X190" s="4"/>
      <c r="Y190" s="17" t="s">
        <v>8</v>
      </c>
      <c r="AA190" s="17" t="s">
        <v>8</v>
      </c>
      <c r="AC190" s="17" t="s">
        <v>8</v>
      </c>
      <c r="AF190" s="17" t="s">
        <v>8</v>
      </c>
      <c r="AG190" s="17" t="s">
        <v>8</v>
      </c>
    </row>
    <row r="191" spans="1:33" x14ac:dyDescent="0.2">
      <c r="A191" s="4"/>
      <c r="B191" s="4"/>
      <c r="C191" s="4"/>
      <c r="D191" s="4"/>
      <c r="E191" s="17"/>
      <c r="F191" s="4"/>
      <c r="G191" s="17"/>
      <c r="I191" s="17"/>
      <c r="K191" s="17"/>
      <c r="M191" s="17"/>
      <c r="N191" s="17"/>
      <c r="O191" s="17"/>
      <c r="Q191" s="17"/>
      <c r="S191" s="17"/>
      <c r="U191" s="17"/>
      <c r="W191" s="17"/>
      <c r="X191" s="4"/>
      <c r="Y191" s="17"/>
      <c r="AA191" s="17"/>
      <c r="AC191" s="17"/>
      <c r="AF191" s="17"/>
      <c r="AG191" s="17"/>
    </row>
    <row r="192" spans="1:33" ht="13.2" x14ac:dyDescent="0.25">
      <c r="A192" s="4"/>
      <c r="B192" s="42">
        <v>2008</v>
      </c>
      <c r="C192" s="4"/>
      <c r="D192" s="4"/>
      <c r="E192" s="4"/>
      <c r="F192" s="4"/>
      <c r="G192" s="4"/>
      <c r="I192" s="4"/>
      <c r="K192" s="4"/>
      <c r="M192" s="4"/>
      <c r="N192" s="4"/>
      <c r="O192" s="4"/>
      <c r="Q192" s="4"/>
      <c r="S192" s="4"/>
      <c r="U192" s="4"/>
      <c r="W192" s="4"/>
      <c r="X192" s="4"/>
      <c r="Y192" s="48"/>
      <c r="AA192" s="48"/>
      <c r="AC192" s="48"/>
      <c r="AF192" s="48"/>
      <c r="AG192" s="48"/>
    </row>
    <row r="193" spans="1:33" x14ac:dyDescent="0.2">
      <c r="A193" s="4"/>
      <c r="B193" s="18" t="s">
        <v>9</v>
      </c>
      <c r="C193" s="4"/>
      <c r="D193" s="4"/>
      <c r="E193" s="4">
        <f>+E177</f>
        <v>639077</v>
      </c>
      <c r="F193" s="4"/>
      <c r="G193" s="4">
        <f>+G177</f>
        <v>3163066.5</v>
      </c>
      <c r="I193" s="4">
        <f>+I177</f>
        <v>301.54599999999999</v>
      </c>
      <c r="K193" s="4">
        <f>+K177</f>
        <v>497485.08600000007</v>
      </c>
      <c r="M193" s="4">
        <f>+M177</f>
        <v>2559933.21</v>
      </c>
      <c r="N193" s="4"/>
      <c r="O193" s="4">
        <f>+O177</f>
        <v>-778830.3600000001</v>
      </c>
      <c r="Q193" s="4">
        <f>+Q177</f>
        <v>193855520.15000001</v>
      </c>
      <c r="S193" s="4">
        <f>S15</f>
        <v>51041139.340000004</v>
      </c>
      <c r="U193" s="4">
        <f>+U177</f>
        <v>0</v>
      </c>
      <c r="W193" s="4">
        <f>+W177</f>
        <v>0</v>
      </c>
      <c r="X193" s="4"/>
      <c r="Y193" s="4">
        <f>+Y177</f>
        <v>0</v>
      </c>
      <c r="AA193" s="4">
        <f>+AA177</f>
        <v>0</v>
      </c>
      <c r="AC193" s="4">
        <f>+AC177</f>
        <v>0</v>
      </c>
      <c r="AF193" s="4">
        <f>+AF177</f>
        <v>0</v>
      </c>
      <c r="AG193" s="4">
        <f>+AG177</f>
        <v>0</v>
      </c>
    </row>
    <row r="194" spans="1:33" x14ac:dyDescent="0.2">
      <c r="A194" s="4"/>
      <c r="B194" s="18" t="s">
        <v>18</v>
      </c>
      <c r="C194" s="4"/>
      <c r="D194" s="4"/>
      <c r="E194" s="49">
        <v>4.5220000000000003E-2</v>
      </c>
      <c r="F194" s="4"/>
      <c r="G194" s="49">
        <v>4.888E-2</v>
      </c>
      <c r="I194" s="49">
        <v>5.2850000000000001E-2</v>
      </c>
      <c r="K194" s="49">
        <v>5.713E-2</v>
      </c>
      <c r="M194" s="49">
        <v>6.1769999999999999E-2</v>
      </c>
      <c r="N194" s="49"/>
      <c r="O194" s="49">
        <v>6.6769999999999996E-2</v>
      </c>
      <c r="Q194" s="49">
        <v>7.2190000000000004E-2</v>
      </c>
      <c r="S194" s="49">
        <v>3.7499999999999999E-2</v>
      </c>
      <c r="U194" s="49">
        <v>0</v>
      </c>
      <c r="W194" s="49">
        <v>0</v>
      </c>
      <c r="X194" s="4"/>
      <c r="Y194" s="49">
        <v>0</v>
      </c>
      <c r="AA194" s="49">
        <v>0</v>
      </c>
      <c r="AC194" s="49">
        <v>0</v>
      </c>
      <c r="AF194" s="49">
        <v>0</v>
      </c>
      <c r="AG194" s="49">
        <v>0</v>
      </c>
    </row>
    <row r="195" spans="1:33" x14ac:dyDescent="0.2">
      <c r="A195" s="4"/>
      <c r="B195" s="4"/>
      <c r="C195" s="4"/>
      <c r="D195" s="4"/>
      <c r="E195" s="17" t="s">
        <v>3</v>
      </c>
      <c r="F195" s="4"/>
      <c r="G195" s="17" t="s">
        <v>3</v>
      </c>
      <c r="I195" s="17" t="s">
        <v>3</v>
      </c>
      <c r="K195" s="17" t="s">
        <v>3</v>
      </c>
      <c r="M195" s="17" t="s">
        <v>3</v>
      </c>
      <c r="N195" s="17"/>
      <c r="O195" s="17" t="s">
        <v>3</v>
      </c>
      <c r="Q195" s="17" t="s">
        <v>3</v>
      </c>
      <c r="S195" s="17" t="s">
        <v>3</v>
      </c>
      <c r="U195" s="17" t="s">
        <v>3</v>
      </c>
      <c r="W195" s="17" t="s">
        <v>3</v>
      </c>
      <c r="X195" s="4"/>
      <c r="Y195" s="17" t="s">
        <v>3</v>
      </c>
      <c r="AA195" s="17" t="s">
        <v>3</v>
      </c>
      <c r="AC195" s="17" t="s">
        <v>3</v>
      </c>
      <c r="AF195" s="17" t="s">
        <v>3</v>
      </c>
      <c r="AG195" s="17" t="s">
        <v>3</v>
      </c>
    </row>
    <row r="196" spans="1:33" x14ac:dyDescent="0.2">
      <c r="A196" s="4"/>
      <c r="B196" s="18" t="s">
        <v>52</v>
      </c>
      <c r="C196" s="4"/>
      <c r="D196" s="4"/>
      <c r="E196" s="4">
        <f>ROUND(E193*E194,0)</f>
        <v>28899</v>
      </c>
      <c r="F196" s="4"/>
      <c r="G196" s="4">
        <f>ROUND(G193*G194,0)</f>
        <v>154611</v>
      </c>
      <c r="I196" s="4">
        <f>ROUND(I193*I194,0)</f>
        <v>16</v>
      </c>
      <c r="K196" s="4">
        <f>+K193*K194</f>
        <v>28421.322963180002</v>
      </c>
      <c r="M196" s="4">
        <f>+M193*M194</f>
        <v>158127.07438169999</v>
      </c>
      <c r="N196" s="4"/>
      <c r="O196" s="4">
        <f>+O193*O194</f>
        <v>-52002.503137200001</v>
      </c>
      <c r="Q196" s="4">
        <f>ROUND(Q193*Q194,0)</f>
        <v>13994430</v>
      </c>
      <c r="S196" s="4">
        <f>(+S193-S199)*S194</f>
        <v>957021.36262500007</v>
      </c>
      <c r="U196" s="4">
        <f>(+U193)*0.4*U194</f>
        <v>0</v>
      </c>
      <c r="W196" s="4">
        <f>(+W193)*0.4*W194</f>
        <v>0</v>
      </c>
      <c r="X196" s="4"/>
      <c r="Y196" s="4">
        <f>(+Y193)*0.4*Y194</f>
        <v>0</v>
      </c>
      <c r="AA196" s="4">
        <f>(+AA193)*0.4*AA194</f>
        <v>0</v>
      </c>
      <c r="AC196" s="4">
        <f>(+AC193)*0.4*AC194</f>
        <v>0</v>
      </c>
      <c r="AF196" s="4">
        <f>(+AF193)*0.4*AF194</f>
        <v>0</v>
      </c>
      <c r="AG196" s="4">
        <f>(+AG193)*0.4*AG194</f>
        <v>0</v>
      </c>
    </row>
    <row r="197" spans="1:33" x14ac:dyDescent="0.2">
      <c r="A197" s="4"/>
      <c r="B197" s="18" t="s">
        <v>50</v>
      </c>
      <c r="C197" s="4"/>
      <c r="D197" s="4"/>
      <c r="E197" s="4"/>
      <c r="F197" s="4"/>
      <c r="G197" s="4">
        <v>0</v>
      </c>
      <c r="I197" s="4">
        <v>0</v>
      </c>
      <c r="K197" s="4">
        <v>0</v>
      </c>
      <c r="M197" s="4">
        <v>0</v>
      </c>
      <c r="N197" s="4"/>
      <c r="O197" s="4">
        <v>0</v>
      </c>
      <c r="Q197" s="4">
        <v>0</v>
      </c>
      <c r="S197" s="4">
        <v>0</v>
      </c>
      <c r="U197" s="4">
        <f>+(U193)*0.6/60*5</f>
        <v>0</v>
      </c>
      <c r="W197" s="4">
        <f>+(W193)*0.6/60*5</f>
        <v>0</v>
      </c>
      <c r="X197" s="4"/>
      <c r="Y197" s="4">
        <f>+(Y193)*0.6/60*5</f>
        <v>0</v>
      </c>
      <c r="AA197" s="4">
        <f>+(AA193)*0.6/60*5</f>
        <v>0</v>
      </c>
      <c r="AC197" s="4">
        <f>+(AC193)*0.6/60*5</f>
        <v>0</v>
      </c>
      <c r="AF197" s="4">
        <f>+(AF193)*0.6/60*5</f>
        <v>0</v>
      </c>
      <c r="AG197" s="4">
        <f>+(AG193)*0.6/60*5</f>
        <v>0</v>
      </c>
    </row>
    <row r="198" spans="1:33" x14ac:dyDescent="0.2">
      <c r="A198" s="4"/>
      <c r="B198" s="18"/>
      <c r="C198" s="4"/>
      <c r="D198" s="4"/>
      <c r="E198" s="4"/>
      <c r="F198" s="4"/>
      <c r="G198" s="4"/>
      <c r="I198" s="4"/>
      <c r="K198" s="4"/>
      <c r="M198" s="4"/>
      <c r="N198" s="4"/>
      <c r="O198" s="4"/>
      <c r="Q198" s="4"/>
      <c r="S198" s="4"/>
      <c r="U198" s="4"/>
      <c r="W198" s="4"/>
      <c r="X198" s="4"/>
      <c r="Y198" s="4"/>
      <c r="AA198" s="4"/>
      <c r="AC198" s="4"/>
      <c r="AF198" s="4"/>
      <c r="AG198" s="4"/>
    </row>
    <row r="199" spans="1:33" x14ac:dyDescent="0.2">
      <c r="A199" s="4"/>
      <c r="B199" s="18" t="s">
        <v>27</v>
      </c>
      <c r="C199" s="4"/>
      <c r="D199" s="4"/>
      <c r="E199" s="46"/>
      <c r="F199" s="4"/>
      <c r="G199" s="46"/>
      <c r="I199" s="46"/>
      <c r="K199" s="46"/>
      <c r="M199" s="46"/>
      <c r="N199" s="46"/>
      <c r="O199" s="46"/>
      <c r="Q199" s="46"/>
      <c r="S199" s="46">
        <f>+S193*0.5</f>
        <v>25520569.670000002</v>
      </c>
      <c r="U199" s="46"/>
      <c r="W199" s="46"/>
      <c r="X199" s="4"/>
      <c r="Y199" s="46"/>
      <c r="AA199" s="46"/>
      <c r="AC199" s="46"/>
      <c r="AF199" s="46"/>
      <c r="AG199" s="46"/>
    </row>
    <row r="200" spans="1:33" x14ac:dyDescent="0.2">
      <c r="A200" s="4"/>
      <c r="B200" s="18"/>
      <c r="C200" s="4"/>
      <c r="D200" s="4"/>
      <c r="E200" s="17" t="s">
        <v>3</v>
      </c>
      <c r="F200" s="4"/>
      <c r="G200" s="17" t="s">
        <v>3</v>
      </c>
      <c r="I200" s="17" t="s">
        <v>3</v>
      </c>
      <c r="K200" s="17" t="s">
        <v>3</v>
      </c>
      <c r="M200" s="17" t="s">
        <v>3</v>
      </c>
      <c r="N200" s="17"/>
      <c r="O200" s="17" t="s">
        <v>3</v>
      </c>
      <c r="Q200" s="17" t="s">
        <v>3</v>
      </c>
      <c r="S200" s="17" t="s">
        <v>3</v>
      </c>
      <c r="U200" s="17" t="s">
        <v>3</v>
      </c>
      <c r="W200" s="17" t="s">
        <v>3</v>
      </c>
      <c r="X200" s="4"/>
      <c r="Y200" s="17" t="s">
        <v>3</v>
      </c>
      <c r="AA200" s="17" t="s">
        <v>3</v>
      </c>
      <c r="AC200" s="17" t="s">
        <v>3</v>
      </c>
      <c r="AF200" s="17" t="s">
        <v>3</v>
      </c>
      <c r="AG200" s="17" t="s">
        <v>3</v>
      </c>
    </row>
    <row r="201" spans="1:33" x14ac:dyDescent="0.2">
      <c r="A201" s="4"/>
      <c r="B201" s="18" t="s">
        <v>49</v>
      </c>
      <c r="C201" s="4"/>
      <c r="D201" s="4"/>
      <c r="E201" s="4">
        <f>SUM(E196:E198)</f>
        <v>28899</v>
      </c>
      <c r="F201" s="4"/>
      <c r="G201" s="4">
        <f>SUM(G196:G198)</f>
        <v>154611</v>
      </c>
      <c r="I201" s="4">
        <f>SUM(I196:I198)</f>
        <v>16</v>
      </c>
      <c r="K201" s="4">
        <f>SUM(K196:K198)</f>
        <v>28421.322963180002</v>
      </c>
      <c r="M201" s="4">
        <f>SUM(M196:M198)</f>
        <v>158127.07438169999</v>
      </c>
      <c r="N201" s="4"/>
      <c r="O201" s="4">
        <f>SUM(O196:O198)</f>
        <v>-52002.503137200001</v>
      </c>
      <c r="Q201" s="4">
        <f>SUM(Q196:Q198)</f>
        <v>13994430</v>
      </c>
      <c r="S201" s="4">
        <f>SUM(S196:S199)</f>
        <v>26477591.032625001</v>
      </c>
      <c r="U201" s="4">
        <f>SUM(U196:U198)</f>
        <v>0</v>
      </c>
      <c r="W201" s="4">
        <f>SUM(W196:W198)</f>
        <v>0</v>
      </c>
      <c r="X201" s="4"/>
      <c r="Y201" s="4">
        <f>SUM(Y196:Y198)</f>
        <v>0</v>
      </c>
      <c r="AA201" s="4">
        <f>SUM(AA196:AA198)</f>
        <v>0</v>
      </c>
      <c r="AC201" s="4">
        <f>SUM(AC196:AC198)</f>
        <v>0</v>
      </c>
      <c r="AF201" s="4">
        <f>SUM(AF196:AF198)</f>
        <v>0</v>
      </c>
      <c r="AG201" s="4">
        <f>SUM(AG196:AG198)</f>
        <v>0</v>
      </c>
    </row>
    <row r="202" spans="1:33" x14ac:dyDescent="0.2">
      <c r="A202" s="4"/>
      <c r="B202" s="18" t="s">
        <v>21</v>
      </c>
      <c r="C202" s="4"/>
      <c r="D202" s="4"/>
      <c r="E202" s="48">
        <v>1</v>
      </c>
      <c r="F202" s="4"/>
      <c r="G202" s="48">
        <v>1</v>
      </c>
      <c r="I202" s="48">
        <v>1</v>
      </c>
      <c r="K202" s="48">
        <v>1</v>
      </c>
      <c r="M202" s="48">
        <v>1</v>
      </c>
      <c r="N202" s="48"/>
      <c r="O202" s="48">
        <v>1</v>
      </c>
      <c r="Q202" s="48">
        <v>1</v>
      </c>
      <c r="S202" s="48">
        <v>1</v>
      </c>
      <c r="U202" s="48">
        <v>0</v>
      </c>
      <c r="W202" s="48">
        <v>0</v>
      </c>
      <c r="X202" s="4"/>
      <c r="Y202" s="48">
        <v>0</v>
      </c>
      <c r="AA202" s="48">
        <v>0</v>
      </c>
      <c r="AC202" s="48">
        <v>0</v>
      </c>
      <c r="AF202" s="48">
        <v>0</v>
      </c>
      <c r="AG202" s="48">
        <v>0</v>
      </c>
    </row>
    <row r="203" spans="1:33" x14ac:dyDescent="0.2">
      <c r="A203" s="4"/>
      <c r="B203" s="18" t="s">
        <v>22</v>
      </c>
      <c r="C203" s="4"/>
      <c r="D203" s="4"/>
      <c r="E203" s="48"/>
      <c r="F203" s="4"/>
      <c r="G203" s="48"/>
      <c r="I203" s="48"/>
      <c r="K203" s="48"/>
      <c r="M203" s="48"/>
      <c r="N203" s="48"/>
      <c r="O203" s="48"/>
      <c r="Q203" s="48"/>
      <c r="S203" s="48"/>
      <c r="U203" s="48"/>
      <c r="W203" s="48"/>
      <c r="X203" s="4"/>
      <c r="Y203" s="48"/>
      <c r="AA203" s="48"/>
      <c r="AC203" s="48"/>
      <c r="AF203" s="48"/>
      <c r="AG203" s="48"/>
    </row>
    <row r="204" spans="1:33" x14ac:dyDescent="0.2">
      <c r="A204" s="4"/>
      <c r="B204" s="4"/>
      <c r="C204" s="4"/>
      <c r="D204" s="4"/>
      <c r="E204" s="17" t="s">
        <v>3</v>
      </c>
      <c r="F204" s="4"/>
      <c r="G204" s="17" t="s">
        <v>3</v>
      </c>
      <c r="I204" s="17" t="s">
        <v>3</v>
      </c>
      <c r="K204" s="17" t="s">
        <v>3</v>
      </c>
      <c r="M204" s="17" t="s">
        <v>3</v>
      </c>
      <c r="N204" s="17"/>
      <c r="O204" s="17" t="s">
        <v>3</v>
      </c>
      <c r="Q204" s="17" t="s">
        <v>3</v>
      </c>
      <c r="S204" s="17" t="s">
        <v>3</v>
      </c>
      <c r="U204" s="17" t="s">
        <v>3</v>
      </c>
      <c r="W204" s="17" t="s">
        <v>3</v>
      </c>
      <c r="X204" s="4"/>
      <c r="Y204" s="17" t="s">
        <v>3</v>
      </c>
      <c r="AA204" s="17" t="s">
        <v>3</v>
      </c>
      <c r="AC204" s="17" t="s">
        <v>3</v>
      </c>
      <c r="AF204" s="17" t="s">
        <v>3</v>
      </c>
      <c r="AG204" s="17" t="s">
        <v>3</v>
      </c>
    </row>
    <row r="205" spans="1:33" x14ac:dyDescent="0.2">
      <c r="A205" s="43"/>
      <c r="B205" s="18" t="s">
        <v>49</v>
      </c>
      <c r="C205" s="4"/>
      <c r="D205" s="4"/>
      <c r="E205" s="4">
        <f>ROUND(E201*E202,0)</f>
        <v>28899</v>
      </c>
      <c r="F205" s="4"/>
      <c r="G205" s="4">
        <f>ROUND(G201*G202,0)</f>
        <v>154611</v>
      </c>
      <c r="I205" s="4">
        <f>ROUND(I201*I202,0)</f>
        <v>16</v>
      </c>
      <c r="K205" s="4">
        <f>ROUND(K201*K202,0)</f>
        <v>28421</v>
      </c>
      <c r="M205" s="4">
        <f>ROUND(M201*M202,0)</f>
        <v>158127</v>
      </c>
      <c r="N205" s="4"/>
      <c r="O205" s="4">
        <f>ROUND(O201*O202,0)</f>
        <v>-52003</v>
      </c>
      <c r="Q205" s="4">
        <f>ROUND(Q201*Q202,0)</f>
        <v>13994430</v>
      </c>
      <c r="S205" s="4">
        <f>ROUND(S201*S202,0)</f>
        <v>26477591</v>
      </c>
      <c r="U205" s="4">
        <f>ROUND(U201*U202,0)</f>
        <v>0</v>
      </c>
      <c r="W205" s="4">
        <f>ROUND(W201*W202,0)</f>
        <v>0</v>
      </c>
      <c r="X205" s="4"/>
      <c r="Y205" s="4">
        <f>ROUND(Y201*Y202,0)</f>
        <v>0</v>
      </c>
      <c r="AA205" s="4">
        <f>ROUND(AA201*AA202,0)</f>
        <v>0</v>
      </c>
      <c r="AC205" s="4">
        <f>ROUND(AC201*AC202,0)</f>
        <v>0</v>
      </c>
      <c r="AF205" s="4">
        <f>ROUND(AF201*AF202,0)</f>
        <v>0</v>
      </c>
      <c r="AG205" s="4">
        <f>ROUND(AG201*AG202,0)</f>
        <v>0</v>
      </c>
    </row>
    <row r="206" spans="1:33" x14ac:dyDescent="0.2">
      <c r="A206" s="4"/>
      <c r="B206" s="18"/>
      <c r="C206" s="4"/>
      <c r="D206" s="4"/>
      <c r="E206" s="17" t="s">
        <v>8</v>
      </c>
      <c r="F206" s="4"/>
      <c r="G206" s="17" t="s">
        <v>8</v>
      </c>
      <c r="I206" s="17" t="s">
        <v>8</v>
      </c>
      <c r="K206" s="17" t="s">
        <v>8</v>
      </c>
      <c r="M206" s="17" t="s">
        <v>8</v>
      </c>
      <c r="N206" s="17"/>
      <c r="O206" s="17" t="s">
        <v>8</v>
      </c>
      <c r="Q206" s="17" t="s">
        <v>8</v>
      </c>
      <c r="S206" s="17" t="s">
        <v>8</v>
      </c>
      <c r="U206" s="17" t="s">
        <v>8</v>
      </c>
      <c r="W206" s="17" t="s">
        <v>8</v>
      </c>
      <c r="X206" s="4"/>
      <c r="Y206" s="17" t="s">
        <v>8</v>
      </c>
      <c r="AA206" s="17" t="s">
        <v>8</v>
      </c>
      <c r="AC206" s="17" t="s">
        <v>8</v>
      </c>
      <c r="AF206" s="17" t="s">
        <v>8</v>
      </c>
      <c r="AG206" s="17" t="s">
        <v>8</v>
      </c>
    </row>
    <row r="207" spans="1:33" x14ac:dyDescent="0.2">
      <c r="A207" s="4"/>
      <c r="B207" s="18"/>
      <c r="C207" s="4"/>
      <c r="D207" s="4"/>
      <c r="E207" s="17"/>
      <c r="F207" s="4"/>
      <c r="G207" s="17"/>
      <c r="I207" s="17"/>
      <c r="K207" s="17"/>
      <c r="M207" s="17"/>
      <c r="N207" s="17"/>
      <c r="O207" s="17"/>
      <c r="Q207" s="17"/>
      <c r="S207" s="17"/>
      <c r="U207" s="17"/>
      <c r="W207" s="17"/>
      <c r="X207" s="4"/>
      <c r="Y207" s="17"/>
      <c r="AA207" s="17"/>
      <c r="AC207" s="17"/>
      <c r="AF207" s="17"/>
      <c r="AG207" s="17"/>
    </row>
    <row r="208" spans="1:33" ht="13.2" x14ac:dyDescent="0.25">
      <c r="A208" s="4"/>
      <c r="B208" s="42">
        <v>2009</v>
      </c>
      <c r="C208" s="4"/>
      <c r="D208" s="4"/>
      <c r="E208" s="4"/>
      <c r="F208" s="4"/>
      <c r="G208" s="4"/>
      <c r="I208" s="4"/>
      <c r="K208" s="4"/>
      <c r="M208" s="4"/>
      <c r="N208" s="4"/>
      <c r="O208" s="4"/>
      <c r="Q208" s="4"/>
      <c r="S208" s="4"/>
      <c r="U208" s="4"/>
      <c r="W208" s="4"/>
      <c r="X208" s="4"/>
      <c r="Y208" s="48"/>
      <c r="AA208" s="48"/>
      <c r="AC208" s="48"/>
      <c r="AF208" s="48"/>
      <c r="AG208" s="48"/>
    </row>
    <row r="209" spans="1:33" x14ac:dyDescent="0.2">
      <c r="A209" s="4"/>
      <c r="B209" s="18" t="s">
        <v>9</v>
      </c>
      <c r="C209" s="4"/>
      <c r="D209" s="4"/>
      <c r="E209" s="4">
        <f>+E193</f>
        <v>639077</v>
      </c>
      <c r="F209" s="4"/>
      <c r="G209" s="4">
        <f>+G193</f>
        <v>3163066.5</v>
      </c>
      <c r="I209" s="4">
        <f>+I193</f>
        <v>301.54599999999999</v>
      </c>
      <c r="K209" s="4">
        <f>+K193</f>
        <v>497485.08600000007</v>
      </c>
      <c r="M209" s="4">
        <f>+M193</f>
        <v>2559933.21</v>
      </c>
      <c r="N209" s="4"/>
      <c r="O209" s="4">
        <f>+O193</f>
        <v>-778830.3600000001</v>
      </c>
      <c r="Q209" s="4">
        <f>+Q193</f>
        <v>193855520.15000001</v>
      </c>
      <c r="S209" s="4">
        <f>+S193-S199</f>
        <v>25520569.670000002</v>
      </c>
      <c r="U209" s="4">
        <f>U15</f>
        <v>4962822.5999999996</v>
      </c>
      <c r="W209" s="4">
        <f>+W193</f>
        <v>0</v>
      </c>
      <c r="X209" s="4"/>
      <c r="Y209" s="4">
        <f>+Y193</f>
        <v>0</v>
      </c>
      <c r="AA209" s="4">
        <f>+AA193</f>
        <v>0</v>
      </c>
      <c r="AC209" s="4">
        <f>+AC193</f>
        <v>0</v>
      </c>
      <c r="AF209" s="4">
        <f>+AF193</f>
        <v>0</v>
      </c>
      <c r="AG209" s="4">
        <f>+AG193</f>
        <v>0</v>
      </c>
    </row>
    <row r="210" spans="1:33" x14ac:dyDescent="0.2">
      <c r="A210" s="4"/>
      <c r="B210" s="18" t="s">
        <v>18</v>
      </c>
      <c r="C210" s="4"/>
      <c r="D210" s="4"/>
      <c r="E210" s="49">
        <v>4.462E-2</v>
      </c>
      <c r="F210" s="4"/>
      <c r="G210" s="49">
        <v>4.5220000000000003E-2</v>
      </c>
      <c r="I210" s="49">
        <v>4.888E-2</v>
      </c>
      <c r="K210" s="49">
        <v>5.2850000000000001E-2</v>
      </c>
      <c r="M210" s="49">
        <v>5.713E-2</v>
      </c>
      <c r="N210" s="49"/>
      <c r="O210" s="49">
        <v>6.1769999999999999E-2</v>
      </c>
      <c r="Q210" s="49">
        <v>6.6769999999999996E-2</v>
      </c>
      <c r="S210" s="49">
        <v>7.2190000000000004E-2</v>
      </c>
      <c r="U210" s="49">
        <v>3.7499999999999999E-2</v>
      </c>
      <c r="W210" s="49">
        <v>0</v>
      </c>
      <c r="X210" s="4"/>
      <c r="Y210" s="49">
        <v>0</v>
      </c>
      <c r="AA210" s="49">
        <v>0</v>
      </c>
      <c r="AC210" s="49">
        <v>0</v>
      </c>
      <c r="AF210" s="49">
        <v>0</v>
      </c>
      <c r="AG210" s="49">
        <v>0</v>
      </c>
    </row>
    <row r="211" spans="1:33" x14ac:dyDescent="0.2">
      <c r="A211" s="4"/>
      <c r="B211" s="4"/>
      <c r="C211" s="4"/>
      <c r="D211" s="4"/>
      <c r="E211" s="17" t="s">
        <v>3</v>
      </c>
      <c r="F211" s="4"/>
      <c r="G211" s="17" t="s">
        <v>3</v>
      </c>
      <c r="I211" s="17" t="s">
        <v>3</v>
      </c>
      <c r="K211" s="17" t="s">
        <v>3</v>
      </c>
      <c r="M211" s="17" t="s">
        <v>3</v>
      </c>
      <c r="N211" s="17"/>
      <c r="O211" s="17" t="s">
        <v>3</v>
      </c>
      <c r="Q211" s="17" t="s">
        <v>3</v>
      </c>
      <c r="S211" s="17" t="s">
        <v>3</v>
      </c>
      <c r="U211" s="17" t="s">
        <v>3</v>
      </c>
      <c r="W211" s="17" t="s">
        <v>3</v>
      </c>
      <c r="X211" s="4"/>
      <c r="Y211" s="17" t="s">
        <v>3</v>
      </c>
      <c r="AA211" s="17" t="s">
        <v>3</v>
      </c>
      <c r="AC211" s="17" t="s">
        <v>3</v>
      </c>
      <c r="AF211" s="17" t="s">
        <v>3</v>
      </c>
      <c r="AG211" s="17" t="s">
        <v>3</v>
      </c>
    </row>
    <row r="212" spans="1:33" x14ac:dyDescent="0.2">
      <c r="A212" s="4"/>
      <c r="B212" s="18" t="s">
        <v>53</v>
      </c>
      <c r="C212" s="4"/>
      <c r="D212" s="4"/>
      <c r="E212" s="4">
        <f>ROUND(E209*E210,0)</f>
        <v>28516</v>
      </c>
      <c r="F212" s="4"/>
      <c r="G212" s="4">
        <f>ROUND(G209*G210,0)</f>
        <v>143034</v>
      </c>
      <c r="I212" s="4">
        <f>ROUND(I209*I210,0)</f>
        <v>15</v>
      </c>
      <c r="K212" s="4">
        <f>+K209*K210</f>
        <v>26292.086795100004</v>
      </c>
      <c r="M212" s="4">
        <f>+M209*M210</f>
        <v>146248.9842873</v>
      </c>
      <c r="N212" s="4"/>
      <c r="O212" s="4">
        <f>+O209*O210</f>
        <v>-48108.351337200002</v>
      </c>
      <c r="Q212" s="4">
        <f>+Q209*Q210</f>
        <v>12943733.0804155</v>
      </c>
      <c r="S212" s="4">
        <f>(+S209)*S210</f>
        <v>1842329.9244773001</v>
      </c>
      <c r="U212" s="4">
        <f>(+U209-U215)*U210</f>
        <v>93052.923749999987</v>
      </c>
      <c r="W212" s="4">
        <f>(+W209)*0.4*W210</f>
        <v>0</v>
      </c>
      <c r="X212" s="4"/>
      <c r="Y212" s="4">
        <f>(+Y209)*0.4*Y210</f>
        <v>0</v>
      </c>
      <c r="AA212" s="4">
        <f>(+AA209)*0.4*AA210</f>
        <v>0</v>
      </c>
      <c r="AC212" s="4">
        <f>(+AC209)*0.4*AC210</f>
        <v>0</v>
      </c>
      <c r="AF212" s="4">
        <f>(+AF209)*0.4*AF210</f>
        <v>0</v>
      </c>
      <c r="AG212" s="4">
        <f>(+AG209)*0.4*AG210</f>
        <v>0</v>
      </c>
    </row>
    <row r="213" spans="1:33" x14ac:dyDescent="0.2">
      <c r="A213" s="4"/>
      <c r="B213" s="18" t="s">
        <v>54</v>
      </c>
      <c r="C213" s="4"/>
      <c r="D213" s="4"/>
      <c r="E213" s="4"/>
      <c r="F213" s="4"/>
      <c r="G213" s="4">
        <v>0</v>
      </c>
      <c r="I213" s="4">
        <v>0</v>
      </c>
      <c r="K213" s="4">
        <v>0</v>
      </c>
      <c r="M213" s="4">
        <v>0</v>
      </c>
      <c r="N213" s="4"/>
      <c r="O213" s="4">
        <v>0</v>
      </c>
      <c r="Q213" s="4">
        <v>0</v>
      </c>
      <c r="S213" s="4">
        <v>0</v>
      </c>
      <c r="U213" s="4">
        <v>0</v>
      </c>
      <c r="W213" s="4">
        <v>0</v>
      </c>
      <c r="X213" s="4"/>
      <c r="Y213" s="4">
        <v>0</v>
      </c>
      <c r="AA213" s="4">
        <v>0</v>
      </c>
      <c r="AC213" s="4">
        <v>0</v>
      </c>
      <c r="AF213" s="4">
        <v>0</v>
      </c>
      <c r="AG213" s="4">
        <v>0</v>
      </c>
    </row>
    <row r="214" spans="1:33" x14ac:dyDescent="0.2">
      <c r="A214" s="4"/>
      <c r="B214" s="18"/>
      <c r="C214" s="4"/>
      <c r="D214" s="4"/>
      <c r="E214" s="4"/>
      <c r="F214" s="4"/>
      <c r="G214" s="4"/>
      <c r="I214" s="4"/>
      <c r="K214" s="4"/>
      <c r="M214" s="4"/>
      <c r="N214" s="4"/>
      <c r="O214" s="4"/>
      <c r="Q214" s="4"/>
      <c r="S214" s="4"/>
      <c r="U214" s="4"/>
      <c r="W214" s="4"/>
      <c r="X214" s="4"/>
      <c r="Y214" s="4"/>
      <c r="AA214" s="4"/>
      <c r="AC214" s="4"/>
      <c r="AF214" s="4"/>
      <c r="AG214" s="4"/>
    </row>
    <row r="215" spans="1:33" x14ac:dyDescent="0.2">
      <c r="A215" s="4"/>
      <c r="B215" s="18" t="s">
        <v>27</v>
      </c>
      <c r="C215" s="4"/>
      <c r="D215" s="4"/>
      <c r="E215" s="46"/>
      <c r="F215" s="4"/>
      <c r="G215" s="46"/>
      <c r="I215" s="46"/>
      <c r="K215" s="46"/>
      <c r="M215" s="46"/>
      <c r="N215" s="46"/>
      <c r="O215" s="46"/>
      <c r="Q215" s="46"/>
      <c r="S215" s="46">
        <v>0</v>
      </c>
      <c r="U215" s="46">
        <f>+U209*0.5</f>
        <v>2481411.2999999998</v>
      </c>
      <c r="W215" s="46"/>
      <c r="X215" s="4"/>
      <c r="Y215" s="46"/>
      <c r="AA215" s="46"/>
      <c r="AC215" s="46"/>
      <c r="AF215" s="46"/>
      <c r="AG215" s="46"/>
    </row>
    <row r="216" spans="1:33" x14ac:dyDescent="0.2">
      <c r="A216" s="4"/>
      <c r="B216" s="18"/>
      <c r="C216" s="4"/>
      <c r="D216" s="4"/>
      <c r="E216" s="17" t="s">
        <v>3</v>
      </c>
      <c r="F216" s="4"/>
      <c r="G216" s="17" t="s">
        <v>3</v>
      </c>
      <c r="I216" s="17" t="s">
        <v>3</v>
      </c>
      <c r="K216" s="17" t="s">
        <v>3</v>
      </c>
      <c r="M216" s="17" t="s">
        <v>3</v>
      </c>
      <c r="N216" s="17"/>
      <c r="O216" s="17" t="s">
        <v>3</v>
      </c>
      <c r="Q216" s="17" t="s">
        <v>3</v>
      </c>
      <c r="S216" s="17" t="s">
        <v>3</v>
      </c>
      <c r="U216" s="17" t="s">
        <v>3</v>
      </c>
      <c r="W216" s="17" t="s">
        <v>3</v>
      </c>
      <c r="X216" s="4"/>
      <c r="Y216" s="17" t="s">
        <v>3</v>
      </c>
      <c r="AA216" s="17" t="s">
        <v>3</v>
      </c>
      <c r="AC216" s="17" t="s">
        <v>3</v>
      </c>
      <c r="AF216" s="17" t="s">
        <v>3</v>
      </c>
      <c r="AG216" s="17" t="s">
        <v>3</v>
      </c>
    </row>
    <row r="217" spans="1:33" x14ac:dyDescent="0.2">
      <c r="A217" s="4"/>
      <c r="B217" s="18" t="s">
        <v>51</v>
      </c>
      <c r="C217" s="4"/>
      <c r="D217" s="4"/>
      <c r="E217" s="4">
        <f>SUM(E212:E215)</f>
        <v>28516</v>
      </c>
      <c r="F217" s="4"/>
      <c r="G217" s="4">
        <f>SUM(G212:G215)</f>
        <v>143034</v>
      </c>
      <c r="I217" s="4">
        <f>SUM(I212:I215)</f>
        <v>15</v>
      </c>
      <c r="K217" s="4">
        <f>SUM(K212:K215)</f>
        <v>26292.086795100004</v>
      </c>
      <c r="M217" s="4">
        <f>SUM(M212:M215)</f>
        <v>146248.9842873</v>
      </c>
      <c r="N217" s="4"/>
      <c r="O217" s="4">
        <f>SUM(O212:O215)</f>
        <v>-48108.351337200002</v>
      </c>
      <c r="Q217" s="4">
        <f>SUM(Q212:Q215)</f>
        <v>12943733.0804155</v>
      </c>
      <c r="S217" s="4">
        <f>SUM(S212:S215)</f>
        <v>1842329.9244773001</v>
      </c>
      <c r="U217" s="4">
        <f>SUM(U212:U215)</f>
        <v>2574464.2237499999</v>
      </c>
      <c r="W217" s="4">
        <f>SUM(W212:W215)</f>
        <v>0</v>
      </c>
      <c r="X217" s="4"/>
      <c r="Y217" s="4">
        <f>SUM(Y212:Y215)</f>
        <v>0</v>
      </c>
      <c r="AA217" s="4">
        <f>SUM(AA212:AA215)</f>
        <v>0</v>
      </c>
      <c r="AC217" s="4">
        <f>SUM(AC212:AC215)</f>
        <v>0</v>
      </c>
      <c r="AF217" s="4">
        <f>SUM(AF212:AF215)</f>
        <v>0</v>
      </c>
      <c r="AG217" s="4">
        <f>SUM(AG212:AG215)</f>
        <v>0</v>
      </c>
    </row>
    <row r="218" spans="1:33" x14ac:dyDescent="0.2">
      <c r="A218" s="4"/>
      <c r="B218" s="18" t="s">
        <v>21</v>
      </c>
      <c r="C218" s="4"/>
      <c r="D218" s="4"/>
      <c r="E218" s="48">
        <v>1</v>
      </c>
      <c r="F218" s="4"/>
      <c r="G218" s="48">
        <v>1</v>
      </c>
      <c r="I218" s="48">
        <v>1</v>
      </c>
      <c r="K218" s="48">
        <v>1</v>
      </c>
      <c r="M218" s="48">
        <v>1</v>
      </c>
      <c r="N218" s="48"/>
      <c r="O218" s="48">
        <v>1</v>
      </c>
      <c r="Q218" s="48">
        <v>1</v>
      </c>
      <c r="S218" s="48">
        <v>1</v>
      </c>
      <c r="U218" s="48">
        <v>1</v>
      </c>
      <c r="W218" s="48">
        <v>0</v>
      </c>
      <c r="X218" s="4"/>
      <c r="Y218" s="48">
        <v>0</v>
      </c>
      <c r="AA218" s="48">
        <v>0</v>
      </c>
      <c r="AC218" s="48">
        <v>0</v>
      </c>
      <c r="AF218" s="48">
        <v>0</v>
      </c>
      <c r="AG218" s="48">
        <v>0</v>
      </c>
    </row>
    <row r="219" spans="1:33" x14ac:dyDescent="0.2">
      <c r="A219" s="4"/>
      <c r="B219" s="18" t="s">
        <v>22</v>
      </c>
      <c r="C219" s="4"/>
      <c r="D219" s="4"/>
      <c r="E219" s="48"/>
      <c r="F219" s="4"/>
      <c r="G219" s="48"/>
      <c r="I219" s="48"/>
      <c r="K219" s="48"/>
      <c r="M219" s="48"/>
      <c r="N219" s="48"/>
      <c r="O219" s="48"/>
      <c r="Q219" s="48"/>
      <c r="S219" s="48"/>
      <c r="U219" s="48"/>
      <c r="W219" s="48"/>
      <c r="X219" s="4"/>
      <c r="Y219" s="48"/>
      <c r="AA219" s="48"/>
      <c r="AC219" s="48"/>
      <c r="AF219" s="48"/>
      <c r="AG219" s="48"/>
    </row>
    <row r="220" spans="1:33" x14ac:dyDescent="0.2">
      <c r="A220" s="4"/>
      <c r="B220" s="4"/>
      <c r="C220" s="4"/>
      <c r="D220" s="4"/>
      <c r="E220" s="17" t="s">
        <v>3</v>
      </c>
      <c r="F220" s="4"/>
      <c r="G220" s="17" t="s">
        <v>3</v>
      </c>
      <c r="I220" s="17" t="s">
        <v>3</v>
      </c>
      <c r="K220" s="17" t="s">
        <v>3</v>
      </c>
      <c r="M220" s="17" t="s">
        <v>3</v>
      </c>
      <c r="N220" s="17"/>
      <c r="O220" s="17" t="s">
        <v>3</v>
      </c>
      <c r="Q220" s="17" t="s">
        <v>3</v>
      </c>
      <c r="S220" s="17" t="s">
        <v>3</v>
      </c>
      <c r="U220" s="17" t="s">
        <v>3</v>
      </c>
      <c r="W220" s="17" t="s">
        <v>3</v>
      </c>
      <c r="X220" s="4"/>
      <c r="Y220" s="17" t="s">
        <v>3</v>
      </c>
      <c r="AA220" s="17" t="s">
        <v>3</v>
      </c>
      <c r="AC220" s="17" t="s">
        <v>3</v>
      </c>
      <c r="AF220" s="17" t="s">
        <v>3</v>
      </c>
      <c r="AG220" s="17" t="s">
        <v>3</v>
      </c>
    </row>
    <row r="221" spans="1:33" x14ac:dyDescent="0.2">
      <c r="A221" s="43"/>
      <c r="B221" s="18" t="s">
        <v>51</v>
      </c>
      <c r="C221" s="4"/>
      <c r="D221" s="4"/>
      <c r="E221" s="4">
        <f>ROUND(E217*E218,0)</f>
        <v>28516</v>
      </c>
      <c r="F221" s="4"/>
      <c r="G221" s="4">
        <f>ROUND(G217*G218,0)</f>
        <v>143034</v>
      </c>
      <c r="I221" s="4">
        <f>ROUND(I217*I218,0)</f>
        <v>15</v>
      </c>
      <c r="K221" s="4">
        <f>ROUND(K217*K218,0)</f>
        <v>26292</v>
      </c>
      <c r="M221" s="4">
        <f>ROUND(M217*M218,0)</f>
        <v>146249</v>
      </c>
      <c r="N221" s="4"/>
      <c r="O221" s="4">
        <f>ROUND(O217*O218,0)</f>
        <v>-48108</v>
      </c>
      <c r="Q221" s="4">
        <f>ROUND(Q217*Q218,0)</f>
        <v>12943733</v>
      </c>
      <c r="S221" s="4">
        <f>ROUND(S217*S218,0)</f>
        <v>1842330</v>
      </c>
      <c r="U221" s="4">
        <f>ROUND(U217*U218,0)</f>
        <v>2574464</v>
      </c>
      <c r="W221" s="4">
        <f>ROUND(W217*W218,0)</f>
        <v>0</v>
      </c>
      <c r="X221" s="4"/>
      <c r="Y221" s="4">
        <f>ROUND(Y217*Y218,0)</f>
        <v>0</v>
      </c>
      <c r="AA221" s="4">
        <f>ROUND(AA217*AA218,0)</f>
        <v>0</v>
      </c>
      <c r="AC221" s="4">
        <f>ROUND(AC217*AC218,0)</f>
        <v>0</v>
      </c>
      <c r="AF221" s="4">
        <f>ROUND(AF217*AF218,0)</f>
        <v>0</v>
      </c>
      <c r="AG221" s="4">
        <f>ROUND(AG217*AG218,0)</f>
        <v>0</v>
      </c>
    </row>
    <row r="222" spans="1:33" x14ac:dyDescent="0.2">
      <c r="A222" s="4"/>
      <c r="B222" s="18"/>
      <c r="C222" s="4"/>
      <c r="D222" s="4"/>
      <c r="E222" s="17" t="s">
        <v>8</v>
      </c>
      <c r="F222" s="4"/>
      <c r="G222" s="17" t="s">
        <v>8</v>
      </c>
      <c r="I222" s="17" t="s">
        <v>8</v>
      </c>
      <c r="K222" s="17" t="s">
        <v>8</v>
      </c>
      <c r="M222" s="17" t="s">
        <v>8</v>
      </c>
      <c r="N222" s="17"/>
      <c r="O222" s="17" t="s">
        <v>8</v>
      </c>
      <c r="Q222" s="17" t="s">
        <v>8</v>
      </c>
      <c r="S222" s="17" t="s">
        <v>8</v>
      </c>
      <c r="U222" s="17" t="s">
        <v>8</v>
      </c>
      <c r="W222" s="17" t="s">
        <v>8</v>
      </c>
      <c r="X222" s="4"/>
      <c r="Y222" s="17" t="s">
        <v>8</v>
      </c>
      <c r="AA222" s="17" t="s">
        <v>8</v>
      </c>
      <c r="AC222" s="17" t="s">
        <v>8</v>
      </c>
      <c r="AF222" s="17" t="s">
        <v>8</v>
      </c>
      <c r="AG222" s="17" t="s">
        <v>8</v>
      </c>
    </row>
    <row r="223" spans="1:33" x14ac:dyDescent="0.2">
      <c r="A223" s="4"/>
      <c r="B223" s="18"/>
      <c r="C223" s="4"/>
      <c r="D223" s="4"/>
      <c r="E223" s="4"/>
      <c r="F223" s="4"/>
      <c r="G223" s="4"/>
      <c r="I223" s="4"/>
      <c r="K223" s="4"/>
      <c r="M223" s="4"/>
      <c r="N223" s="4"/>
      <c r="O223" s="4"/>
      <c r="Q223" s="17"/>
      <c r="S223" s="4"/>
      <c r="U223" s="4"/>
      <c r="W223" s="4"/>
      <c r="X223" s="4"/>
      <c r="Y223" s="4"/>
      <c r="AA223" s="4"/>
      <c r="AC223" s="4"/>
      <c r="AF223" s="4"/>
      <c r="AG223" s="4"/>
    </row>
    <row r="224" spans="1:33" ht="13.2" x14ac:dyDescent="0.25">
      <c r="A224" s="4"/>
      <c r="B224" s="42">
        <v>2010</v>
      </c>
      <c r="C224" s="4"/>
      <c r="D224" s="4"/>
      <c r="E224" s="8" t="str">
        <f>+E$79</f>
        <v>Half-Year</v>
      </c>
      <c r="F224" s="4"/>
      <c r="G224" s="8" t="str">
        <f>+G$79</f>
        <v>Half-Year</v>
      </c>
      <c r="I224" s="8" t="str">
        <f>+I$79</f>
        <v>Half-Year</v>
      </c>
      <c r="K224" s="8" t="str">
        <f>+K$79</f>
        <v>Half-Year</v>
      </c>
      <c r="M224" s="8" t="str">
        <f>+M$79</f>
        <v>Half-Year</v>
      </c>
      <c r="N224" s="8"/>
      <c r="O224" s="8" t="str">
        <f>+O$79</f>
        <v>Half-Year</v>
      </c>
      <c r="Q224" s="8" t="str">
        <f>+Q$79</f>
        <v>Half-Year</v>
      </c>
      <c r="S224" s="8" t="str">
        <f>+S$79</f>
        <v>Half-Year</v>
      </c>
      <c r="U224" s="8" t="str">
        <f>+U$79</f>
        <v>Half-Year</v>
      </c>
      <c r="W224" s="8" t="str">
        <f>+W$79</f>
        <v>Half-Year</v>
      </c>
      <c r="X224" s="4"/>
      <c r="Y224" s="8" t="str">
        <f>+Y$79</f>
        <v>Half-Year</v>
      </c>
      <c r="AA224" s="8" t="str">
        <f>+AA$79</f>
        <v>Half-Year</v>
      </c>
      <c r="AC224" s="8" t="str">
        <f>+AC$79</f>
        <v>Half-Year</v>
      </c>
      <c r="AF224" s="8" t="str">
        <f>+AF$79</f>
        <v>Half-Year</v>
      </c>
      <c r="AG224" s="8" t="str">
        <f>+AG$79</f>
        <v>Half-Year</v>
      </c>
    </row>
    <row r="225" spans="1:33" x14ac:dyDescent="0.2">
      <c r="A225" s="4"/>
      <c r="B225" s="18" t="s">
        <v>9</v>
      </c>
      <c r="C225" s="4"/>
      <c r="D225" s="4"/>
      <c r="E225" s="4">
        <f>+E177</f>
        <v>639077</v>
      </c>
      <c r="F225" s="4"/>
      <c r="G225" s="4">
        <f>+G177</f>
        <v>3163066.5</v>
      </c>
      <c r="I225" s="4">
        <f>+I177</f>
        <v>301.54599999999999</v>
      </c>
      <c r="K225" s="4">
        <f>+K177</f>
        <v>497485.08600000007</v>
      </c>
      <c r="M225" s="4">
        <f>+M177</f>
        <v>2559933.21</v>
      </c>
      <c r="N225" s="4"/>
      <c r="O225" s="4">
        <f>+O177</f>
        <v>-778830.3600000001</v>
      </c>
      <c r="Q225" s="4">
        <f>+Q209</f>
        <v>193855520.15000001</v>
      </c>
      <c r="S225" s="4">
        <f>+S209</f>
        <v>25520569.670000002</v>
      </c>
      <c r="U225" s="4">
        <f>+U209-U215</f>
        <v>2481411.2999999998</v>
      </c>
      <c r="W225" s="4">
        <f>W15</f>
        <v>9939876.9100000001</v>
      </c>
      <c r="X225" s="4"/>
      <c r="Y225" s="4">
        <f>+Y177</f>
        <v>0</v>
      </c>
      <c r="AA225" s="4">
        <f>+AA177</f>
        <v>0</v>
      </c>
      <c r="AC225" s="4">
        <f>+AC177</f>
        <v>0</v>
      </c>
      <c r="AF225" s="4">
        <f>+AF177</f>
        <v>0</v>
      </c>
      <c r="AG225" s="4">
        <f>+AG177</f>
        <v>0</v>
      </c>
    </row>
    <row r="226" spans="1:33" x14ac:dyDescent="0.2">
      <c r="A226" s="4"/>
      <c r="B226" s="18" t="s">
        <v>18</v>
      </c>
      <c r="C226" s="4"/>
      <c r="D226" s="4"/>
      <c r="E226" s="49">
        <v>4.4609999999999997E-2</v>
      </c>
      <c r="F226" s="4"/>
      <c r="G226" s="49">
        <v>4.462E-2</v>
      </c>
      <c r="I226" s="49">
        <v>4.5220000000000003E-2</v>
      </c>
      <c r="K226" s="49">
        <v>4.888E-2</v>
      </c>
      <c r="M226" s="49">
        <v>5.2850000000000001E-2</v>
      </c>
      <c r="N226" s="49"/>
      <c r="O226" s="49">
        <v>5.713E-2</v>
      </c>
      <c r="Q226" s="49">
        <v>6.1769999999999999E-2</v>
      </c>
      <c r="S226" s="49">
        <v>6.6669999999999993E-2</v>
      </c>
      <c r="U226" s="49">
        <v>7.2190000000000004E-2</v>
      </c>
      <c r="W226" s="49">
        <v>3.7499999999999999E-2</v>
      </c>
      <c r="X226" s="4"/>
      <c r="Y226" s="49">
        <v>0</v>
      </c>
      <c r="AA226" s="49">
        <v>0</v>
      </c>
      <c r="AC226" s="49">
        <v>0</v>
      </c>
      <c r="AF226" s="49">
        <v>0</v>
      </c>
      <c r="AG226" s="49">
        <v>0</v>
      </c>
    </row>
    <row r="227" spans="1:33" x14ac:dyDescent="0.2">
      <c r="A227" s="4"/>
      <c r="B227" s="4"/>
      <c r="C227" s="4"/>
      <c r="D227" s="4"/>
      <c r="E227" s="17" t="s">
        <v>3</v>
      </c>
      <c r="F227" s="4"/>
      <c r="G227" s="17" t="s">
        <v>3</v>
      </c>
      <c r="I227" s="17" t="s">
        <v>3</v>
      </c>
      <c r="K227" s="17" t="s">
        <v>3</v>
      </c>
      <c r="M227" s="17" t="s">
        <v>3</v>
      </c>
      <c r="N227" s="17"/>
      <c r="O227" s="17" t="s">
        <v>3</v>
      </c>
      <c r="Q227" s="17" t="s">
        <v>3</v>
      </c>
      <c r="S227" s="17" t="s">
        <v>3</v>
      </c>
      <c r="U227" s="17" t="s">
        <v>3</v>
      </c>
      <c r="W227" s="17" t="s">
        <v>3</v>
      </c>
      <c r="X227" s="4"/>
      <c r="Y227" s="17" t="s">
        <v>3</v>
      </c>
      <c r="AA227" s="17" t="s">
        <v>3</v>
      </c>
      <c r="AC227" s="17" t="s">
        <v>3</v>
      </c>
      <c r="AF227" s="17" t="s">
        <v>3</v>
      </c>
      <c r="AG227" s="17" t="s">
        <v>3</v>
      </c>
    </row>
    <row r="228" spans="1:33" x14ac:dyDescent="0.2">
      <c r="A228" s="4"/>
      <c r="B228" s="18" t="s">
        <v>56</v>
      </c>
      <c r="C228" s="4"/>
      <c r="D228" s="4"/>
      <c r="E228" s="4">
        <f>ROUND(E225*E226,0)</f>
        <v>28509</v>
      </c>
      <c r="F228" s="4"/>
      <c r="G228" s="4">
        <f>ROUND(G225*G226,0)</f>
        <v>141136</v>
      </c>
      <c r="I228" s="4">
        <f>ROUND(I225*I226,0)</f>
        <v>14</v>
      </c>
      <c r="K228" s="4">
        <f>+K225*K226</f>
        <v>24317.071003680005</v>
      </c>
      <c r="M228" s="4">
        <f>+M225*M226</f>
        <v>135292.4701485</v>
      </c>
      <c r="N228" s="4"/>
      <c r="O228" s="4">
        <f>+O225*O226</f>
        <v>-44494.578466800005</v>
      </c>
      <c r="Q228" s="4">
        <f>+Q225*Q226</f>
        <v>11974455.479665499</v>
      </c>
      <c r="S228" s="4">
        <f>(+S225)*S226</f>
        <v>1701456.3798988999</v>
      </c>
      <c r="U228" s="4">
        <f>(+U225)*U226</f>
        <v>179133.08174699999</v>
      </c>
      <c r="W228" s="4">
        <f>(+W225-W231)*W226</f>
        <v>186372.69206249999</v>
      </c>
      <c r="X228" s="4"/>
      <c r="Y228" s="4">
        <f>(+Y225)*0.4*Y226</f>
        <v>0</v>
      </c>
      <c r="AA228" s="4">
        <f>(+AA225)*0.4*AA226</f>
        <v>0</v>
      </c>
      <c r="AC228" s="4">
        <f>(+AC225)*0.4*AC226</f>
        <v>0</v>
      </c>
      <c r="AF228" s="4">
        <f>(+AF225)*0.4*AF226</f>
        <v>0</v>
      </c>
      <c r="AG228" s="4">
        <f>(+AG225)*0.4*AG226</f>
        <v>0</v>
      </c>
    </row>
    <row r="229" spans="1:33" x14ac:dyDescent="0.2">
      <c r="A229" s="4"/>
      <c r="B229" s="18" t="s">
        <v>50</v>
      </c>
      <c r="C229" s="4"/>
      <c r="D229" s="4"/>
      <c r="E229" s="4"/>
      <c r="F229" s="4"/>
      <c r="G229" s="4">
        <v>0</v>
      </c>
      <c r="I229" s="4">
        <v>0</v>
      </c>
      <c r="K229" s="4">
        <v>0</v>
      </c>
      <c r="M229" s="4">
        <v>0</v>
      </c>
      <c r="N229" s="4"/>
      <c r="O229" s="4">
        <v>0</v>
      </c>
      <c r="Q229" s="4">
        <v>0</v>
      </c>
      <c r="S229" s="4">
        <v>0</v>
      </c>
      <c r="U229" s="4">
        <v>0</v>
      </c>
      <c r="W229" s="4">
        <v>0</v>
      </c>
      <c r="X229" s="4"/>
      <c r="Y229" s="4">
        <v>0</v>
      </c>
      <c r="AA229" s="4">
        <v>0</v>
      </c>
      <c r="AC229" s="4">
        <v>0</v>
      </c>
      <c r="AF229" s="4">
        <v>0</v>
      </c>
      <c r="AG229" s="4">
        <v>0</v>
      </c>
    </row>
    <row r="230" spans="1:33" x14ac:dyDescent="0.2">
      <c r="A230" s="4"/>
      <c r="B230" s="18"/>
      <c r="C230" s="4"/>
      <c r="D230" s="4"/>
      <c r="E230" s="4"/>
      <c r="F230" s="4"/>
      <c r="G230" s="4"/>
      <c r="I230" s="4"/>
      <c r="K230" s="4"/>
      <c r="M230" s="4"/>
      <c r="N230" s="4"/>
      <c r="O230" s="4"/>
      <c r="Q230" s="4"/>
      <c r="S230" s="4"/>
      <c r="U230" s="4"/>
      <c r="W230" s="4"/>
      <c r="X230" s="4"/>
      <c r="Y230" s="4"/>
      <c r="AA230" s="4"/>
      <c r="AC230" s="4"/>
      <c r="AF230" s="4"/>
      <c r="AG230" s="4"/>
    </row>
    <row r="231" spans="1:33" x14ac:dyDescent="0.2">
      <c r="A231" s="4"/>
      <c r="B231" s="18" t="s">
        <v>27</v>
      </c>
      <c r="C231" s="4"/>
      <c r="D231" s="4"/>
      <c r="E231" s="46"/>
      <c r="F231" s="4"/>
      <c r="G231" s="46"/>
      <c r="I231" s="46"/>
      <c r="K231" s="46"/>
      <c r="M231" s="46"/>
      <c r="N231" s="46"/>
      <c r="O231" s="46"/>
      <c r="Q231" s="46"/>
      <c r="S231" s="46">
        <v>0</v>
      </c>
      <c r="U231" s="46">
        <v>0</v>
      </c>
      <c r="W231" s="46">
        <f>+W225*0.5</f>
        <v>4969938.4550000001</v>
      </c>
      <c r="X231" s="4"/>
      <c r="Y231" s="46"/>
      <c r="AA231" s="46"/>
      <c r="AC231" s="46"/>
      <c r="AF231" s="46"/>
      <c r="AG231" s="46"/>
    </row>
    <row r="232" spans="1:33" x14ac:dyDescent="0.2">
      <c r="A232" s="4"/>
      <c r="B232" s="18"/>
      <c r="C232" s="4"/>
      <c r="D232" s="4"/>
      <c r="E232" s="17" t="s">
        <v>3</v>
      </c>
      <c r="F232" s="4"/>
      <c r="G232" s="17" t="s">
        <v>3</v>
      </c>
      <c r="I232" s="17" t="s">
        <v>3</v>
      </c>
      <c r="K232" s="17" t="s">
        <v>3</v>
      </c>
      <c r="M232" s="17" t="s">
        <v>3</v>
      </c>
      <c r="N232" s="17"/>
      <c r="O232" s="17" t="s">
        <v>3</v>
      </c>
      <c r="Q232" s="17" t="s">
        <v>3</v>
      </c>
      <c r="S232" s="17" t="s">
        <v>3</v>
      </c>
      <c r="U232" s="17" t="s">
        <v>3</v>
      </c>
      <c r="W232" s="17" t="s">
        <v>3</v>
      </c>
      <c r="X232" s="4"/>
      <c r="Y232" s="17" t="s">
        <v>3</v>
      </c>
      <c r="AA232" s="17" t="s">
        <v>3</v>
      </c>
      <c r="AC232" s="17" t="s">
        <v>3</v>
      </c>
      <c r="AF232" s="17" t="s">
        <v>3</v>
      </c>
      <c r="AG232" s="17" t="s">
        <v>3</v>
      </c>
    </row>
    <row r="233" spans="1:33" x14ac:dyDescent="0.2">
      <c r="A233" s="4"/>
      <c r="B233" s="18" t="s">
        <v>55</v>
      </c>
      <c r="C233" s="4"/>
      <c r="D233" s="4"/>
      <c r="E233" s="4">
        <f>SUM(E228:E231)</f>
        <v>28509</v>
      </c>
      <c r="F233" s="4"/>
      <c r="G233" s="4">
        <f>SUM(G228:G231)</f>
        <v>141136</v>
      </c>
      <c r="I233" s="4">
        <f>SUM(I228:I231)</f>
        <v>14</v>
      </c>
      <c r="K233" s="4">
        <f>SUM(K228:K231)</f>
        <v>24317.071003680005</v>
      </c>
      <c r="M233" s="4">
        <f>SUM(M228:M231)</f>
        <v>135292.4701485</v>
      </c>
      <c r="N233" s="4"/>
      <c r="O233" s="4">
        <f>SUM(O228:O231)</f>
        <v>-44494.578466800005</v>
      </c>
      <c r="Q233" s="4">
        <f>SUM(Q228:Q231)</f>
        <v>11974455.479665499</v>
      </c>
      <c r="S233" s="4">
        <f>SUM(S228:S231)</f>
        <v>1701456.3798988999</v>
      </c>
      <c r="U233" s="4">
        <f>SUM(U228:U231)</f>
        <v>179133.08174699999</v>
      </c>
      <c r="W233" s="4">
        <f>SUM(W228:W231)</f>
        <v>5156311.1470625</v>
      </c>
      <c r="X233" s="4"/>
      <c r="Y233" s="4">
        <f>SUM(Y228:Y231)</f>
        <v>0</v>
      </c>
      <c r="AA233" s="4">
        <f>SUM(AA228:AA231)</f>
        <v>0</v>
      </c>
      <c r="AC233" s="4">
        <f>SUM(AC228:AC231)</f>
        <v>0</v>
      </c>
      <c r="AF233" s="4">
        <f>SUM(AF228:AF231)</f>
        <v>0</v>
      </c>
      <c r="AG233" s="4">
        <f>SUM(AG228:AG231)</f>
        <v>0</v>
      </c>
    </row>
    <row r="234" spans="1:33" x14ac:dyDescent="0.2">
      <c r="A234" s="4"/>
      <c r="B234" s="18" t="s">
        <v>21</v>
      </c>
      <c r="C234" s="4"/>
      <c r="D234" s="4"/>
      <c r="E234" s="48">
        <v>1</v>
      </c>
      <c r="F234" s="4"/>
      <c r="G234" s="48">
        <v>1</v>
      </c>
      <c r="I234" s="48">
        <v>1</v>
      </c>
      <c r="K234" s="48">
        <v>1</v>
      </c>
      <c r="M234" s="48">
        <v>1</v>
      </c>
      <c r="N234" s="48"/>
      <c r="O234" s="48">
        <v>1</v>
      </c>
      <c r="Q234" s="48">
        <v>1</v>
      </c>
      <c r="S234" s="48">
        <v>1</v>
      </c>
      <c r="U234" s="48">
        <v>1</v>
      </c>
      <c r="W234" s="48">
        <v>1</v>
      </c>
      <c r="X234" s="4"/>
      <c r="Y234" s="48">
        <v>0</v>
      </c>
      <c r="AA234" s="48">
        <v>0</v>
      </c>
      <c r="AC234" s="48">
        <v>0</v>
      </c>
      <c r="AF234" s="48">
        <v>0</v>
      </c>
      <c r="AG234" s="48">
        <v>0</v>
      </c>
    </row>
    <row r="235" spans="1:33" x14ac:dyDescent="0.2">
      <c r="A235" s="4"/>
      <c r="B235" s="18" t="s">
        <v>22</v>
      </c>
      <c r="C235" s="4"/>
      <c r="D235" s="4"/>
      <c r="E235" s="48"/>
      <c r="F235" s="4"/>
      <c r="G235" s="48"/>
      <c r="I235" s="48"/>
      <c r="K235" s="48"/>
      <c r="M235" s="48"/>
      <c r="N235" s="48"/>
      <c r="O235" s="48"/>
      <c r="Q235" s="48"/>
      <c r="S235" s="48"/>
      <c r="U235" s="48"/>
      <c r="W235" s="48"/>
      <c r="X235" s="4"/>
      <c r="Y235" s="48"/>
      <c r="AA235" s="48"/>
      <c r="AC235" s="48"/>
      <c r="AF235" s="48"/>
      <c r="AG235" s="48"/>
    </row>
    <row r="236" spans="1:33" x14ac:dyDescent="0.2">
      <c r="A236" s="4"/>
      <c r="B236" s="4"/>
      <c r="C236" s="4"/>
      <c r="D236" s="4"/>
      <c r="E236" s="17" t="s">
        <v>3</v>
      </c>
      <c r="F236" s="4"/>
      <c r="G236" s="17" t="s">
        <v>3</v>
      </c>
      <c r="I236" s="17" t="s">
        <v>3</v>
      </c>
      <c r="K236" s="17" t="s">
        <v>3</v>
      </c>
      <c r="M236" s="17" t="s">
        <v>3</v>
      </c>
      <c r="N236" s="17"/>
      <c r="O236" s="17" t="s">
        <v>3</v>
      </c>
      <c r="Q236" s="17" t="s">
        <v>3</v>
      </c>
      <c r="S236" s="17" t="s">
        <v>3</v>
      </c>
      <c r="U236" s="17" t="s">
        <v>3</v>
      </c>
      <c r="W236" s="17" t="s">
        <v>3</v>
      </c>
      <c r="X236" s="4"/>
      <c r="Y236" s="17" t="s">
        <v>3</v>
      </c>
      <c r="AA236" s="17" t="s">
        <v>3</v>
      </c>
      <c r="AC236" s="17" t="s">
        <v>3</v>
      </c>
      <c r="AF236" s="17" t="s">
        <v>3</v>
      </c>
      <c r="AG236" s="17" t="s">
        <v>3</v>
      </c>
    </row>
    <row r="237" spans="1:33" x14ac:dyDescent="0.2">
      <c r="A237" s="43"/>
      <c r="B237" s="18" t="s">
        <v>55</v>
      </c>
      <c r="C237" s="4"/>
      <c r="D237" s="4"/>
      <c r="E237" s="4">
        <f>ROUND(E233*E234,0)</f>
        <v>28509</v>
      </c>
      <c r="F237" s="4"/>
      <c r="G237" s="4">
        <f>ROUND(G233*G234,0)</f>
        <v>141136</v>
      </c>
      <c r="I237" s="4">
        <f>ROUND(I233*I234,0)</f>
        <v>14</v>
      </c>
      <c r="K237" s="4">
        <f>ROUND(K233*K234,0)</f>
        <v>24317</v>
      </c>
      <c r="M237" s="4">
        <f>ROUND(M233*M234,0)</f>
        <v>135292</v>
      </c>
      <c r="N237" s="4"/>
      <c r="O237" s="4">
        <f>ROUND(O233*O234,0)</f>
        <v>-44495</v>
      </c>
      <c r="Q237" s="4">
        <f>ROUND(Q233*Q234,0)</f>
        <v>11974455</v>
      </c>
      <c r="S237" s="4">
        <f>ROUND(S233*S234,0)</f>
        <v>1701456</v>
      </c>
      <c r="U237" s="4">
        <f>ROUND(U233*U234,0)</f>
        <v>179133</v>
      </c>
      <c r="W237" s="4">
        <f>ROUND(W233*W234,0)</f>
        <v>5156311</v>
      </c>
      <c r="X237" s="4"/>
      <c r="Y237" s="4">
        <f>ROUND(Y233*Y234,0)</f>
        <v>0</v>
      </c>
      <c r="AA237" s="4">
        <f>ROUND(AA233*AA234,0)</f>
        <v>0</v>
      </c>
      <c r="AC237" s="4">
        <f>ROUND(AC233*AC234,0)</f>
        <v>0</v>
      </c>
      <c r="AF237" s="4">
        <f>ROUND(AF233*AF234,0)</f>
        <v>0</v>
      </c>
      <c r="AG237" s="4">
        <f>ROUND(AG233*AG234,0)</f>
        <v>0</v>
      </c>
    </row>
    <row r="238" spans="1:33" x14ac:dyDescent="0.2">
      <c r="A238" s="4"/>
      <c r="B238" s="18"/>
      <c r="C238" s="4"/>
      <c r="D238" s="4"/>
      <c r="E238" s="17" t="s">
        <v>8</v>
      </c>
      <c r="F238" s="4"/>
      <c r="G238" s="17" t="s">
        <v>8</v>
      </c>
      <c r="I238" s="17" t="s">
        <v>8</v>
      </c>
      <c r="K238" s="17" t="s">
        <v>8</v>
      </c>
      <c r="M238" s="17" t="s">
        <v>8</v>
      </c>
      <c r="N238" s="17"/>
      <c r="O238" s="17" t="s">
        <v>8</v>
      </c>
      <c r="Q238" s="17" t="s">
        <v>8</v>
      </c>
      <c r="S238" s="17" t="s">
        <v>8</v>
      </c>
      <c r="U238" s="17" t="s">
        <v>8</v>
      </c>
      <c r="W238" s="17" t="s">
        <v>8</v>
      </c>
      <c r="X238" s="4"/>
      <c r="Y238" s="17" t="s">
        <v>8</v>
      </c>
      <c r="AA238" s="17" t="s">
        <v>8</v>
      </c>
      <c r="AC238" s="17" t="s">
        <v>8</v>
      </c>
      <c r="AF238" s="17" t="s">
        <v>8</v>
      </c>
      <c r="AG238" s="17" t="s">
        <v>8</v>
      </c>
    </row>
    <row r="239" spans="1:33" x14ac:dyDescent="0.2">
      <c r="A239" s="4"/>
      <c r="B239" s="18"/>
      <c r="C239" s="4"/>
      <c r="D239" s="4"/>
      <c r="E239" s="17"/>
      <c r="F239" s="4"/>
      <c r="G239" s="17"/>
      <c r="I239" s="17"/>
      <c r="K239" s="17"/>
      <c r="M239" s="17"/>
      <c r="N239" s="17"/>
      <c r="O239" s="17"/>
      <c r="Q239" s="4"/>
      <c r="S239" s="17"/>
      <c r="U239" s="17"/>
      <c r="W239" s="17"/>
      <c r="X239" s="4"/>
      <c r="Y239" s="17"/>
      <c r="AA239" s="17"/>
      <c r="AC239" s="17"/>
      <c r="AF239" s="17"/>
      <c r="AG239" s="17"/>
    </row>
    <row r="240" spans="1:33" ht="13.2" x14ac:dyDescent="0.25">
      <c r="A240" s="4"/>
      <c r="B240" s="42">
        <v>2011</v>
      </c>
      <c r="C240" s="4"/>
      <c r="D240" s="4"/>
      <c r="E240" s="8" t="str">
        <f>+E$79</f>
        <v>Half-Year</v>
      </c>
      <c r="F240" s="4"/>
      <c r="G240" s="8" t="str">
        <f>+G$79</f>
        <v>Half-Year</v>
      </c>
      <c r="I240" s="8" t="str">
        <f>+I$79</f>
        <v>Half-Year</v>
      </c>
      <c r="K240" s="8" t="str">
        <f>+K$79</f>
        <v>Half-Year</v>
      </c>
      <c r="M240" s="8" t="str">
        <f>+M$79</f>
        <v>Half-Year</v>
      </c>
      <c r="N240" s="8"/>
      <c r="O240" s="8" t="str">
        <f>+O$79</f>
        <v>Half-Year</v>
      </c>
      <c r="Q240" s="8" t="str">
        <f>+Q$79</f>
        <v>Half-Year</v>
      </c>
      <c r="S240" s="8" t="str">
        <f>+S$79</f>
        <v>Half-Year</v>
      </c>
      <c r="U240" s="8" t="str">
        <f>+U$79</f>
        <v>Half-Year</v>
      </c>
      <c r="W240" s="8" t="str">
        <f>+W$79</f>
        <v>Half-Year</v>
      </c>
      <c r="X240" s="4"/>
      <c r="Y240" s="8" t="str">
        <f>+Y$79</f>
        <v>Half-Year</v>
      </c>
      <c r="AA240" s="8" t="str">
        <f>+AA$79</f>
        <v>Half-Year</v>
      </c>
      <c r="AC240" s="8" t="str">
        <f>+AC$79</f>
        <v>Half-Year</v>
      </c>
      <c r="AF240" s="8" t="str">
        <f>+AF$79</f>
        <v>Half-Year</v>
      </c>
      <c r="AG240" s="8" t="str">
        <f>+AG$79</f>
        <v>Half-Year</v>
      </c>
    </row>
    <row r="241" spans="1:33" x14ac:dyDescent="0.2">
      <c r="A241" s="4"/>
      <c r="B241" s="18" t="s">
        <v>9</v>
      </c>
      <c r="C241" s="4"/>
      <c r="D241" s="4"/>
      <c r="E241" s="4">
        <f>+E225</f>
        <v>639077</v>
      </c>
      <c r="F241" s="4"/>
      <c r="G241" s="4">
        <f>+G225</f>
        <v>3163066.5</v>
      </c>
      <c r="I241" s="4">
        <f>+I225</f>
        <v>301.54599999999999</v>
      </c>
      <c r="K241" s="4">
        <f>+K225</f>
        <v>497485.08600000007</v>
      </c>
      <c r="M241" s="4">
        <f>+M225</f>
        <v>2559933.21</v>
      </c>
      <c r="N241" s="4"/>
      <c r="O241" s="4">
        <f>+O225</f>
        <v>-778830.3600000001</v>
      </c>
      <c r="Q241" s="4">
        <f>+Q225</f>
        <v>193855520.15000001</v>
      </c>
      <c r="S241" s="4">
        <f>+S225</f>
        <v>25520569.670000002</v>
      </c>
      <c r="U241" s="4">
        <f>+U225</f>
        <v>2481411.2999999998</v>
      </c>
      <c r="W241" s="4">
        <f>+W225-W231</f>
        <v>4969938.4550000001</v>
      </c>
      <c r="X241" s="4"/>
      <c r="Y241" s="4">
        <f>Y15</f>
        <v>1324801.9800000002</v>
      </c>
      <c r="AA241" s="4">
        <f>+AA225</f>
        <v>0</v>
      </c>
      <c r="AC241" s="4">
        <f>+AC225</f>
        <v>0</v>
      </c>
      <c r="AF241" s="4">
        <f>+AF225</f>
        <v>0</v>
      </c>
      <c r="AG241" s="4">
        <f>+AG225</f>
        <v>0</v>
      </c>
    </row>
    <row r="242" spans="1:33" x14ac:dyDescent="0.2">
      <c r="A242" s="4"/>
      <c r="B242" s="18" t="s">
        <v>18</v>
      </c>
      <c r="C242" s="4"/>
      <c r="D242" s="4"/>
      <c r="E242" s="49">
        <v>4.462E-2</v>
      </c>
      <c r="F242" s="4"/>
      <c r="G242" s="49">
        <v>4.4609999999999997E-2</v>
      </c>
      <c r="I242" s="49">
        <v>4.462E-2</v>
      </c>
      <c r="K242" s="49">
        <v>4.5220000000000003E-2</v>
      </c>
      <c r="M242" s="49">
        <v>4.888E-2</v>
      </c>
      <c r="N242" s="49"/>
      <c r="O242" s="49">
        <v>5.2850000000000001E-2</v>
      </c>
      <c r="Q242" s="49">
        <v>5.713E-2</v>
      </c>
      <c r="S242" s="49">
        <v>6.1769999999999999E-2</v>
      </c>
      <c r="U242" s="49">
        <v>6.6769999999999996E-2</v>
      </c>
      <c r="W242" s="49">
        <v>7.2190000000000004E-2</v>
      </c>
      <c r="X242" s="4"/>
      <c r="Y242" s="49">
        <v>3.7499999999999999E-2</v>
      </c>
      <c r="AA242" s="49">
        <v>0</v>
      </c>
      <c r="AC242" s="49">
        <v>0</v>
      </c>
      <c r="AF242" s="49">
        <v>0</v>
      </c>
      <c r="AG242" s="49">
        <v>0</v>
      </c>
    </row>
    <row r="243" spans="1:33" x14ac:dyDescent="0.2">
      <c r="A243" s="4"/>
      <c r="B243" s="4"/>
      <c r="C243" s="4"/>
      <c r="D243" s="4"/>
      <c r="E243" s="17" t="s">
        <v>3</v>
      </c>
      <c r="F243" s="4"/>
      <c r="G243" s="17" t="s">
        <v>3</v>
      </c>
      <c r="I243" s="17" t="s">
        <v>3</v>
      </c>
      <c r="K243" s="17" t="s">
        <v>3</v>
      </c>
      <c r="M243" s="17" t="s">
        <v>3</v>
      </c>
      <c r="N243" s="17"/>
      <c r="O243" s="17" t="s">
        <v>3</v>
      </c>
      <c r="Q243" s="17" t="s">
        <v>3</v>
      </c>
      <c r="S243" s="17" t="s">
        <v>3</v>
      </c>
      <c r="U243" s="17" t="s">
        <v>3</v>
      </c>
      <c r="W243" s="17" t="s">
        <v>3</v>
      </c>
      <c r="X243" s="4"/>
      <c r="Y243" s="17" t="s">
        <v>3</v>
      </c>
      <c r="AA243" s="17" t="s">
        <v>3</v>
      </c>
      <c r="AC243" s="17" t="s">
        <v>3</v>
      </c>
      <c r="AF243" s="17" t="s">
        <v>3</v>
      </c>
      <c r="AG243" s="17" t="s">
        <v>3</v>
      </c>
    </row>
    <row r="244" spans="1:33" x14ac:dyDescent="0.2">
      <c r="A244" s="4"/>
      <c r="B244" s="18" t="s">
        <v>57</v>
      </c>
      <c r="C244" s="4"/>
      <c r="D244" s="4"/>
      <c r="E244" s="4">
        <f>ROUND(E241*E242,0)</f>
        <v>28516</v>
      </c>
      <c r="F244" s="4"/>
      <c r="G244" s="4">
        <f>ROUND(G241*G242,0)</f>
        <v>141104</v>
      </c>
      <c r="I244" s="4">
        <f>ROUND(I241*I242,0)</f>
        <v>13</v>
      </c>
      <c r="K244" s="4">
        <f>+K241*K242</f>
        <v>22496.275588920005</v>
      </c>
      <c r="M244" s="4">
        <f>+M241*M242</f>
        <v>125129.5353048</v>
      </c>
      <c r="N244" s="4"/>
      <c r="O244" s="4">
        <f>+O241*O242</f>
        <v>-41161.184526000005</v>
      </c>
      <c r="Q244" s="4">
        <f>+Q241*Q242</f>
        <v>11074965.866169501</v>
      </c>
      <c r="S244" s="4">
        <f>+S241*S242</f>
        <v>1576405.5885159001</v>
      </c>
      <c r="U244" s="4">
        <f>(+U241)*U242</f>
        <v>165683.83250099997</v>
      </c>
      <c r="W244" s="4">
        <f>(+W241)*W242</f>
        <v>358779.85706645</v>
      </c>
      <c r="X244" s="4"/>
      <c r="Y244" s="4">
        <v>0</v>
      </c>
      <c r="AA244" s="4">
        <f>(+AA241)*0.4*AA242</f>
        <v>0</v>
      </c>
      <c r="AC244" s="4">
        <f>(+AC241)*0.4*AC242</f>
        <v>0</v>
      </c>
      <c r="AF244" s="4">
        <f>(+AF241)*0.4*AF242</f>
        <v>0</v>
      </c>
      <c r="AG244" s="4">
        <f>(+AG241)*0.4*AG242</f>
        <v>0</v>
      </c>
    </row>
    <row r="245" spans="1:33" x14ac:dyDescent="0.2">
      <c r="A245" s="4"/>
      <c r="B245" s="18" t="s">
        <v>50</v>
      </c>
      <c r="C245" s="4"/>
      <c r="D245" s="4"/>
      <c r="E245" s="4"/>
      <c r="F245" s="4"/>
      <c r="G245" s="4">
        <v>0</v>
      </c>
      <c r="I245" s="4">
        <v>0</v>
      </c>
      <c r="K245" s="4">
        <v>0</v>
      </c>
      <c r="M245" s="4">
        <v>0</v>
      </c>
      <c r="N245" s="4"/>
      <c r="O245" s="4">
        <v>0</v>
      </c>
      <c r="Q245" s="4">
        <v>0</v>
      </c>
      <c r="S245" s="4">
        <v>0</v>
      </c>
      <c r="U245" s="4">
        <v>0</v>
      </c>
      <c r="W245" s="4">
        <v>0</v>
      </c>
      <c r="X245" s="4"/>
      <c r="Y245" s="4">
        <v>0</v>
      </c>
      <c r="AA245" s="4">
        <v>0</v>
      </c>
      <c r="AC245" s="4">
        <v>0</v>
      </c>
      <c r="AF245" s="4">
        <v>0</v>
      </c>
      <c r="AG245" s="4">
        <v>0</v>
      </c>
    </row>
    <row r="246" spans="1:33" x14ac:dyDescent="0.2">
      <c r="A246" s="4"/>
      <c r="B246" s="18"/>
      <c r="C246" s="4"/>
      <c r="D246" s="4"/>
      <c r="E246" s="4"/>
      <c r="F246" s="4"/>
      <c r="G246" s="4"/>
      <c r="I246" s="4"/>
      <c r="K246" s="4"/>
      <c r="M246" s="4"/>
      <c r="N246" s="4"/>
      <c r="O246" s="4"/>
      <c r="Q246" s="4"/>
      <c r="S246" s="4"/>
      <c r="U246" s="4"/>
      <c r="W246" s="4"/>
      <c r="X246" s="4"/>
      <c r="Y246" s="4"/>
      <c r="AA246" s="4"/>
      <c r="AC246" s="4"/>
      <c r="AF246" s="4"/>
      <c r="AG246" s="4"/>
    </row>
    <row r="247" spans="1:33" x14ac:dyDescent="0.2">
      <c r="A247" s="4"/>
      <c r="B247" s="18" t="s">
        <v>27</v>
      </c>
      <c r="C247" s="4"/>
      <c r="D247" s="4"/>
      <c r="E247" s="46"/>
      <c r="F247" s="4"/>
      <c r="G247" s="46"/>
      <c r="I247" s="46"/>
      <c r="K247" s="46"/>
      <c r="M247" s="46"/>
      <c r="N247" s="46"/>
      <c r="O247" s="46"/>
      <c r="Q247" s="46"/>
      <c r="S247" s="46">
        <v>0</v>
      </c>
      <c r="U247" s="46">
        <v>0</v>
      </c>
      <c r="W247" s="46">
        <v>0</v>
      </c>
      <c r="X247" s="4"/>
      <c r="Y247" s="46">
        <f>+Y241*1</f>
        <v>1324801.9800000002</v>
      </c>
      <c r="AA247" s="46"/>
      <c r="AC247" s="46"/>
      <c r="AF247" s="46"/>
      <c r="AG247" s="46"/>
    </row>
    <row r="248" spans="1:33" x14ac:dyDescent="0.2">
      <c r="A248" s="4"/>
      <c r="B248" s="18"/>
      <c r="C248" s="4"/>
      <c r="D248" s="4"/>
      <c r="E248" s="17" t="s">
        <v>3</v>
      </c>
      <c r="F248" s="4"/>
      <c r="G248" s="17" t="s">
        <v>3</v>
      </c>
      <c r="I248" s="17" t="s">
        <v>3</v>
      </c>
      <c r="K248" s="17" t="s">
        <v>3</v>
      </c>
      <c r="M248" s="17" t="s">
        <v>3</v>
      </c>
      <c r="N248" s="17"/>
      <c r="O248" s="17" t="s">
        <v>3</v>
      </c>
      <c r="Q248" s="17" t="s">
        <v>3</v>
      </c>
      <c r="S248" s="17" t="s">
        <v>3</v>
      </c>
      <c r="U248" s="17" t="s">
        <v>3</v>
      </c>
      <c r="W248" s="17" t="s">
        <v>3</v>
      </c>
      <c r="X248" s="4"/>
      <c r="Y248" s="17" t="s">
        <v>3</v>
      </c>
      <c r="AA248" s="17" t="s">
        <v>3</v>
      </c>
      <c r="AC248" s="17" t="s">
        <v>3</v>
      </c>
      <c r="AF248" s="17" t="s">
        <v>3</v>
      </c>
      <c r="AG248" s="17" t="s">
        <v>3</v>
      </c>
    </row>
    <row r="249" spans="1:33" x14ac:dyDescent="0.2">
      <c r="A249" s="4"/>
      <c r="B249" s="18" t="s">
        <v>58</v>
      </c>
      <c r="C249" s="4"/>
      <c r="D249" s="4"/>
      <c r="E249" s="4">
        <f>SUM(E244:E247)</f>
        <v>28516</v>
      </c>
      <c r="F249" s="4"/>
      <c r="G249" s="4">
        <f>SUM(G244:G247)</f>
        <v>141104</v>
      </c>
      <c r="I249" s="4">
        <f>SUM(I244:I247)</f>
        <v>13</v>
      </c>
      <c r="K249" s="4">
        <f>SUM(K244:K247)</f>
        <v>22496.275588920005</v>
      </c>
      <c r="M249" s="4">
        <f>SUM(M244:M247)</f>
        <v>125129.5353048</v>
      </c>
      <c r="N249" s="4"/>
      <c r="O249" s="4">
        <f>SUM(O244:O247)</f>
        <v>-41161.184526000005</v>
      </c>
      <c r="Q249" s="4">
        <f>SUM(Q244:Q247)</f>
        <v>11074965.866169501</v>
      </c>
      <c r="S249" s="4">
        <f>SUM(S244:S247)</f>
        <v>1576405.5885159001</v>
      </c>
      <c r="U249" s="4">
        <f>SUM(U244:U247)</f>
        <v>165683.83250099997</v>
      </c>
      <c r="W249" s="4">
        <f>SUM(W244:W247)</f>
        <v>358779.85706645</v>
      </c>
      <c r="X249" s="4"/>
      <c r="Y249" s="4">
        <f>SUM(Y244:Y247)</f>
        <v>1324801.9800000002</v>
      </c>
      <c r="AA249" s="4">
        <f>SUM(AA244:AA247)</f>
        <v>0</v>
      </c>
      <c r="AC249" s="4">
        <f>SUM(AC244:AC247)</f>
        <v>0</v>
      </c>
      <c r="AF249" s="4">
        <f>SUM(AF244:AF247)</f>
        <v>0</v>
      </c>
      <c r="AG249" s="4">
        <f>SUM(AG244:AG247)</f>
        <v>0</v>
      </c>
    </row>
    <row r="250" spans="1:33" x14ac:dyDescent="0.2">
      <c r="A250" s="4"/>
      <c r="B250" s="18" t="s">
        <v>21</v>
      </c>
      <c r="C250" s="4"/>
      <c r="D250" s="4"/>
      <c r="E250" s="48">
        <v>1</v>
      </c>
      <c r="F250" s="4"/>
      <c r="G250" s="48">
        <v>1</v>
      </c>
      <c r="I250" s="48">
        <v>1</v>
      </c>
      <c r="K250" s="48">
        <v>1</v>
      </c>
      <c r="M250" s="48">
        <v>1</v>
      </c>
      <c r="N250" s="48"/>
      <c r="O250" s="48">
        <v>1</v>
      </c>
      <c r="Q250" s="48">
        <v>1</v>
      </c>
      <c r="S250" s="48">
        <v>1</v>
      </c>
      <c r="U250" s="48">
        <v>1</v>
      </c>
      <c r="W250" s="48">
        <v>1</v>
      </c>
      <c r="X250" s="4"/>
      <c r="Y250" s="48">
        <v>1</v>
      </c>
      <c r="AA250" s="48">
        <v>1</v>
      </c>
      <c r="AC250" s="48">
        <v>1</v>
      </c>
      <c r="AF250" s="48">
        <v>1</v>
      </c>
      <c r="AG250" s="48">
        <v>1</v>
      </c>
    </row>
    <row r="251" spans="1:33" x14ac:dyDescent="0.2">
      <c r="A251" s="4"/>
      <c r="B251" s="18" t="s">
        <v>22</v>
      </c>
      <c r="C251" s="4"/>
      <c r="D251" s="4"/>
      <c r="E251" s="48"/>
      <c r="F251" s="4"/>
      <c r="G251" s="48"/>
      <c r="I251" s="48"/>
      <c r="K251" s="48"/>
      <c r="M251" s="48"/>
      <c r="N251" s="48"/>
      <c r="O251" s="48"/>
      <c r="Q251" s="48"/>
      <c r="S251" s="48"/>
      <c r="U251" s="48"/>
      <c r="W251" s="48"/>
      <c r="X251" s="4"/>
      <c r="Y251" s="48"/>
      <c r="AA251" s="48"/>
      <c r="AC251" s="48"/>
      <c r="AF251" s="48"/>
      <c r="AG251" s="48"/>
    </row>
    <row r="252" spans="1:33" x14ac:dyDescent="0.2">
      <c r="A252" s="4"/>
      <c r="B252" s="4"/>
      <c r="C252" s="4"/>
      <c r="D252" s="4"/>
      <c r="E252" s="17" t="s">
        <v>3</v>
      </c>
      <c r="F252" s="4"/>
      <c r="G252" s="17" t="s">
        <v>3</v>
      </c>
      <c r="I252" s="17" t="s">
        <v>3</v>
      </c>
      <c r="K252" s="17" t="s">
        <v>3</v>
      </c>
      <c r="M252" s="17" t="s">
        <v>3</v>
      </c>
      <c r="N252" s="17"/>
      <c r="O252" s="17" t="s">
        <v>3</v>
      </c>
      <c r="Q252" s="17" t="s">
        <v>3</v>
      </c>
      <c r="S252" s="17" t="s">
        <v>3</v>
      </c>
      <c r="U252" s="17" t="s">
        <v>3</v>
      </c>
      <c r="W252" s="17" t="s">
        <v>3</v>
      </c>
      <c r="X252" s="4"/>
      <c r="Y252" s="17" t="s">
        <v>3</v>
      </c>
      <c r="AA252" s="17" t="s">
        <v>3</v>
      </c>
      <c r="AC252" s="17" t="s">
        <v>3</v>
      </c>
      <c r="AF252" s="17" t="s">
        <v>3</v>
      </c>
      <c r="AG252" s="17" t="s">
        <v>3</v>
      </c>
    </row>
    <row r="253" spans="1:33" x14ac:dyDescent="0.2">
      <c r="A253" s="43"/>
      <c r="B253" s="18" t="s">
        <v>58</v>
      </c>
      <c r="C253" s="4"/>
      <c r="D253" s="4"/>
      <c r="E253" s="4">
        <f>ROUND(E249*E250,0)</f>
        <v>28516</v>
      </c>
      <c r="F253" s="4"/>
      <c r="G253" s="4">
        <f>ROUND(G249*G250,0)</f>
        <v>141104</v>
      </c>
      <c r="I253" s="4">
        <f>ROUND(I249*I250,0)</f>
        <v>13</v>
      </c>
      <c r="K253" s="4">
        <f>ROUND(K249*K250,0)</f>
        <v>22496</v>
      </c>
      <c r="M253" s="4">
        <f>ROUND(M249*M250,0)</f>
        <v>125130</v>
      </c>
      <c r="N253" s="4"/>
      <c r="O253" s="4">
        <f>ROUND(O249*O250,0)</f>
        <v>-41161</v>
      </c>
      <c r="Q253" s="4">
        <f>ROUND(Q249*Q250,0)</f>
        <v>11074966</v>
      </c>
      <c r="S253" s="4">
        <f>ROUND(S249*S250,0)</f>
        <v>1576406</v>
      </c>
      <c r="U253" s="4">
        <f>ROUND(U249*U250,0)</f>
        <v>165684</v>
      </c>
      <c r="W253" s="4">
        <f>ROUND(W249*W250,0)</f>
        <v>358780</v>
      </c>
      <c r="X253" s="4"/>
      <c r="Y253" s="4">
        <f>ROUND(Y249*Y250,0)</f>
        <v>1324802</v>
      </c>
      <c r="AA253" s="4">
        <f>ROUND(AA249*AA250,0)</f>
        <v>0</v>
      </c>
      <c r="AC253" s="4">
        <f>ROUND(AC249*AC250,0)</f>
        <v>0</v>
      </c>
      <c r="AF253" s="4">
        <f>ROUND(AF249*AF250,0)</f>
        <v>0</v>
      </c>
      <c r="AG253" s="4">
        <f>ROUND(AG249*AG250,0)</f>
        <v>0</v>
      </c>
    </row>
    <row r="254" spans="1:33" x14ac:dyDescent="0.2">
      <c r="A254" s="4"/>
      <c r="B254" s="18"/>
      <c r="C254" s="4"/>
      <c r="D254" s="4"/>
      <c r="E254" s="17" t="s">
        <v>8</v>
      </c>
      <c r="F254" s="4"/>
      <c r="G254" s="17" t="s">
        <v>8</v>
      </c>
      <c r="I254" s="17" t="s">
        <v>8</v>
      </c>
      <c r="K254" s="17" t="s">
        <v>8</v>
      </c>
      <c r="M254" s="17" t="s">
        <v>8</v>
      </c>
      <c r="N254" s="17"/>
      <c r="O254" s="17" t="s">
        <v>8</v>
      </c>
      <c r="Q254" s="17" t="s">
        <v>8</v>
      </c>
      <c r="S254" s="17" t="s">
        <v>8</v>
      </c>
      <c r="U254" s="17" t="s">
        <v>8</v>
      </c>
      <c r="W254" s="17" t="s">
        <v>8</v>
      </c>
      <c r="X254" s="4"/>
      <c r="Y254" s="17" t="s">
        <v>8</v>
      </c>
      <c r="AA254" s="17" t="s">
        <v>8</v>
      </c>
      <c r="AC254" s="17" t="s">
        <v>8</v>
      </c>
      <c r="AF254" s="17" t="s">
        <v>8</v>
      </c>
      <c r="AG254" s="17" t="s">
        <v>8</v>
      </c>
    </row>
    <row r="255" spans="1:33" x14ac:dyDescent="0.2">
      <c r="A255" s="4"/>
      <c r="B255" s="18"/>
      <c r="C255" s="4"/>
      <c r="D255" s="4"/>
      <c r="E255" s="17"/>
      <c r="F255" s="4"/>
      <c r="G255" s="17"/>
      <c r="I255" s="17"/>
      <c r="K255" s="17"/>
      <c r="M255" s="17"/>
      <c r="N255" s="17"/>
      <c r="O255" s="17"/>
      <c r="Q255" s="17"/>
      <c r="S255" s="4"/>
      <c r="U255" s="17"/>
      <c r="W255" s="17"/>
      <c r="X255" s="4"/>
      <c r="Y255" s="17"/>
      <c r="AA255" s="17"/>
      <c r="AC255" s="17"/>
      <c r="AF255" s="17"/>
      <c r="AG255" s="17"/>
    </row>
    <row r="256" spans="1:33" ht="13.2" x14ac:dyDescent="0.25">
      <c r="A256" s="4"/>
      <c r="B256" s="42">
        <v>2012</v>
      </c>
      <c r="C256" s="4"/>
      <c r="D256" s="4"/>
      <c r="E256" s="8" t="str">
        <f>+E$79</f>
        <v>Half-Year</v>
      </c>
      <c r="F256" s="4"/>
      <c r="G256" s="8" t="str">
        <f>+G$79</f>
        <v>Half-Year</v>
      </c>
      <c r="I256" s="8" t="str">
        <f>+I$79</f>
        <v>Half-Year</v>
      </c>
      <c r="K256" s="8" t="str">
        <f>+K$79</f>
        <v>Half-Year</v>
      </c>
      <c r="M256" s="8" t="str">
        <f>+M$79</f>
        <v>Half-Year</v>
      </c>
      <c r="N256" s="8"/>
      <c r="O256" s="8" t="str">
        <f>+O$79</f>
        <v>Half-Year</v>
      </c>
      <c r="Q256" s="8" t="str">
        <f>+Q$79</f>
        <v>Half-Year</v>
      </c>
      <c r="S256" s="8" t="str">
        <f>+S$79</f>
        <v>Half-Year</v>
      </c>
      <c r="U256" s="8" t="str">
        <f>+U$79</f>
        <v>Half-Year</v>
      </c>
      <c r="W256" s="8" t="str">
        <f>+W$79</f>
        <v>Half-Year</v>
      </c>
      <c r="X256" s="4"/>
      <c r="Y256" s="8" t="str">
        <f>+Y$79</f>
        <v>Half-Year</v>
      </c>
      <c r="AA256" s="8" t="str">
        <f>+AA$79</f>
        <v>Half-Year</v>
      </c>
      <c r="AC256" s="8" t="str">
        <f>+AC$79</f>
        <v>Half-Year</v>
      </c>
      <c r="AF256" s="8" t="str">
        <f>+AF$79</f>
        <v>Half-Year</v>
      </c>
      <c r="AG256" s="8" t="str">
        <f>+AG$79</f>
        <v>Half-Year</v>
      </c>
    </row>
    <row r="257" spans="1:33" x14ac:dyDescent="0.2">
      <c r="A257" s="4"/>
      <c r="B257" s="18" t="s">
        <v>9</v>
      </c>
      <c r="C257" s="4"/>
      <c r="D257" s="4"/>
      <c r="E257" s="4">
        <f>+E193</f>
        <v>639077</v>
      </c>
      <c r="F257" s="4"/>
      <c r="G257" s="4">
        <f>+G193</f>
        <v>3163066.5</v>
      </c>
      <c r="H257" s="4"/>
      <c r="I257" s="4">
        <f>+I193</f>
        <v>301.54599999999999</v>
      </c>
      <c r="J257" s="4"/>
      <c r="K257" s="4">
        <f>+K193</f>
        <v>497485.08600000007</v>
      </c>
      <c r="L257" s="4"/>
      <c r="M257" s="4">
        <f>+M193</f>
        <v>2559933.21</v>
      </c>
      <c r="N257" s="4"/>
      <c r="O257" s="4">
        <f>+O193</f>
        <v>-778830.3600000001</v>
      </c>
      <c r="P257" s="4"/>
      <c r="Q257" s="4">
        <f>+Q241</f>
        <v>193855520.15000001</v>
      </c>
      <c r="R257" s="4"/>
      <c r="S257" s="4">
        <f>+S241</f>
        <v>25520569.670000002</v>
      </c>
      <c r="T257" s="4"/>
      <c r="U257" s="4">
        <f>+U241</f>
        <v>2481411.2999999998</v>
      </c>
      <c r="V257" s="4"/>
      <c r="W257" s="4">
        <f>+W241</f>
        <v>4969938.4550000001</v>
      </c>
      <c r="X257" s="4"/>
      <c r="Y257" s="4">
        <f>+Y241-Y247</f>
        <v>0</v>
      </c>
      <c r="Z257" s="4"/>
      <c r="AA257" s="4">
        <f>AA15</f>
        <v>891124.16999999899</v>
      </c>
      <c r="AB257" s="4"/>
      <c r="AC257" s="4">
        <f>+AC193</f>
        <v>0</v>
      </c>
      <c r="AD257" s="4"/>
      <c r="AE257" s="4"/>
      <c r="AF257" s="4">
        <f>+AF193</f>
        <v>0</v>
      </c>
      <c r="AG257" s="4">
        <f>+AG193</f>
        <v>0</v>
      </c>
    </row>
    <row r="258" spans="1:33" x14ac:dyDescent="0.2">
      <c r="A258" s="4"/>
      <c r="B258" s="18" t="s">
        <v>18</v>
      </c>
      <c r="C258" s="4"/>
      <c r="D258" s="4"/>
      <c r="E258" s="49">
        <v>4.4609999999999997E-2</v>
      </c>
      <c r="F258" s="4"/>
      <c r="G258" s="49">
        <v>4.462E-2</v>
      </c>
      <c r="I258" s="49">
        <v>4.4609999999999997E-2</v>
      </c>
      <c r="K258" s="49">
        <v>4.462E-2</v>
      </c>
      <c r="M258" s="49">
        <v>4.5220000000000003E-2</v>
      </c>
      <c r="N258" s="49"/>
      <c r="O258" s="49">
        <v>4.888E-2</v>
      </c>
      <c r="Q258" s="49">
        <v>5.2850000000000001E-2</v>
      </c>
      <c r="S258" s="49">
        <v>5.713E-2</v>
      </c>
      <c r="U258" s="49">
        <v>6.1769999999999999E-2</v>
      </c>
      <c r="W258" s="49">
        <v>6.6769999999999996E-2</v>
      </c>
      <c r="X258" s="4"/>
      <c r="Y258" s="49">
        <v>7.2190000000000004E-2</v>
      </c>
      <c r="AA258" s="49">
        <v>3.7499999999999999E-2</v>
      </c>
      <c r="AC258" s="49">
        <v>0</v>
      </c>
      <c r="AE258" s="49">
        <v>4.4609999999999997E-2</v>
      </c>
      <c r="AF258" s="49">
        <v>0</v>
      </c>
      <c r="AG258" s="49">
        <v>0</v>
      </c>
    </row>
    <row r="259" spans="1:33" x14ac:dyDescent="0.2">
      <c r="A259" s="4"/>
      <c r="B259" s="4"/>
      <c r="C259" s="4"/>
      <c r="D259" s="4"/>
      <c r="E259" s="17" t="s">
        <v>3</v>
      </c>
      <c r="F259" s="4"/>
      <c r="G259" s="17" t="s">
        <v>3</v>
      </c>
      <c r="I259" s="17" t="s">
        <v>3</v>
      </c>
      <c r="K259" s="17" t="s">
        <v>3</v>
      </c>
      <c r="M259" s="17" t="s">
        <v>3</v>
      </c>
      <c r="N259" s="17"/>
      <c r="O259" s="17" t="s">
        <v>3</v>
      </c>
      <c r="Q259" s="17" t="s">
        <v>3</v>
      </c>
      <c r="S259" s="17" t="s">
        <v>3</v>
      </c>
      <c r="U259" s="17" t="s">
        <v>3</v>
      </c>
      <c r="W259" s="17" t="s">
        <v>3</v>
      </c>
      <c r="X259" s="4"/>
      <c r="Y259" s="17" t="s">
        <v>3</v>
      </c>
      <c r="AA259" s="17" t="s">
        <v>3</v>
      </c>
      <c r="AC259" s="17" t="s">
        <v>3</v>
      </c>
      <c r="AF259" s="17" t="s">
        <v>3</v>
      </c>
      <c r="AG259" s="17" t="s">
        <v>3</v>
      </c>
    </row>
    <row r="260" spans="1:33" x14ac:dyDescent="0.2">
      <c r="A260" s="4"/>
      <c r="B260" s="18" t="s">
        <v>60</v>
      </c>
      <c r="C260" s="4"/>
      <c r="D260" s="4"/>
      <c r="E260" s="4">
        <f>ROUND(E257*E258,0)</f>
        <v>28509</v>
      </c>
      <c r="F260" s="4"/>
      <c r="G260" s="4">
        <f>ROUND(G257*G258,0)</f>
        <v>141136</v>
      </c>
      <c r="I260" s="4">
        <f>ROUND(I257*I258,0)</f>
        <v>13</v>
      </c>
      <c r="K260" s="4">
        <f>+K257*K258</f>
        <v>22197.784537320003</v>
      </c>
      <c r="M260" s="4">
        <f>+M257*M258</f>
        <v>115760.17975620001</v>
      </c>
      <c r="N260" s="4"/>
      <c r="O260" s="4">
        <f>+O257*O258</f>
        <v>-38069.227996800008</v>
      </c>
      <c r="Q260" s="4">
        <f>+Q257*Q258</f>
        <v>10245264.2399275</v>
      </c>
      <c r="S260" s="4">
        <f>+S257*S258</f>
        <v>1457990.1452471002</v>
      </c>
      <c r="U260" s="4">
        <f>+U257*U258</f>
        <v>153276.77600099999</v>
      </c>
      <c r="W260" s="4">
        <f>(+W257)*W258</f>
        <v>331842.79064034997</v>
      </c>
      <c r="X260" s="4"/>
      <c r="Y260" s="4">
        <f>(+Y257)*Y258</f>
        <v>0</v>
      </c>
      <c r="AA260" s="4">
        <f>(+AA257-AA263)*AA258</f>
        <v>16708.578187499981</v>
      </c>
      <c r="AC260" s="4">
        <f>(+AC257)*0.4*AC258</f>
        <v>0</v>
      </c>
      <c r="AF260" s="4">
        <f>(+AF257)*0.4*AF258</f>
        <v>0</v>
      </c>
      <c r="AG260" s="4">
        <f>(+AG257)*0.4*AG258</f>
        <v>0</v>
      </c>
    </row>
    <row r="261" spans="1:33" x14ac:dyDescent="0.2">
      <c r="A261" s="4"/>
      <c r="B261" s="18" t="s">
        <v>50</v>
      </c>
      <c r="C261" s="4"/>
      <c r="D261" s="4"/>
      <c r="E261" s="4"/>
      <c r="F261" s="4"/>
      <c r="G261" s="4">
        <v>0</v>
      </c>
      <c r="I261" s="4">
        <v>0</v>
      </c>
      <c r="K261" s="4">
        <v>0</v>
      </c>
      <c r="M261" s="4">
        <v>0</v>
      </c>
      <c r="N261" s="4"/>
      <c r="O261" s="4">
        <v>0</v>
      </c>
      <c r="Q261" s="4">
        <v>0</v>
      </c>
      <c r="S261" s="4">
        <v>0</v>
      </c>
      <c r="U261" s="4">
        <v>0</v>
      </c>
      <c r="W261" s="4">
        <v>0</v>
      </c>
      <c r="X261" s="4"/>
      <c r="Y261" s="4">
        <v>0</v>
      </c>
      <c r="AA261" s="4">
        <v>0</v>
      </c>
      <c r="AC261" s="4">
        <v>0</v>
      </c>
      <c r="AF261" s="4">
        <v>0</v>
      </c>
      <c r="AG261" s="4">
        <v>0</v>
      </c>
    </row>
    <row r="262" spans="1:33" x14ac:dyDescent="0.2">
      <c r="A262" s="4"/>
      <c r="B262" s="18"/>
      <c r="C262" s="4"/>
      <c r="D262" s="4"/>
      <c r="E262" s="4"/>
      <c r="F262" s="4"/>
      <c r="G262" s="4"/>
      <c r="I262" s="4"/>
      <c r="K262" s="4"/>
      <c r="M262" s="4"/>
      <c r="N262" s="4"/>
      <c r="O262" s="4"/>
      <c r="Q262" s="4"/>
      <c r="S262" s="4"/>
      <c r="U262" s="4"/>
      <c r="W262" s="4"/>
      <c r="X262" s="4"/>
      <c r="Y262" s="4"/>
      <c r="AA262" s="4"/>
      <c r="AC262" s="4"/>
      <c r="AF262" s="4"/>
      <c r="AG262" s="4"/>
    </row>
    <row r="263" spans="1:33" x14ac:dyDescent="0.2">
      <c r="A263" s="4"/>
      <c r="B263" s="18" t="s">
        <v>27</v>
      </c>
      <c r="C263" s="4"/>
      <c r="D263" s="4"/>
      <c r="E263" s="46"/>
      <c r="F263" s="4"/>
      <c r="G263" s="46"/>
      <c r="I263" s="46"/>
      <c r="K263" s="46"/>
      <c r="M263" s="46"/>
      <c r="N263" s="46"/>
      <c r="O263" s="46"/>
      <c r="Q263" s="46"/>
      <c r="S263" s="46">
        <v>0</v>
      </c>
      <c r="U263" s="46">
        <v>0</v>
      </c>
      <c r="W263" s="46">
        <v>0</v>
      </c>
      <c r="X263" s="4"/>
      <c r="Y263" s="46">
        <v>0</v>
      </c>
      <c r="AA263" s="46">
        <f>+AA257*0.5</f>
        <v>445562.0849999995</v>
      </c>
      <c r="AC263" s="46"/>
      <c r="AF263" s="46"/>
      <c r="AG263" s="46"/>
    </row>
    <row r="264" spans="1:33" x14ac:dyDescent="0.2">
      <c r="A264" s="4"/>
      <c r="B264" s="18"/>
      <c r="C264" s="4"/>
      <c r="D264" s="4"/>
      <c r="E264" s="17" t="s">
        <v>3</v>
      </c>
      <c r="F264" s="4"/>
      <c r="G264" s="17" t="s">
        <v>3</v>
      </c>
      <c r="I264" s="17" t="s">
        <v>3</v>
      </c>
      <c r="K264" s="17" t="s">
        <v>3</v>
      </c>
      <c r="M264" s="17" t="s">
        <v>3</v>
      </c>
      <c r="N264" s="17"/>
      <c r="O264" s="17" t="s">
        <v>3</v>
      </c>
      <c r="Q264" s="17" t="s">
        <v>3</v>
      </c>
      <c r="S264" s="17" t="s">
        <v>3</v>
      </c>
      <c r="U264" s="17" t="s">
        <v>3</v>
      </c>
      <c r="W264" s="17" t="s">
        <v>3</v>
      </c>
      <c r="X264" s="4"/>
      <c r="Y264" s="17" t="s">
        <v>3</v>
      </c>
      <c r="AA264" s="17" t="s">
        <v>3</v>
      </c>
      <c r="AC264" s="17" t="s">
        <v>3</v>
      </c>
      <c r="AF264" s="17" t="s">
        <v>3</v>
      </c>
      <c r="AG264" s="17" t="s">
        <v>3</v>
      </c>
    </row>
    <row r="265" spans="1:33" x14ac:dyDescent="0.2">
      <c r="A265" s="4"/>
      <c r="B265" s="18" t="s">
        <v>59</v>
      </c>
      <c r="C265" s="4"/>
      <c r="D265" s="4"/>
      <c r="E265" s="4">
        <f>SUM(E260:E263)</f>
        <v>28509</v>
      </c>
      <c r="F265" s="4"/>
      <c r="G265" s="4">
        <f>SUM(G260:G263)</f>
        <v>141136</v>
      </c>
      <c r="I265" s="4">
        <f>SUM(I260:I263)</f>
        <v>13</v>
      </c>
      <c r="K265" s="4">
        <f>SUM(K260:K263)</f>
        <v>22197.784537320003</v>
      </c>
      <c r="M265" s="4">
        <f>SUM(M260:M263)</f>
        <v>115760.17975620001</v>
      </c>
      <c r="N265" s="4"/>
      <c r="O265" s="4">
        <f>SUM(O260:O263)</f>
        <v>-38069.227996800008</v>
      </c>
      <c r="Q265" s="4">
        <f>SUM(Q260:Q263)</f>
        <v>10245264.2399275</v>
      </c>
      <c r="S265" s="4">
        <f>SUM(S260:S263)</f>
        <v>1457990.1452471002</v>
      </c>
      <c r="U265" s="4">
        <f>SUM(U260:U263)</f>
        <v>153276.77600099999</v>
      </c>
      <c r="W265" s="4">
        <f>SUM(W260:W263)</f>
        <v>331842.79064034997</v>
      </c>
      <c r="X265" s="4"/>
      <c r="Y265" s="4">
        <f>SUM(Y260:Y263)</f>
        <v>0</v>
      </c>
      <c r="AA265" s="4">
        <f>SUM(AA260:AA263)</f>
        <v>462270.66318749951</v>
      </c>
      <c r="AC265" s="4">
        <f>SUM(AC260:AC263)</f>
        <v>0</v>
      </c>
      <c r="AF265" s="4">
        <f>SUM(AF260:AF263)</f>
        <v>0</v>
      </c>
      <c r="AG265" s="4">
        <f>SUM(AG260:AG263)</f>
        <v>0</v>
      </c>
    </row>
    <row r="266" spans="1:33" x14ac:dyDescent="0.2">
      <c r="A266" s="4"/>
      <c r="B266" s="18" t="s">
        <v>21</v>
      </c>
      <c r="C266" s="4"/>
      <c r="D266" s="4"/>
      <c r="E266" s="48">
        <v>1</v>
      </c>
      <c r="F266" s="4"/>
      <c r="G266" s="48">
        <v>1</v>
      </c>
      <c r="I266" s="48">
        <v>1</v>
      </c>
      <c r="K266" s="48">
        <v>1</v>
      </c>
      <c r="M266" s="48">
        <v>1</v>
      </c>
      <c r="N266" s="48"/>
      <c r="O266" s="48">
        <v>1</v>
      </c>
      <c r="Q266" s="48">
        <v>1</v>
      </c>
      <c r="S266" s="48">
        <v>1</v>
      </c>
      <c r="U266" s="48">
        <v>1</v>
      </c>
      <c r="W266" s="48">
        <v>1</v>
      </c>
      <c r="X266" s="4"/>
      <c r="Y266" s="48">
        <v>1</v>
      </c>
      <c r="AA266" s="48">
        <v>1</v>
      </c>
      <c r="AC266" s="48">
        <v>0</v>
      </c>
      <c r="AF266" s="48">
        <v>0</v>
      </c>
      <c r="AG266" s="48">
        <v>0</v>
      </c>
    </row>
    <row r="267" spans="1:33" x14ac:dyDescent="0.2">
      <c r="A267" s="4"/>
      <c r="B267" s="18" t="s">
        <v>22</v>
      </c>
      <c r="C267" s="4"/>
      <c r="D267" s="4"/>
      <c r="E267" s="48"/>
      <c r="F267" s="4"/>
      <c r="G267" s="48"/>
      <c r="I267" s="48"/>
      <c r="K267" s="48"/>
      <c r="M267" s="48"/>
      <c r="N267" s="48"/>
      <c r="O267" s="48"/>
      <c r="Q267" s="48"/>
      <c r="S267" s="48"/>
      <c r="U267" s="48"/>
      <c r="W267" s="48"/>
      <c r="X267" s="4"/>
      <c r="Y267" s="48"/>
      <c r="AA267" s="48"/>
      <c r="AC267" s="48"/>
      <c r="AF267" s="48"/>
      <c r="AG267" s="48"/>
    </row>
    <row r="268" spans="1:33" x14ac:dyDescent="0.2">
      <c r="A268" s="4"/>
      <c r="B268" s="4"/>
      <c r="C268" s="4"/>
      <c r="D268" s="4"/>
      <c r="E268" s="17" t="s">
        <v>3</v>
      </c>
      <c r="F268" s="4"/>
      <c r="G268" s="17" t="s">
        <v>3</v>
      </c>
      <c r="I268" s="17" t="s">
        <v>3</v>
      </c>
      <c r="K268" s="17" t="s">
        <v>3</v>
      </c>
      <c r="M268" s="17" t="s">
        <v>3</v>
      </c>
      <c r="N268" s="17"/>
      <c r="O268" s="17" t="s">
        <v>3</v>
      </c>
      <c r="Q268" s="17" t="s">
        <v>3</v>
      </c>
      <c r="S268" s="17" t="s">
        <v>3</v>
      </c>
      <c r="U268" s="17" t="s">
        <v>3</v>
      </c>
      <c r="W268" s="17" t="s">
        <v>3</v>
      </c>
      <c r="X268" s="4"/>
      <c r="Y268" s="17" t="s">
        <v>3</v>
      </c>
      <c r="AA268" s="17" t="s">
        <v>3</v>
      </c>
      <c r="AC268" s="17" t="s">
        <v>3</v>
      </c>
      <c r="AF268" s="17" t="s">
        <v>3</v>
      </c>
      <c r="AG268" s="17" t="s">
        <v>3</v>
      </c>
    </row>
    <row r="269" spans="1:33" x14ac:dyDescent="0.2">
      <c r="A269" s="43"/>
      <c r="B269" s="18" t="s">
        <v>59</v>
      </c>
      <c r="C269" s="4"/>
      <c r="D269" s="4"/>
      <c r="E269" s="4">
        <f>ROUND(E265*E266,0)</f>
        <v>28509</v>
      </c>
      <c r="F269" s="4"/>
      <c r="G269" s="4">
        <f>ROUND(G265*G266,0)</f>
        <v>141136</v>
      </c>
      <c r="I269" s="4">
        <f>ROUND(I265*I266,0)</f>
        <v>13</v>
      </c>
      <c r="K269" s="4">
        <f>ROUND(K265*K266,0)</f>
        <v>22198</v>
      </c>
      <c r="M269" s="4">
        <f>ROUND(M265*M266,0)</f>
        <v>115760</v>
      </c>
      <c r="N269" s="4"/>
      <c r="O269" s="4">
        <f>ROUND(O265*O266,0)</f>
        <v>-38069</v>
      </c>
      <c r="Q269" s="4">
        <f>ROUND(Q265*Q266,0)</f>
        <v>10245264</v>
      </c>
      <c r="S269" s="4">
        <f>ROUND(S265*S266,0)</f>
        <v>1457990</v>
      </c>
      <c r="U269" s="4">
        <f>ROUND(U265*U266,0)</f>
        <v>153277</v>
      </c>
      <c r="W269" s="4">
        <f>ROUND(W265*W266,0)</f>
        <v>331843</v>
      </c>
      <c r="X269" s="4"/>
      <c r="Y269" s="4">
        <f>ROUND(Y265*Y266,0)</f>
        <v>0</v>
      </c>
      <c r="AA269" s="4">
        <f>ROUND(AA265*AA266,0)</f>
        <v>462271</v>
      </c>
      <c r="AC269" s="4">
        <f>ROUND(AC265*AC266,0)</f>
        <v>0</v>
      </c>
      <c r="AF269" s="4">
        <f>ROUND(AF265*AF266,0)</f>
        <v>0</v>
      </c>
      <c r="AG269" s="4">
        <f>ROUND(AG265*AG266,0)</f>
        <v>0</v>
      </c>
    </row>
    <row r="270" spans="1:33" x14ac:dyDescent="0.2">
      <c r="A270" s="4"/>
      <c r="B270" s="18"/>
      <c r="C270" s="4"/>
      <c r="D270" s="4"/>
      <c r="E270" s="17" t="s">
        <v>8</v>
      </c>
      <c r="F270" s="4"/>
      <c r="G270" s="17" t="s">
        <v>8</v>
      </c>
      <c r="I270" s="17" t="s">
        <v>8</v>
      </c>
      <c r="K270" s="17" t="s">
        <v>8</v>
      </c>
      <c r="M270" s="17" t="s">
        <v>8</v>
      </c>
      <c r="N270" s="17"/>
      <c r="O270" s="17" t="s">
        <v>8</v>
      </c>
      <c r="Q270" s="17" t="s">
        <v>8</v>
      </c>
      <c r="S270" s="17" t="s">
        <v>8</v>
      </c>
      <c r="U270" s="17" t="s">
        <v>8</v>
      </c>
      <c r="W270" s="17" t="s">
        <v>8</v>
      </c>
      <c r="X270" s="4"/>
      <c r="Y270" s="17" t="s">
        <v>8</v>
      </c>
      <c r="AA270" s="17" t="s">
        <v>8</v>
      </c>
      <c r="AC270" s="17" t="s">
        <v>8</v>
      </c>
      <c r="AF270" s="17" t="s">
        <v>8</v>
      </c>
      <c r="AG270" s="17" t="s">
        <v>8</v>
      </c>
    </row>
    <row r="271" spans="1:33" x14ac:dyDescent="0.2">
      <c r="A271" s="4"/>
      <c r="B271" s="4"/>
      <c r="C271" s="4"/>
      <c r="D271" s="4"/>
      <c r="F271" s="4"/>
      <c r="G271" s="4"/>
      <c r="I271" s="4"/>
      <c r="K271" s="4"/>
      <c r="M271" s="33"/>
      <c r="N271" s="33"/>
      <c r="O271" s="33"/>
      <c r="Q271" s="17"/>
      <c r="S271" s="17"/>
      <c r="U271" s="4"/>
      <c r="W271" s="17"/>
      <c r="X271" s="4"/>
      <c r="AA271" s="4"/>
    </row>
    <row r="272" spans="1:33" ht="13.2" x14ac:dyDescent="0.25">
      <c r="A272" s="4"/>
      <c r="B272" s="42">
        <v>2013</v>
      </c>
      <c r="C272" s="4"/>
      <c r="D272" s="4"/>
      <c r="E272" s="8" t="str">
        <f>+E$79</f>
        <v>Half-Year</v>
      </c>
      <c r="F272" s="4"/>
      <c r="G272" s="8" t="str">
        <f>+G$79</f>
        <v>Half-Year</v>
      </c>
      <c r="I272" s="8" t="str">
        <f>+I$79</f>
        <v>Half-Year</v>
      </c>
      <c r="K272" s="8" t="str">
        <f>+K$79</f>
        <v>Half-Year</v>
      </c>
      <c r="M272" s="8" t="str">
        <f>+M$79</f>
        <v>Half-Year</v>
      </c>
      <c r="N272" s="8"/>
      <c r="O272" s="8" t="str">
        <f>+O$79</f>
        <v>Half-Year</v>
      </c>
      <c r="Q272" s="8" t="str">
        <f>+Q$79</f>
        <v>Half-Year</v>
      </c>
      <c r="S272" s="8" t="str">
        <f>+S$79</f>
        <v>Half-Year</v>
      </c>
      <c r="U272" s="8" t="str">
        <f>+U$79</f>
        <v>Half-Year</v>
      </c>
      <c r="W272" s="8" t="str">
        <f>+W$79</f>
        <v>Half-Year</v>
      </c>
      <c r="X272" s="4"/>
      <c r="Y272" s="8" t="str">
        <f>+Y$79</f>
        <v>Half-Year</v>
      </c>
      <c r="AA272" s="8" t="str">
        <f>+AA$79</f>
        <v>Half-Year</v>
      </c>
      <c r="AC272" s="8" t="str">
        <f>+AC$79</f>
        <v>Half-Year</v>
      </c>
      <c r="AF272" s="8" t="str">
        <f>+AF$79</f>
        <v>Half-Year</v>
      </c>
      <c r="AG272" s="8" t="str">
        <f>+AG$79</f>
        <v>Half-Year</v>
      </c>
    </row>
    <row r="273" spans="1:33" x14ac:dyDescent="0.2">
      <c r="A273" s="4"/>
      <c r="B273" s="18" t="s">
        <v>9</v>
      </c>
      <c r="C273" s="4"/>
      <c r="D273" s="4"/>
      <c r="E273" s="4">
        <f>+E209</f>
        <v>639077</v>
      </c>
      <c r="F273" s="4"/>
      <c r="G273" s="4">
        <f>+G209</f>
        <v>3163066.5</v>
      </c>
      <c r="H273" s="4"/>
      <c r="I273" s="4">
        <f>+I209</f>
        <v>301.54599999999999</v>
      </c>
      <c r="J273" s="4"/>
      <c r="K273" s="4">
        <f>+K209</f>
        <v>497485.08600000007</v>
      </c>
      <c r="L273" s="4"/>
      <c r="M273" s="4">
        <f>+M209</f>
        <v>2559933.21</v>
      </c>
      <c r="N273" s="4"/>
      <c r="O273" s="4">
        <f>+O209</f>
        <v>-778830.3600000001</v>
      </c>
      <c r="P273" s="4"/>
      <c r="Q273" s="4">
        <f>+Q209</f>
        <v>193855520.15000001</v>
      </c>
      <c r="R273" s="4"/>
      <c r="S273" s="4">
        <f>+S257</f>
        <v>25520569.670000002</v>
      </c>
      <c r="T273" s="4"/>
      <c r="U273" s="4">
        <f>+U257</f>
        <v>2481411.2999999998</v>
      </c>
      <c r="V273" s="4"/>
      <c r="W273" s="4">
        <f>+W257</f>
        <v>4969938.4550000001</v>
      </c>
      <c r="X273" s="4"/>
      <c r="Y273" s="4">
        <f>+Y257</f>
        <v>0</v>
      </c>
      <c r="Z273" s="4"/>
      <c r="AA273" s="4">
        <f>+AA257-AA263</f>
        <v>445562.0849999995</v>
      </c>
      <c r="AB273" s="4"/>
      <c r="AC273" s="4">
        <f>AC15</f>
        <v>2143884.77</v>
      </c>
      <c r="AD273" s="4"/>
      <c r="AE273" s="4"/>
      <c r="AF273" s="4">
        <f>AF15</f>
        <v>0</v>
      </c>
      <c r="AG273" s="4">
        <v>0</v>
      </c>
    </row>
    <row r="274" spans="1:33" x14ac:dyDescent="0.2">
      <c r="A274" s="4"/>
      <c r="B274" s="18" t="s">
        <v>18</v>
      </c>
      <c r="C274" s="4"/>
      <c r="D274" s="4"/>
      <c r="E274" s="49">
        <v>4.462E-2</v>
      </c>
      <c r="F274" s="4"/>
      <c r="G274" s="49">
        <v>4.4609999999999997E-2</v>
      </c>
      <c r="I274" s="49">
        <v>4.462E-2</v>
      </c>
      <c r="K274" s="49">
        <v>4.4609999999999997E-2</v>
      </c>
      <c r="M274" s="49">
        <v>4.462E-2</v>
      </c>
      <c r="N274" s="49"/>
      <c r="O274" s="49">
        <v>4.5220000000000003E-2</v>
      </c>
      <c r="Q274" s="49">
        <v>4.888E-2</v>
      </c>
      <c r="S274" s="49">
        <v>5.2850000000000001E-2</v>
      </c>
      <c r="U274" s="49">
        <v>5.713E-2</v>
      </c>
      <c r="W274" s="49">
        <v>6.1769999999999999E-2</v>
      </c>
      <c r="X274" s="4"/>
      <c r="Y274" s="49">
        <v>6.6769999999999996E-2</v>
      </c>
      <c r="AA274" s="49">
        <v>7.2190000000000004E-2</v>
      </c>
      <c r="AC274" s="49">
        <v>3.7499999999999999E-2</v>
      </c>
      <c r="AE274" s="49">
        <v>4.4609999999999997E-2</v>
      </c>
      <c r="AF274" s="49">
        <v>3.7499999999999999E-2</v>
      </c>
      <c r="AG274" s="49">
        <v>0</v>
      </c>
    </row>
    <row r="275" spans="1:33" x14ac:dyDescent="0.2">
      <c r="A275" s="4"/>
      <c r="B275" s="4"/>
      <c r="C275" s="4"/>
      <c r="D275" s="4"/>
      <c r="E275" s="17" t="s">
        <v>3</v>
      </c>
      <c r="F275" s="4"/>
      <c r="G275" s="17" t="s">
        <v>3</v>
      </c>
      <c r="I275" s="17" t="s">
        <v>3</v>
      </c>
      <c r="K275" s="17" t="s">
        <v>3</v>
      </c>
      <c r="M275" s="17" t="s">
        <v>3</v>
      </c>
      <c r="N275" s="17"/>
      <c r="O275" s="17" t="s">
        <v>3</v>
      </c>
      <c r="Q275" s="17" t="s">
        <v>3</v>
      </c>
      <c r="S275" s="17" t="s">
        <v>3</v>
      </c>
      <c r="U275" s="17" t="s">
        <v>3</v>
      </c>
      <c r="W275" s="17" t="s">
        <v>3</v>
      </c>
      <c r="X275" s="4"/>
      <c r="Y275" s="17" t="s">
        <v>3</v>
      </c>
      <c r="AA275" s="17" t="s">
        <v>3</v>
      </c>
      <c r="AC275" s="17" t="s">
        <v>3</v>
      </c>
      <c r="AF275" s="17" t="s">
        <v>3</v>
      </c>
      <c r="AG275" s="17" t="s">
        <v>3</v>
      </c>
    </row>
    <row r="276" spans="1:33" x14ac:dyDescent="0.2">
      <c r="A276" s="4"/>
      <c r="B276" s="18" t="s">
        <v>61</v>
      </c>
      <c r="C276" s="4"/>
      <c r="D276" s="4"/>
      <c r="E276" s="4">
        <f>ROUND(E273*E274,0)</f>
        <v>28516</v>
      </c>
      <c r="F276" s="4"/>
      <c r="G276" s="4">
        <f>ROUND(G273*G274,0)</f>
        <v>141104</v>
      </c>
      <c r="I276" s="4">
        <f>ROUND(I273*I274,0)</f>
        <v>13</v>
      </c>
      <c r="K276" s="4">
        <f>+K273*K274</f>
        <v>22192.809686460001</v>
      </c>
      <c r="M276" s="4">
        <f>+M273*M274</f>
        <v>114224.2198302</v>
      </c>
      <c r="N276" s="4"/>
      <c r="O276" s="4">
        <f>+O273*O274</f>
        <v>-35218.708879200007</v>
      </c>
      <c r="Q276" s="4">
        <f>+Q273*Q274</f>
        <v>9475657.8249319997</v>
      </c>
      <c r="S276" s="4">
        <f>+S273*S274</f>
        <v>1348762.1070595002</v>
      </c>
      <c r="U276" s="4">
        <f>+U273*U274</f>
        <v>141763.027569</v>
      </c>
      <c r="W276" s="4">
        <f>+W273*W274</f>
        <v>306993.09836534999</v>
      </c>
      <c r="X276" s="4"/>
      <c r="Y276" s="4">
        <f>(+Y273)*Y274</f>
        <v>0</v>
      </c>
      <c r="AA276" s="4">
        <f>(+AA273)*AA274</f>
        <v>32165.126916149966</v>
      </c>
      <c r="AC276" s="4">
        <f>(+AC273-AC279)*AC274</f>
        <v>40197.839437499999</v>
      </c>
      <c r="AF276" s="4">
        <f>(+AF273-AF279)*AF274</f>
        <v>0</v>
      </c>
      <c r="AG276" s="4">
        <f>(+AG273-AG279)*AG274</f>
        <v>0</v>
      </c>
    </row>
    <row r="277" spans="1:33" x14ac:dyDescent="0.2">
      <c r="A277" s="4"/>
      <c r="B277" s="18" t="s">
        <v>50</v>
      </c>
      <c r="C277" s="4"/>
      <c r="D277" s="4"/>
      <c r="E277" s="4"/>
      <c r="F277" s="4"/>
      <c r="G277" s="4">
        <v>0</v>
      </c>
      <c r="I277" s="4">
        <v>0</v>
      </c>
      <c r="K277" s="4">
        <v>0</v>
      </c>
      <c r="M277" s="4">
        <v>0</v>
      </c>
      <c r="N277" s="4"/>
      <c r="O277" s="4">
        <v>0</v>
      </c>
      <c r="Q277" s="4">
        <v>0</v>
      </c>
      <c r="S277" s="4">
        <v>0</v>
      </c>
      <c r="U277" s="4">
        <v>0</v>
      </c>
      <c r="W277" s="4">
        <v>0</v>
      </c>
      <c r="X277" s="4"/>
      <c r="Y277" s="4">
        <v>0</v>
      </c>
      <c r="AA277" s="4">
        <v>0</v>
      </c>
      <c r="AC277" s="4">
        <v>0</v>
      </c>
      <c r="AF277" s="4">
        <v>0</v>
      </c>
      <c r="AG277" s="4">
        <v>0</v>
      </c>
    </row>
    <row r="278" spans="1:33" x14ac:dyDescent="0.2">
      <c r="A278" s="4"/>
      <c r="B278" s="18"/>
      <c r="C278" s="4"/>
      <c r="D278" s="4"/>
      <c r="E278" s="4"/>
      <c r="F278" s="4"/>
      <c r="G278" s="4"/>
      <c r="I278" s="4"/>
      <c r="K278" s="4"/>
      <c r="M278" s="4"/>
      <c r="N278" s="4"/>
      <c r="O278" s="4"/>
      <c r="Q278" s="4"/>
      <c r="S278" s="4"/>
      <c r="U278" s="4"/>
      <c r="W278" s="4"/>
      <c r="X278" s="4"/>
      <c r="Y278" s="4"/>
      <c r="AA278" s="4"/>
      <c r="AC278" s="4"/>
      <c r="AF278" s="4"/>
      <c r="AG278" s="4"/>
    </row>
    <row r="279" spans="1:33" x14ac:dyDescent="0.2">
      <c r="A279" s="4"/>
      <c r="B279" s="18" t="s">
        <v>27</v>
      </c>
      <c r="C279" s="4"/>
      <c r="D279" s="4"/>
      <c r="E279" s="46"/>
      <c r="F279" s="4"/>
      <c r="G279" s="46"/>
      <c r="I279" s="46"/>
      <c r="K279" s="46"/>
      <c r="M279" s="46"/>
      <c r="N279" s="46"/>
      <c r="O279" s="46"/>
      <c r="Q279" s="46"/>
      <c r="S279" s="46">
        <v>0</v>
      </c>
      <c r="U279" s="46">
        <v>0</v>
      </c>
      <c r="W279" s="46">
        <v>0</v>
      </c>
      <c r="X279" s="4"/>
      <c r="Y279" s="46">
        <v>0</v>
      </c>
      <c r="AA279" s="46">
        <v>0</v>
      </c>
      <c r="AC279" s="46">
        <f>+AC273*0.5</f>
        <v>1071942.385</v>
      </c>
      <c r="AF279" s="46">
        <f>+AF273*0.5</f>
        <v>0</v>
      </c>
      <c r="AG279" s="46"/>
    </row>
    <row r="280" spans="1:33" x14ac:dyDescent="0.2">
      <c r="A280" s="4"/>
      <c r="B280" s="18"/>
      <c r="C280" s="4"/>
      <c r="D280" s="4"/>
      <c r="E280" s="17" t="s">
        <v>3</v>
      </c>
      <c r="F280" s="4"/>
      <c r="G280" s="17" t="s">
        <v>3</v>
      </c>
      <c r="I280" s="17" t="s">
        <v>3</v>
      </c>
      <c r="K280" s="17" t="s">
        <v>3</v>
      </c>
      <c r="M280" s="17" t="s">
        <v>3</v>
      </c>
      <c r="N280" s="17"/>
      <c r="O280" s="17" t="s">
        <v>3</v>
      </c>
      <c r="Q280" s="17" t="s">
        <v>3</v>
      </c>
      <c r="S280" s="17" t="s">
        <v>3</v>
      </c>
      <c r="U280" s="17" t="s">
        <v>3</v>
      </c>
      <c r="W280" s="17" t="s">
        <v>3</v>
      </c>
      <c r="X280" s="4"/>
      <c r="Y280" s="17" t="s">
        <v>3</v>
      </c>
      <c r="AA280" s="17" t="s">
        <v>3</v>
      </c>
      <c r="AC280" s="17" t="s">
        <v>3</v>
      </c>
      <c r="AF280" s="17" t="s">
        <v>3</v>
      </c>
      <c r="AG280" s="17" t="s">
        <v>3</v>
      </c>
    </row>
    <row r="281" spans="1:33" x14ac:dyDescent="0.2">
      <c r="A281" s="4"/>
      <c r="B281" s="18" t="s">
        <v>62</v>
      </c>
      <c r="C281" s="4"/>
      <c r="D281" s="4"/>
      <c r="E281" s="4">
        <f>SUM(E276:E279)</f>
        <v>28516</v>
      </c>
      <c r="F281" s="4"/>
      <c r="G281" s="4">
        <f>SUM(G276:G279)</f>
        <v>141104</v>
      </c>
      <c r="I281" s="4">
        <f>SUM(I276:I279)</f>
        <v>13</v>
      </c>
      <c r="K281" s="4">
        <f>SUM(K276:K279)</f>
        <v>22192.809686460001</v>
      </c>
      <c r="M281" s="4">
        <f>SUM(M276:M279)</f>
        <v>114224.2198302</v>
      </c>
      <c r="N281" s="4"/>
      <c r="O281" s="4">
        <f>SUM(O276:O279)</f>
        <v>-35218.708879200007</v>
      </c>
      <c r="Q281" s="4">
        <f>SUM(Q276:Q279)</f>
        <v>9475657.8249319997</v>
      </c>
      <c r="S281" s="4">
        <f>SUM(S276:S279)</f>
        <v>1348762.1070595002</v>
      </c>
      <c r="U281" s="4">
        <f>SUM(U276:U279)</f>
        <v>141763.027569</v>
      </c>
      <c r="W281" s="4">
        <f>SUM(W276:W279)</f>
        <v>306993.09836534999</v>
      </c>
      <c r="X281" s="4"/>
      <c r="Y281" s="4">
        <f>SUM(Y276:Y279)</f>
        <v>0</v>
      </c>
      <c r="AA281" s="4">
        <f>SUM(AA276:AA279)</f>
        <v>32165.126916149966</v>
      </c>
      <c r="AC281" s="4">
        <f>SUM(AC276:AC279)</f>
        <v>1112140.2244375001</v>
      </c>
      <c r="AF281" s="4">
        <f>SUM(AF276:AF279)</f>
        <v>0</v>
      </c>
      <c r="AG281" s="4">
        <f>SUM(AG276:AG279)</f>
        <v>0</v>
      </c>
    </row>
    <row r="282" spans="1:33" x14ac:dyDescent="0.2">
      <c r="A282" s="4"/>
      <c r="B282" s="18" t="s">
        <v>21</v>
      </c>
      <c r="C282" s="4"/>
      <c r="D282" s="4"/>
      <c r="E282" s="48">
        <v>1</v>
      </c>
      <c r="F282" s="4"/>
      <c r="G282" s="48">
        <v>1</v>
      </c>
      <c r="I282" s="48">
        <v>1</v>
      </c>
      <c r="K282" s="48">
        <v>1</v>
      </c>
      <c r="M282" s="48">
        <v>1</v>
      </c>
      <c r="N282" s="48"/>
      <c r="O282" s="48">
        <v>1</v>
      </c>
      <c r="Q282" s="48">
        <v>1</v>
      </c>
      <c r="S282" s="48">
        <v>1</v>
      </c>
      <c r="U282" s="48">
        <v>1</v>
      </c>
      <c r="W282" s="48">
        <v>1</v>
      </c>
      <c r="X282" s="4"/>
      <c r="Y282" s="48">
        <v>1</v>
      </c>
      <c r="AA282" s="48">
        <v>1</v>
      </c>
      <c r="AC282" s="48">
        <v>1</v>
      </c>
      <c r="AF282" s="48">
        <v>1</v>
      </c>
      <c r="AG282" s="48">
        <v>1</v>
      </c>
    </row>
    <row r="283" spans="1:33" x14ac:dyDescent="0.2">
      <c r="A283" s="4"/>
      <c r="B283" s="18" t="s">
        <v>22</v>
      </c>
      <c r="C283" s="4"/>
      <c r="D283" s="4"/>
      <c r="E283" s="48"/>
      <c r="F283" s="4"/>
      <c r="G283" s="48"/>
      <c r="I283" s="48"/>
      <c r="K283" s="48"/>
      <c r="M283" s="48"/>
      <c r="N283" s="48"/>
      <c r="O283" s="48"/>
      <c r="Q283" s="48"/>
      <c r="S283" s="48"/>
      <c r="U283" s="48"/>
      <c r="W283" s="48"/>
      <c r="X283" s="4"/>
      <c r="Y283" s="48"/>
      <c r="AA283" s="48"/>
      <c r="AC283" s="48"/>
      <c r="AF283" s="48"/>
      <c r="AG283" s="48"/>
    </row>
    <row r="284" spans="1:33" x14ac:dyDescent="0.2">
      <c r="A284" s="4"/>
      <c r="B284" s="4"/>
      <c r="C284" s="4"/>
      <c r="D284" s="4"/>
      <c r="E284" s="17" t="s">
        <v>3</v>
      </c>
      <c r="F284" s="4"/>
      <c r="G284" s="17" t="s">
        <v>3</v>
      </c>
      <c r="I284" s="17" t="s">
        <v>3</v>
      </c>
      <c r="K284" s="17" t="s">
        <v>3</v>
      </c>
      <c r="M284" s="17" t="s">
        <v>3</v>
      </c>
      <c r="N284" s="17"/>
      <c r="O284" s="17" t="s">
        <v>3</v>
      </c>
      <c r="Q284" s="17" t="s">
        <v>3</v>
      </c>
      <c r="S284" s="17" t="s">
        <v>3</v>
      </c>
      <c r="U284" s="17" t="s">
        <v>3</v>
      </c>
      <c r="W284" s="17" t="s">
        <v>3</v>
      </c>
      <c r="X284" s="4"/>
      <c r="Y284" s="17" t="s">
        <v>3</v>
      </c>
      <c r="AA284" s="17" t="s">
        <v>3</v>
      </c>
      <c r="AC284" s="17" t="s">
        <v>3</v>
      </c>
      <c r="AF284" s="17" t="s">
        <v>3</v>
      </c>
      <c r="AG284" s="17" t="s">
        <v>3</v>
      </c>
    </row>
    <row r="285" spans="1:33" x14ac:dyDescent="0.2">
      <c r="A285" s="43"/>
      <c r="B285" s="18" t="s">
        <v>62</v>
      </c>
      <c r="C285" s="4"/>
      <c r="D285" s="4"/>
      <c r="E285" s="4">
        <f>ROUND(E281*E282,0)</f>
        <v>28516</v>
      </c>
      <c r="F285" s="4"/>
      <c r="G285" s="4">
        <f>ROUND(G281*G282,0)</f>
        <v>141104</v>
      </c>
      <c r="I285" s="4">
        <f>ROUND(I281*I282,0)</f>
        <v>13</v>
      </c>
      <c r="K285" s="4">
        <f>ROUND(K281*K282,0)</f>
        <v>22193</v>
      </c>
      <c r="M285" s="4">
        <f>ROUND(M281*M282,0)</f>
        <v>114224</v>
      </c>
      <c r="N285" s="4"/>
      <c r="O285" s="4">
        <f>ROUND(O281*O282,0)</f>
        <v>-35219</v>
      </c>
      <c r="Q285" s="4">
        <f>ROUND(Q281*Q282,0)</f>
        <v>9475658</v>
      </c>
      <c r="S285" s="4">
        <f>ROUND(S281*S282,0)</f>
        <v>1348762</v>
      </c>
      <c r="U285" s="4">
        <f>ROUND(U281*U282,0)</f>
        <v>141763</v>
      </c>
      <c r="W285" s="4">
        <f>ROUND(W281*W282,0)</f>
        <v>306993</v>
      </c>
      <c r="X285" s="4"/>
      <c r="Y285" s="4">
        <f>ROUND(Y281*Y282,0)</f>
        <v>0</v>
      </c>
      <c r="AA285" s="4">
        <f>ROUND(AA281*AA282,0)</f>
        <v>32165</v>
      </c>
      <c r="AC285" s="4">
        <f>ROUND(AC281*AC282,0)</f>
        <v>1112140</v>
      </c>
      <c r="AF285" s="4">
        <f>ROUND(AF281*AF282,0)</f>
        <v>0</v>
      </c>
      <c r="AG285" s="4">
        <f>ROUND(AG281*AG282,0)</f>
        <v>0</v>
      </c>
    </row>
    <row r="286" spans="1:33" x14ac:dyDescent="0.2">
      <c r="A286" s="4"/>
      <c r="B286" s="18"/>
      <c r="C286" s="4"/>
      <c r="D286" s="4"/>
      <c r="E286" s="17" t="s">
        <v>8</v>
      </c>
      <c r="F286" s="4"/>
      <c r="G286" s="17" t="s">
        <v>8</v>
      </c>
      <c r="I286" s="17" t="s">
        <v>8</v>
      </c>
      <c r="K286" s="17" t="s">
        <v>8</v>
      </c>
      <c r="M286" s="17" t="s">
        <v>8</v>
      </c>
      <c r="N286" s="17"/>
      <c r="O286" s="17" t="s">
        <v>8</v>
      </c>
      <c r="Q286" s="17" t="s">
        <v>8</v>
      </c>
      <c r="S286" s="17" t="s">
        <v>8</v>
      </c>
      <c r="U286" s="17" t="s">
        <v>8</v>
      </c>
      <c r="W286" s="17" t="s">
        <v>8</v>
      </c>
      <c r="X286" s="4"/>
      <c r="Y286" s="17" t="s">
        <v>8</v>
      </c>
      <c r="AA286" s="17" t="s">
        <v>8</v>
      </c>
      <c r="AC286" s="17" t="s">
        <v>8</v>
      </c>
      <c r="AF286" s="17" t="s">
        <v>8</v>
      </c>
      <c r="AG286" s="17" t="s">
        <v>8</v>
      </c>
    </row>
    <row r="287" spans="1:33" x14ac:dyDescent="0.2">
      <c r="A287" s="4"/>
      <c r="B287" s="18"/>
      <c r="C287" s="4"/>
      <c r="D287" s="4"/>
      <c r="E287" s="17"/>
      <c r="F287" s="4"/>
      <c r="G287" s="17"/>
      <c r="I287" s="17"/>
      <c r="K287" s="17"/>
      <c r="M287" s="17"/>
      <c r="N287" s="17"/>
      <c r="O287" s="17"/>
      <c r="Q287" s="33"/>
      <c r="S287" s="17"/>
      <c r="U287" s="17"/>
      <c r="W287" s="4"/>
      <c r="X287" s="4"/>
      <c r="Y287" s="17"/>
      <c r="AA287" s="17"/>
      <c r="AC287" s="17"/>
      <c r="AF287" s="17"/>
      <c r="AG287" s="17"/>
    </row>
    <row r="288" spans="1:33" ht="13.2" x14ac:dyDescent="0.25">
      <c r="A288" s="4"/>
      <c r="B288" s="42">
        <v>2014</v>
      </c>
      <c r="C288" s="4"/>
      <c r="D288" s="4"/>
      <c r="E288" s="8" t="str">
        <f>+E$79</f>
        <v>Half-Year</v>
      </c>
      <c r="F288" s="4"/>
      <c r="G288" s="8" t="str">
        <f>+G$79</f>
        <v>Half-Year</v>
      </c>
      <c r="I288" s="8" t="str">
        <f>+I$79</f>
        <v>Half-Year</v>
      </c>
      <c r="K288" s="8" t="str">
        <f>+K$79</f>
        <v>Half-Year</v>
      </c>
      <c r="M288" s="8" t="str">
        <f>+M$79</f>
        <v>Half-Year</v>
      </c>
      <c r="N288" s="8"/>
      <c r="O288" s="8" t="str">
        <f>+O$79</f>
        <v>Half-Year</v>
      </c>
      <c r="Q288" s="8" t="str">
        <f>+Q$79</f>
        <v>Half-Year</v>
      </c>
      <c r="S288" s="8" t="str">
        <f>+S$79</f>
        <v>Half-Year</v>
      </c>
      <c r="U288" s="8" t="str">
        <f>+U$79</f>
        <v>Half-Year</v>
      </c>
      <c r="W288" s="8" t="str">
        <f>+W$79</f>
        <v>Half-Year</v>
      </c>
      <c r="X288" s="4"/>
      <c r="Y288" s="8" t="str">
        <f>+Y$79</f>
        <v>Half-Year</v>
      </c>
      <c r="AA288" s="8" t="str">
        <f>+AA$79</f>
        <v>Half-Year</v>
      </c>
      <c r="AC288" s="8" t="str">
        <f>+AC$79</f>
        <v>Half-Year</v>
      </c>
      <c r="AF288" s="8" t="str">
        <f>+AF$79</f>
        <v>Half-Year</v>
      </c>
      <c r="AG288" s="8" t="str">
        <f>+AG$79</f>
        <v>Half-Year</v>
      </c>
    </row>
    <row r="289" spans="1:34" x14ac:dyDescent="0.2">
      <c r="A289" s="4"/>
      <c r="B289" s="18" t="s">
        <v>9</v>
      </c>
      <c r="C289" s="4"/>
      <c r="D289" s="4"/>
      <c r="E289" s="4">
        <f>+E209</f>
        <v>639077</v>
      </c>
      <c r="F289" s="4"/>
      <c r="G289" s="4">
        <f>+G209</f>
        <v>3163066.5</v>
      </c>
      <c r="H289" s="4"/>
      <c r="I289" s="4">
        <f>+I209</f>
        <v>301.54599999999999</v>
      </c>
      <c r="J289" s="4"/>
      <c r="K289" s="4">
        <f>+K209</f>
        <v>497485.08600000007</v>
      </c>
      <c r="L289" s="4"/>
      <c r="M289" s="4">
        <f>+M209</f>
        <v>2559933.21</v>
      </c>
      <c r="N289" s="4"/>
      <c r="O289" s="4">
        <f>+O209</f>
        <v>-778830.3600000001</v>
      </c>
      <c r="P289" s="4"/>
      <c r="Q289" s="4">
        <f>+Q225</f>
        <v>193855520.15000001</v>
      </c>
      <c r="R289" s="4"/>
      <c r="S289" s="4">
        <f>+S225</f>
        <v>25520569.670000002</v>
      </c>
      <c r="T289" s="4"/>
      <c r="U289" s="4">
        <f>+U273</f>
        <v>2481411.2999999998</v>
      </c>
      <c r="V289" s="4"/>
      <c r="W289" s="4">
        <f>+W273</f>
        <v>4969938.4550000001</v>
      </c>
      <c r="X289" s="4"/>
      <c r="Y289" s="4">
        <f>+Y273</f>
        <v>0</v>
      </c>
      <c r="Z289" s="4"/>
      <c r="AA289" s="4">
        <f>+AA273</f>
        <v>445562.0849999995</v>
      </c>
      <c r="AB289" s="4"/>
      <c r="AC289" s="4">
        <f>+AC273-AC279</f>
        <v>1071942.385</v>
      </c>
      <c r="AD289" s="4"/>
      <c r="AE289" s="4"/>
      <c r="AF289" s="4">
        <f>+AF273-AF279</f>
        <v>0</v>
      </c>
      <c r="AG289" s="4">
        <f>AG15</f>
        <v>0</v>
      </c>
    </row>
    <row r="290" spans="1:34" x14ac:dyDescent="0.2">
      <c r="A290" s="4"/>
      <c r="B290" s="18" t="s">
        <v>18</v>
      </c>
      <c r="C290" s="4"/>
      <c r="D290" s="4"/>
      <c r="E290" s="49">
        <v>4.4609999999999997E-2</v>
      </c>
      <c r="F290" s="4"/>
      <c r="G290" s="49">
        <v>4.462E-2</v>
      </c>
      <c r="I290" s="49">
        <v>4.4609999999999997E-2</v>
      </c>
      <c r="K290" s="49">
        <v>4.462E-2</v>
      </c>
      <c r="M290" s="49">
        <v>4.4609999999999997E-2</v>
      </c>
      <c r="N290" s="49"/>
      <c r="O290" s="49">
        <v>4.462E-2</v>
      </c>
      <c r="Q290" s="49">
        <v>4.5220000000000003E-2</v>
      </c>
      <c r="S290" s="49">
        <v>4.888E-2</v>
      </c>
      <c r="U290" s="49">
        <v>5.2850000000000001E-2</v>
      </c>
      <c r="W290" s="49">
        <v>5.713E-2</v>
      </c>
      <c r="X290" s="4"/>
      <c r="Y290" s="49">
        <v>6.1769999999999999E-2</v>
      </c>
      <c r="AA290" s="49">
        <v>6.6769999999999996E-2</v>
      </c>
      <c r="AC290" s="49">
        <v>7.2190000000000004E-2</v>
      </c>
      <c r="AE290" s="49">
        <v>4.4609999999999997E-2</v>
      </c>
      <c r="AF290" s="49">
        <v>7.2190000000000004E-2</v>
      </c>
      <c r="AG290" s="49">
        <v>3.7499999999999999E-2</v>
      </c>
    </row>
    <row r="291" spans="1:34" x14ac:dyDescent="0.2">
      <c r="A291" s="4"/>
      <c r="B291" s="4"/>
      <c r="C291" s="4"/>
      <c r="D291" s="4"/>
      <c r="E291" s="17" t="s">
        <v>3</v>
      </c>
      <c r="F291" s="4"/>
      <c r="G291" s="17" t="s">
        <v>3</v>
      </c>
      <c r="I291" s="17" t="s">
        <v>3</v>
      </c>
      <c r="K291" s="17" t="s">
        <v>3</v>
      </c>
      <c r="M291" s="17" t="s">
        <v>3</v>
      </c>
      <c r="N291" s="17"/>
      <c r="O291" s="17" t="s">
        <v>3</v>
      </c>
      <c r="Q291" s="17" t="s">
        <v>3</v>
      </c>
      <c r="S291" s="17" t="s">
        <v>3</v>
      </c>
      <c r="U291" s="17" t="s">
        <v>3</v>
      </c>
      <c r="W291" s="17" t="s">
        <v>3</v>
      </c>
      <c r="X291" s="4"/>
      <c r="Y291" s="17" t="s">
        <v>3</v>
      </c>
      <c r="AA291" s="17" t="s">
        <v>3</v>
      </c>
      <c r="AC291" s="17" t="s">
        <v>3</v>
      </c>
      <c r="AF291" s="17" t="s">
        <v>3</v>
      </c>
      <c r="AG291" s="17" t="s">
        <v>3</v>
      </c>
    </row>
    <row r="292" spans="1:34" x14ac:dyDescent="0.2">
      <c r="A292" s="4"/>
      <c r="B292" s="18" t="s">
        <v>64</v>
      </c>
      <c r="C292" s="4"/>
      <c r="D292" s="4"/>
      <c r="E292" s="4">
        <f>ROUND(E289*E290,0)</f>
        <v>28509</v>
      </c>
      <c r="F292" s="4"/>
      <c r="G292" s="4">
        <f>ROUND(G289*G290,0)</f>
        <v>141136</v>
      </c>
      <c r="I292" s="4">
        <f>ROUND(I289*I290,0)</f>
        <v>13</v>
      </c>
      <c r="K292" s="4">
        <f>+K289*K290</f>
        <v>22197.784537320003</v>
      </c>
      <c r="M292" s="4">
        <f>+M289*M290</f>
        <v>114198.62049809999</v>
      </c>
      <c r="N292" s="4"/>
      <c r="O292" s="4">
        <f>+O289*O290</f>
        <v>-34751.410663200004</v>
      </c>
      <c r="Q292" s="4">
        <f>+Q289*Q290</f>
        <v>8766146.6211830005</v>
      </c>
      <c r="S292" s="4">
        <f>+S289*S290</f>
        <v>1247445.4454696001</v>
      </c>
      <c r="U292" s="4">
        <f>+U289*U290</f>
        <v>131142.58720499999</v>
      </c>
      <c r="W292" s="4">
        <f>+W289*W290</f>
        <v>283932.58393415</v>
      </c>
      <c r="X292" s="4"/>
      <c r="Y292" s="4">
        <f>+Y289*Y290</f>
        <v>0</v>
      </c>
      <c r="AA292" s="4">
        <f>(+AA289)*AA290</f>
        <v>29750.180415449966</v>
      </c>
      <c r="AC292" s="4">
        <f>(+AC289)*AC290</f>
        <v>77383.520773150012</v>
      </c>
      <c r="AF292" s="4">
        <f>(+AF289)*AF290</f>
        <v>0</v>
      </c>
      <c r="AG292" s="4">
        <f>(+AG289-AG295)*AG290</f>
        <v>0</v>
      </c>
    </row>
    <row r="293" spans="1:34" x14ac:dyDescent="0.2">
      <c r="A293" s="4"/>
      <c r="B293" s="18" t="s">
        <v>50</v>
      </c>
      <c r="C293" s="4"/>
      <c r="D293" s="4"/>
      <c r="E293" s="4"/>
      <c r="F293" s="4"/>
      <c r="G293" s="4">
        <v>0</v>
      </c>
      <c r="I293" s="4">
        <v>0</v>
      </c>
      <c r="K293" s="4">
        <v>0</v>
      </c>
      <c r="M293" s="4">
        <v>0</v>
      </c>
      <c r="N293" s="4"/>
      <c r="O293" s="4">
        <v>0</v>
      </c>
      <c r="Q293" s="4">
        <v>0</v>
      </c>
      <c r="S293" s="4">
        <v>0</v>
      </c>
      <c r="U293" s="4">
        <v>0</v>
      </c>
      <c r="W293" s="4">
        <v>0</v>
      </c>
      <c r="X293" s="4"/>
      <c r="Y293" s="4">
        <v>0</v>
      </c>
      <c r="AA293" s="4">
        <v>0</v>
      </c>
      <c r="AC293" s="4">
        <v>0</v>
      </c>
      <c r="AF293" s="4">
        <v>0</v>
      </c>
      <c r="AG293" s="4">
        <v>0</v>
      </c>
    </row>
    <row r="294" spans="1:34" x14ac:dyDescent="0.2">
      <c r="A294" s="4"/>
      <c r="B294" s="18"/>
      <c r="C294" s="4"/>
      <c r="D294" s="4"/>
      <c r="E294" s="4"/>
      <c r="F294" s="4"/>
      <c r="G294" s="4"/>
      <c r="I294" s="4"/>
      <c r="K294" s="4"/>
      <c r="M294" s="4"/>
      <c r="N294" s="4"/>
      <c r="O294" s="4"/>
      <c r="Q294" s="4"/>
      <c r="S294" s="4"/>
      <c r="U294" s="4"/>
      <c r="W294" s="4"/>
      <c r="X294" s="4"/>
      <c r="Y294" s="4"/>
      <c r="AA294" s="4"/>
      <c r="AC294" s="4"/>
      <c r="AF294" s="4"/>
      <c r="AG294" s="4"/>
    </row>
    <row r="295" spans="1:34" x14ac:dyDescent="0.2">
      <c r="A295" s="4"/>
      <c r="B295" s="18" t="s">
        <v>27</v>
      </c>
      <c r="C295" s="4"/>
      <c r="D295" s="4"/>
      <c r="E295" s="4"/>
      <c r="F295" s="4"/>
      <c r="G295" s="4"/>
      <c r="I295" s="4"/>
      <c r="K295" s="4"/>
      <c r="M295" s="4"/>
      <c r="N295" s="4"/>
      <c r="O295" s="4"/>
      <c r="Q295" s="4"/>
      <c r="S295" s="4"/>
      <c r="U295" s="4"/>
      <c r="W295" s="4"/>
      <c r="X295" s="4"/>
      <c r="Y295" s="4"/>
      <c r="AA295" s="4"/>
      <c r="AC295" s="4"/>
      <c r="AF295" s="4"/>
      <c r="AG295" s="46"/>
    </row>
    <row r="296" spans="1:34" x14ac:dyDescent="0.2">
      <c r="A296" s="4"/>
      <c r="B296" s="18"/>
      <c r="C296" s="4"/>
      <c r="D296" s="4"/>
      <c r="E296" s="17" t="s">
        <v>3</v>
      </c>
      <c r="F296" s="4"/>
      <c r="G296" s="17" t="s">
        <v>3</v>
      </c>
      <c r="I296" s="17" t="s">
        <v>3</v>
      </c>
      <c r="K296" s="17" t="s">
        <v>3</v>
      </c>
      <c r="M296" s="17" t="s">
        <v>3</v>
      </c>
      <c r="N296" s="17"/>
      <c r="O296" s="17" t="s">
        <v>3</v>
      </c>
      <c r="Q296" s="17" t="s">
        <v>3</v>
      </c>
      <c r="S296" s="17" t="s">
        <v>3</v>
      </c>
      <c r="U296" s="17" t="s">
        <v>3</v>
      </c>
      <c r="W296" s="17" t="s">
        <v>3</v>
      </c>
      <c r="X296" s="4"/>
      <c r="Y296" s="17" t="s">
        <v>3</v>
      </c>
      <c r="AA296" s="17" t="s">
        <v>3</v>
      </c>
      <c r="AC296" s="17" t="s">
        <v>3</v>
      </c>
      <c r="AF296" s="17" t="s">
        <v>3</v>
      </c>
      <c r="AG296" s="17" t="s">
        <v>3</v>
      </c>
    </row>
    <row r="297" spans="1:34" x14ac:dyDescent="0.2">
      <c r="A297" s="4"/>
      <c r="B297" s="18" t="s">
        <v>63</v>
      </c>
      <c r="C297" s="4"/>
      <c r="D297" s="4"/>
      <c r="E297" s="4">
        <f>SUM(E292:E295)</f>
        <v>28509</v>
      </c>
      <c r="F297" s="4"/>
      <c r="G297" s="4">
        <f>SUM(G292:G295)</f>
        <v>141136</v>
      </c>
      <c r="I297" s="4">
        <f>SUM(I292:I295)</f>
        <v>13</v>
      </c>
      <c r="K297" s="4">
        <f>SUM(K292:K295)</f>
        <v>22197.784537320003</v>
      </c>
      <c r="M297" s="4">
        <f>SUM(M292:M295)</f>
        <v>114198.62049809999</v>
      </c>
      <c r="N297" s="4"/>
      <c r="O297" s="4">
        <f>SUM(O292:O295)</f>
        <v>-34751.410663200004</v>
      </c>
      <c r="Q297" s="4">
        <f>SUM(Q292:Q295)</f>
        <v>8766146.6211830005</v>
      </c>
      <c r="S297" s="4">
        <f>SUM(S292:S295)</f>
        <v>1247445.4454696001</v>
      </c>
      <c r="U297" s="4">
        <f>SUM(U292:U295)</f>
        <v>131142.58720499999</v>
      </c>
      <c r="W297" s="4">
        <f>SUM(W292:W295)</f>
        <v>283932.58393415</v>
      </c>
      <c r="X297" s="4"/>
      <c r="Y297" s="4">
        <f>SUM(Y292:Y295)</f>
        <v>0</v>
      </c>
      <c r="AA297" s="4">
        <f>SUM(AA292:AA295)</f>
        <v>29750.180415449966</v>
      </c>
      <c r="AC297" s="4">
        <f>SUM(AC292:AC295)</f>
        <v>77383.520773150012</v>
      </c>
      <c r="AF297" s="4">
        <f>SUM(AF292:AF295)</f>
        <v>0</v>
      </c>
      <c r="AG297" s="4">
        <f>SUM(AG292:AG295)</f>
        <v>0</v>
      </c>
    </row>
    <row r="298" spans="1:34" x14ac:dyDescent="0.2">
      <c r="A298" s="4"/>
      <c r="B298" s="50" t="s">
        <v>21</v>
      </c>
      <c r="C298" s="4"/>
      <c r="D298" s="4"/>
      <c r="E298" s="51">
        <f>+$C$18/12</f>
        <v>1</v>
      </c>
      <c r="F298" s="43"/>
      <c r="G298" s="51">
        <f>+$C$18/12</f>
        <v>1</v>
      </c>
      <c r="H298" s="52"/>
      <c r="I298" s="51">
        <f>+$C$18/12</f>
        <v>1</v>
      </c>
      <c r="J298" s="52"/>
      <c r="K298" s="51">
        <f>+$C$18/12</f>
        <v>1</v>
      </c>
      <c r="L298" s="52"/>
      <c r="M298" s="51">
        <f>+$C$18/12</f>
        <v>1</v>
      </c>
      <c r="N298" s="51"/>
      <c r="O298" s="51">
        <f>+$C$18/12</f>
        <v>1</v>
      </c>
      <c r="P298" s="52"/>
      <c r="Q298" s="51">
        <f>+$C$18/12</f>
        <v>1</v>
      </c>
      <c r="R298" s="52"/>
      <c r="S298" s="51">
        <f>+$C$18/12</f>
        <v>1</v>
      </c>
      <c r="T298" s="51">
        <f t="shared" ref="T298:Y298" si="3">+$C$18/12</f>
        <v>1</v>
      </c>
      <c r="U298" s="51">
        <f t="shared" si="3"/>
        <v>1</v>
      </c>
      <c r="V298" s="51"/>
      <c r="W298" s="51">
        <f t="shared" si="3"/>
        <v>1</v>
      </c>
      <c r="X298" s="51">
        <f t="shared" si="3"/>
        <v>1</v>
      </c>
      <c r="Y298" s="51">
        <f t="shared" si="3"/>
        <v>1</v>
      </c>
      <c r="Z298" s="52"/>
      <c r="AA298" s="51">
        <f>+$C$18/12</f>
        <v>1</v>
      </c>
      <c r="AB298" s="52"/>
      <c r="AC298" s="51">
        <f>+$C$18/12</f>
        <v>1</v>
      </c>
      <c r="AD298" s="52"/>
      <c r="AE298" s="52"/>
      <c r="AF298" s="51">
        <f>+$C$18/12</f>
        <v>1</v>
      </c>
      <c r="AG298" s="51">
        <f>+$C$18/12</f>
        <v>1</v>
      </c>
    </row>
    <row r="299" spans="1:34" x14ac:dyDescent="0.2">
      <c r="A299" s="4"/>
      <c r="B299" s="18" t="s">
        <v>22</v>
      </c>
      <c r="C299" s="4"/>
      <c r="D299" s="4"/>
      <c r="E299" s="48"/>
      <c r="F299" s="4"/>
      <c r="G299" s="48"/>
      <c r="I299" s="48"/>
      <c r="K299" s="48"/>
      <c r="M299" s="48"/>
      <c r="N299" s="48"/>
      <c r="O299" s="48"/>
      <c r="Q299" s="48"/>
      <c r="S299" s="48"/>
      <c r="U299" s="48"/>
      <c r="W299" s="48"/>
      <c r="X299" s="4"/>
      <c r="Y299" s="48"/>
      <c r="AA299" s="48"/>
      <c r="AC299" s="48"/>
      <c r="AF299" s="48"/>
      <c r="AG299" s="48"/>
    </row>
    <row r="300" spans="1:34" x14ac:dyDescent="0.2">
      <c r="A300" s="4"/>
      <c r="B300" s="4"/>
      <c r="C300" s="4"/>
      <c r="D300" s="4"/>
      <c r="E300" s="17" t="s">
        <v>3</v>
      </c>
      <c r="F300" s="4"/>
      <c r="G300" s="17" t="s">
        <v>3</v>
      </c>
      <c r="I300" s="17" t="s">
        <v>3</v>
      </c>
      <c r="K300" s="17" t="s">
        <v>3</v>
      </c>
      <c r="M300" s="17" t="s">
        <v>3</v>
      </c>
      <c r="N300" s="17"/>
      <c r="O300" s="17" t="s">
        <v>3</v>
      </c>
      <c r="Q300" s="17" t="s">
        <v>3</v>
      </c>
      <c r="S300" s="17" t="s">
        <v>3</v>
      </c>
      <c r="U300" s="17" t="s">
        <v>3</v>
      </c>
      <c r="W300" s="17" t="s">
        <v>3</v>
      </c>
      <c r="X300" s="4"/>
      <c r="Y300" s="17" t="s">
        <v>3</v>
      </c>
      <c r="AA300" s="17" t="s">
        <v>3</v>
      </c>
      <c r="AC300" s="17" t="s">
        <v>3</v>
      </c>
      <c r="AF300" s="17" t="s">
        <v>3</v>
      </c>
      <c r="AG300" s="17" t="s">
        <v>3</v>
      </c>
    </row>
    <row r="301" spans="1:34" x14ac:dyDescent="0.2">
      <c r="A301" s="43"/>
      <c r="B301" s="18" t="s">
        <v>63</v>
      </c>
      <c r="C301" s="4"/>
      <c r="D301" s="4"/>
      <c r="E301" s="4">
        <f>ROUND(E297*E298,0)</f>
        <v>28509</v>
      </c>
      <c r="F301" s="4"/>
      <c r="G301" s="4">
        <f>ROUND(G297*G298,0)</f>
        <v>141136</v>
      </c>
      <c r="I301" s="4">
        <f>ROUND(I297*I298,0)</f>
        <v>13</v>
      </c>
      <c r="K301" s="4">
        <f>ROUND(K297*K298,0)</f>
        <v>22198</v>
      </c>
      <c r="M301" s="4">
        <f>ROUND(M297*M298,0)</f>
        <v>114199</v>
      </c>
      <c r="N301" s="4"/>
      <c r="O301" s="4">
        <f>ROUND(O297*O298,0)</f>
        <v>-34751</v>
      </c>
      <c r="Q301" s="4">
        <f>ROUND(Q297*Q298,0)</f>
        <v>8766147</v>
      </c>
      <c r="S301" s="4">
        <f>ROUND(S297*S298,0)</f>
        <v>1247445</v>
      </c>
      <c r="U301" s="4">
        <f>ROUND(U297*U298,0)</f>
        <v>131143</v>
      </c>
      <c r="W301" s="4">
        <f>ROUND(W297*W298,0)</f>
        <v>283933</v>
      </c>
      <c r="X301" s="4"/>
      <c r="Y301" s="4">
        <f>ROUND(Y297*Y298,0)</f>
        <v>0</v>
      </c>
      <c r="AA301" s="4">
        <f>ROUND(AA297*AA298,0)</f>
        <v>29750</v>
      </c>
      <c r="AC301" s="4">
        <f>ROUND(AC297*AC298,0)</f>
        <v>77384</v>
      </c>
      <c r="AF301" s="4">
        <f>ROUND(AF297*AF298,0)</f>
        <v>0</v>
      </c>
      <c r="AG301" s="4">
        <f>ROUND(AG297*AG298,0)</f>
        <v>0</v>
      </c>
    </row>
    <row r="302" spans="1:34" x14ac:dyDescent="0.2">
      <c r="A302" s="4"/>
      <c r="B302" s="18"/>
      <c r="C302" s="4"/>
      <c r="D302" s="4"/>
      <c r="E302" s="17" t="s">
        <v>8</v>
      </c>
      <c r="F302" s="4"/>
      <c r="G302" s="17" t="s">
        <v>8</v>
      </c>
      <c r="I302" s="17" t="s">
        <v>8</v>
      </c>
      <c r="K302" s="17" t="s">
        <v>8</v>
      </c>
      <c r="M302" s="17" t="s">
        <v>8</v>
      </c>
      <c r="N302" s="17"/>
      <c r="O302" s="17" t="s">
        <v>8</v>
      </c>
      <c r="Q302" s="17" t="s">
        <v>8</v>
      </c>
      <c r="S302" s="17" t="s">
        <v>8</v>
      </c>
      <c r="U302" s="17" t="s">
        <v>8</v>
      </c>
      <c r="W302" s="17" t="s">
        <v>8</v>
      </c>
      <c r="X302" s="4"/>
      <c r="Y302" s="17" t="s">
        <v>8</v>
      </c>
      <c r="AA302" s="17" t="s">
        <v>8</v>
      </c>
      <c r="AC302" s="17" t="s">
        <v>8</v>
      </c>
      <c r="AF302" s="17" t="s">
        <v>8</v>
      </c>
      <c r="AG302" s="17" t="s">
        <v>8</v>
      </c>
    </row>
    <row r="303" spans="1:34" ht="16.2" x14ac:dyDescent="0.25">
      <c r="A303" s="4"/>
      <c r="B303" s="5" t="s">
        <v>43</v>
      </c>
      <c r="C303" s="4"/>
      <c r="D303" s="34"/>
      <c r="E303" s="34"/>
      <c r="F303" s="4"/>
      <c r="G303" s="4"/>
      <c r="I303" s="4"/>
      <c r="K303" s="4"/>
      <c r="M303" s="4"/>
      <c r="N303" s="4"/>
      <c r="O303" s="4"/>
      <c r="Q303" s="17"/>
      <c r="S303" s="4"/>
      <c r="U303" s="4"/>
      <c r="W303" s="4"/>
      <c r="X303" s="4"/>
      <c r="Y303" s="4"/>
      <c r="AA303" s="4"/>
      <c r="AC303" s="4"/>
      <c r="AF303" s="4"/>
      <c r="AG303" s="4"/>
    </row>
    <row r="304" spans="1:34" ht="12.6" x14ac:dyDescent="0.25">
      <c r="A304" s="4"/>
      <c r="B304" s="7" t="s">
        <v>0</v>
      </c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8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5" x14ac:dyDescent="0.2">
      <c r="A305" s="4"/>
      <c r="B305" s="8" t="s">
        <v>1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5" x14ac:dyDescent="0.2">
      <c r="A306" s="4"/>
      <c r="B306" s="18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3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8"/>
      <c r="N307" s="8"/>
      <c r="O307" s="8"/>
      <c r="P307" s="4"/>
      <c r="Q307" s="17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8"/>
      <c r="O308" s="4"/>
      <c r="P308" s="4"/>
      <c r="Q308" s="4"/>
      <c r="R308" s="4"/>
      <c r="S308" s="4"/>
      <c r="T308" s="8"/>
      <c r="U308" s="4"/>
      <c r="V308" s="8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5" x14ac:dyDescent="0.2">
      <c r="A309" s="4"/>
      <c r="B309" s="4"/>
      <c r="C309" s="4"/>
      <c r="D309" s="4"/>
      <c r="E309" s="8"/>
      <c r="F309" s="4"/>
      <c r="G309" s="8"/>
      <c r="H309" s="8"/>
      <c r="I309" s="8"/>
      <c r="J309" s="8"/>
      <c r="K309" s="8"/>
      <c r="L309" s="4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4"/>
      <c r="Y309" s="8"/>
      <c r="Z309" s="8"/>
      <c r="AA309" s="8"/>
      <c r="AB309" s="8"/>
      <c r="AC309" s="8"/>
      <c r="AD309" s="4"/>
      <c r="AE309" s="8"/>
      <c r="AF309" s="8"/>
      <c r="AG309" s="8"/>
      <c r="AH309" s="4"/>
    </row>
    <row r="310" spans="1:35" x14ac:dyDescent="0.2">
      <c r="A310" s="4"/>
      <c r="B310" s="4"/>
      <c r="C310" s="4"/>
      <c r="D310" s="4"/>
      <c r="E310" s="8" t="str">
        <f>E$8</f>
        <v xml:space="preserve">Air Pollution </v>
      </c>
      <c r="F310" s="4"/>
      <c r="G310" s="8" t="str">
        <f>G$8</f>
        <v>Air Pollution</v>
      </c>
      <c r="H310" s="8"/>
      <c r="I310" s="8" t="str">
        <f>I$8</f>
        <v>Air Pollution</v>
      </c>
      <c r="J310" s="8"/>
      <c r="K310" s="8" t="str">
        <f>K$8</f>
        <v>Air Pollution</v>
      </c>
      <c r="L310" s="4"/>
      <c r="M310" s="8" t="str">
        <f>M$8</f>
        <v>Air Pollution</v>
      </c>
      <c r="N310" s="8"/>
      <c r="O310" s="8" t="str">
        <f>O$8</f>
        <v>Air Pollution</v>
      </c>
      <c r="P310" s="8"/>
      <c r="Q310" s="8" t="str">
        <f>Q$8</f>
        <v>Air Pollution</v>
      </c>
      <c r="R310" s="8"/>
      <c r="S310" s="8" t="str">
        <f>S$8</f>
        <v>Air Pollution</v>
      </c>
      <c r="T310" s="8"/>
      <c r="U310" s="8" t="str">
        <f>U$8</f>
        <v>Air Pollution</v>
      </c>
      <c r="V310" s="8"/>
      <c r="W310" s="8" t="str">
        <f>W$8</f>
        <v>Air Pollution</v>
      </c>
      <c r="X310" s="4"/>
      <c r="Y310" s="8" t="str">
        <f>Y$8</f>
        <v>Air Pollution</v>
      </c>
      <c r="Z310" s="8"/>
      <c r="AA310" s="8" t="str">
        <f>AA$8</f>
        <v>Air Pollution</v>
      </c>
      <c r="AB310" s="8"/>
      <c r="AC310" s="8" t="str">
        <f>AC$8</f>
        <v>Air Pollution</v>
      </c>
      <c r="AD310" s="4"/>
      <c r="AE310" s="8"/>
      <c r="AF310" s="8" t="str">
        <f>+AF8</f>
        <v>Water Pollution</v>
      </c>
      <c r="AG310" s="8" t="str">
        <f>AG$8</f>
        <v>Air Pollution</v>
      </c>
      <c r="AH310" s="4"/>
      <c r="AI310" s="8" t="s">
        <v>77</v>
      </c>
    </row>
    <row r="311" spans="1:35" s="15" customFormat="1" ht="10.8" thickBot="1" x14ac:dyDescent="0.25">
      <c r="A311" s="35"/>
      <c r="B311" s="35"/>
      <c r="C311" s="35"/>
      <c r="D311" s="35"/>
      <c r="E311" s="14">
        <f>E$9</f>
        <v>2001</v>
      </c>
      <c r="F311" s="35"/>
      <c r="G311" s="14">
        <f>G$9</f>
        <v>2002</v>
      </c>
      <c r="H311" s="14"/>
      <c r="I311" s="14">
        <f>I$9</f>
        <v>2003</v>
      </c>
      <c r="J311" s="14"/>
      <c r="K311" s="14">
        <f>K$9</f>
        <v>2004</v>
      </c>
      <c r="L311" s="14">
        <f>+L9</f>
        <v>0</v>
      </c>
      <c r="M311" s="14">
        <f>M$9</f>
        <v>2005</v>
      </c>
      <c r="N311" s="14"/>
      <c r="O311" s="14">
        <f>O$9</f>
        <v>2006</v>
      </c>
      <c r="P311" s="14"/>
      <c r="Q311" s="14">
        <f>Q$9</f>
        <v>2007</v>
      </c>
      <c r="R311" s="14"/>
      <c r="S311" s="14">
        <f>S$9</f>
        <v>2008</v>
      </c>
      <c r="T311" s="14"/>
      <c r="U311" s="14">
        <f>U$9</f>
        <v>2009</v>
      </c>
      <c r="V311" s="14"/>
      <c r="W311" s="14">
        <f>W$9</f>
        <v>2010</v>
      </c>
      <c r="X311" s="35"/>
      <c r="Y311" s="14">
        <f>Y$9</f>
        <v>2011</v>
      </c>
      <c r="Z311" s="14"/>
      <c r="AA311" s="14">
        <f>AA$9</f>
        <v>2012</v>
      </c>
      <c r="AB311" s="14"/>
      <c r="AC311" s="14">
        <f>AC$9</f>
        <v>2013</v>
      </c>
      <c r="AD311" s="35"/>
      <c r="AE311" s="14"/>
      <c r="AF311" s="14">
        <f>+AF9</f>
        <v>2013</v>
      </c>
      <c r="AG311" s="14">
        <f>AG$9</f>
        <v>2014</v>
      </c>
      <c r="AH311" s="35"/>
      <c r="AI311" s="8"/>
    </row>
    <row r="312" spans="1:35" ht="13.8" thickTop="1" thickBot="1" x14ac:dyDescent="0.3">
      <c r="A312" s="4"/>
      <c r="B312" s="36" t="s">
        <v>37</v>
      </c>
      <c r="C312" s="37"/>
      <c r="D312" s="4"/>
      <c r="E312" s="8" t="str">
        <f>E$10</f>
        <v>Non-FGD</v>
      </c>
      <c r="F312" s="4"/>
      <c r="G312" s="8" t="str">
        <f>G$10</f>
        <v>Non-FGD</v>
      </c>
      <c r="H312" s="8"/>
      <c r="I312" s="8" t="str">
        <f>I$10</f>
        <v>Non-FGD</v>
      </c>
      <c r="J312" s="8"/>
      <c r="K312" s="8" t="str">
        <f>K$10</f>
        <v>Non-FGD</v>
      </c>
      <c r="L312" s="4"/>
      <c r="M312" s="8" t="str">
        <f>M$10</f>
        <v>Non-FGD</v>
      </c>
      <c r="N312" s="8"/>
      <c r="O312" s="8" t="str">
        <f>O$10</f>
        <v>Non-FGD</v>
      </c>
      <c r="P312" s="8"/>
      <c r="Q312" s="8" t="str">
        <f>Q$10</f>
        <v>Non-FGD</v>
      </c>
      <c r="R312" s="8"/>
      <c r="S312" s="8" t="str">
        <f>S$10</f>
        <v>Non-FGD</v>
      </c>
      <c r="T312" s="8"/>
      <c r="U312" s="8" t="str">
        <f>U$10</f>
        <v>Non-FGD</v>
      </c>
      <c r="V312" s="8"/>
      <c r="W312" s="8" t="str">
        <f>W$10</f>
        <v>Non-FGD</v>
      </c>
      <c r="X312" s="4"/>
      <c r="Y312" s="8" t="str">
        <f>Y$10</f>
        <v>Non-FGD</v>
      </c>
      <c r="Z312" s="8"/>
      <c r="AA312" s="8" t="str">
        <f>AA$10</f>
        <v>Non-FGD</v>
      </c>
      <c r="AB312" s="8"/>
      <c r="AC312" s="8" t="str">
        <f>AC$10</f>
        <v>Non-FGD</v>
      </c>
      <c r="AD312" s="4"/>
      <c r="AE312" s="8"/>
      <c r="AF312" s="8" t="str">
        <f>+AF10</f>
        <v>FGD</v>
      </c>
      <c r="AG312" s="8" t="str">
        <f>AG$10</f>
        <v>Non-FGD</v>
      </c>
      <c r="AH312" s="4"/>
      <c r="AI312" s="8"/>
    </row>
    <row r="313" spans="1:35" ht="10.8" thickTop="1" x14ac:dyDescent="0.2">
      <c r="A313" s="4"/>
      <c r="B313" s="38"/>
      <c r="C313" s="4"/>
      <c r="D313" s="4"/>
      <c r="E313" s="17" t="s">
        <v>3</v>
      </c>
      <c r="F313" s="4"/>
      <c r="G313" s="17" t="s">
        <v>3</v>
      </c>
      <c r="H313" s="4"/>
      <c r="I313" s="17" t="s">
        <v>3</v>
      </c>
      <c r="J313" s="4"/>
      <c r="K313" s="17" t="s">
        <v>3</v>
      </c>
      <c r="L313" s="4"/>
      <c r="M313" s="17" t="s">
        <v>3</v>
      </c>
      <c r="N313" s="17"/>
      <c r="O313" s="17" t="s">
        <v>3</v>
      </c>
      <c r="P313" s="4"/>
      <c r="Q313" s="17" t="s">
        <v>3</v>
      </c>
      <c r="R313" s="4"/>
      <c r="S313" s="17" t="s">
        <v>3</v>
      </c>
      <c r="T313" s="4"/>
      <c r="U313" s="17" t="s">
        <v>3</v>
      </c>
      <c r="V313" s="4"/>
      <c r="W313" s="17" t="s">
        <v>3</v>
      </c>
      <c r="X313" s="4"/>
      <c r="Y313" s="17" t="s">
        <v>3</v>
      </c>
      <c r="Z313" s="4"/>
      <c r="AA313" s="17" t="s">
        <v>3</v>
      </c>
      <c r="AB313" s="4"/>
      <c r="AC313" s="17" t="s">
        <v>3</v>
      </c>
      <c r="AD313" s="4"/>
      <c r="AE313" s="4"/>
      <c r="AF313" s="17" t="s">
        <v>3</v>
      </c>
      <c r="AG313" s="17" t="s">
        <v>3</v>
      </c>
      <c r="AH313" s="4"/>
      <c r="AI313" s="17" t="s">
        <v>3</v>
      </c>
    </row>
    <row r="314" spans="1:35" x14ac:dyDescent="0.2">
      <c r="A314" s="4"/>
      <c r="B314" s="4"/>
      <c r="C314" s="4"/>
      <c r="E314" s="70">
        <f>+E12</f>
        <v>37072</v>
      </c>
      <c r="F314" s="70"/>
      <c r="G314" s="70">
        <f>+G12</f>
        <v>37437</v>
      </c>
      <c r="H314" s="70"/>
      <c r="I314" s="70">
        <f>+I12</f>
        <v>37802</v>
      </c>
      <c r="J314" s="70"/>
      <c r="K314" s="70">
        <f>+K12</f>
        <v>38168</v>
      </c>
      <c r="L314" s="70"/>
      <c r="M314" s="70">
        <f>+M12</f>
        <v>38533</v>
      </c>
      <c r="N314" s="70"/>
      <c r="O314" s="70">
        <f>+O12</f>
        <v>38898</v>
      </c>
      <c r="P314" s="70"/>
      <c r="Q314" s="70">
        <f>+Q12</f>
        <v>39263</v>
      </c>
      <c r="R314" s="70"/>
      <c r="S314" s="70">
        <f>+S12</f>
        <v>39629</v>
      </c>
      <c r="T314" s="70"/>
      <c r="U314" s="70">
        <f>+U12</f>
        <v>39994</v>
      </c>
      <c r="V314" s="70"/>
      <c r="W314" s="70">
        <v>40359</v>
      </c>
      <c r="X314" s="70"/>
      <c r="Y314" s="70">
        <f>+Y12</f>
        <v>40724</v>
      </c>
      <c r="Z314" s="70"/>
      <c r="AA314" s="70">
        <f>+AA12</f>
        <v>41090</v>
      </c>
      <c r="AB314" s="70"/>
      <c r="AC314" s="70">
        <f>+AC12</f>
        <v>41455</v>
      </c>
      <c r="AD314" s="70"/>
      <c r="AE314" s="70"/>
      <c r="AF314" s="70">
        <f>+AF12</f>
        <v>41455</v>
      </c>
      <c r="AG314" s="70">
        <f>+AG12</f>
        <v>41820</v>
      </c>
    </row>
    <row r="315" spans="1:35" x14ac:dyDescent="0.2">
      <c r="A315" s="4"/>
      <c r="B315" s="4"/>
      <c r="C315" s="4"/>
      <c r="D315" s="4"/>
      <c r="E315" s="8" t="str">
        <f>+E79</f>
        <v>Half-Year</v>
      </c>
      <c r="F315" s="4"/>
      <c r="G315" s="8" t="str">
        <f>+G79</f>
        <v>Half-Year</v>
      </c>
      <c r="I315" s="8" t="str">
        <f>+I79</f>
        <v>Half-Year</v>
      </c>
      <c r="K315" s="8" t="str">
        <f>+K79</f>
        <v>Half-Year</v>
      </c>
      <c r="M315" s="8" t="str">
        <f>+M79</f>
        <v>Half-Year</v>
      </c>
      <c r="N315" s="8"/>
      <c r="O315" s="8" t="str">
        <f>+O79</f>
        <v>Half-Year</v>
      </c>
      <c r="Q315" s="8" t="str">
        <f>+Q79</f>
        <v>Half-Year</v>
      </c>
      <c r="S315" s="8" t="str">
        <f>+S79</f>
        <v>Half-Year</v>
      </c>
      <c r="U315" s="8" t="str">
        <f>+U79</f>
        <v>Half-Year</v>
      </c>
      <c r="W315" s="8" t="str">
        <f>+W79</f>
        <v>Half-Year</v>
      </c>
      <c r="X315" s="4"/>
      <c r="Y315" s="8" t="str">
        <f>+Y79</f>
        <v>Half-Year</v>
      </c>
      <c r="AA315" s="8" t="str">
        <f>+AA79</f>
        <v>Half-Year</v>
      </c>
      <c r="AC315" s="8" t="str">
        <f>+AC79</f>
        <v>Half-Year</v>
      </c>
      <c r="AF315" s="8" t="str">
        <f>+AF79</f>
        <v>Half-Year</v>
      </c>
      <c r="AG315" s="8" t="str">
        <f>+AG79</f>
        <v>Half-Year</v>
      </c>
    </row>
    <row r="316" spans="1:35" ht="13.8" x14ac:dyDescent="0.3">
      <c r="A316" s="4"/>
      <c r="B316" s="53" t="s">
        <v>23</v>
      </c>
      <c r="C316" s="4"/>
      <c r="D316" s="4"/>
      <c r="E316" s="4"/>
      <c r="F316" s="4"/>
      <c r="G316" s="4"/>
      <c r="I316" s="4"/>
      <c r="K316" s="4"/>
      <c r="M316" s="4"/>
      <c r="N316" s="4"/>
      <c r="O316" s="4"/>
      <c r="Q316" s="4"/>
      <c r="S316" s="4"/>
      <c r="U316" s="4"/>
      <c r="W316" s="4"/>
      <c r="X316" s="4"/>
      <c r="Y316" s="4"/>
      <c r="AA316" s="4"/>
      <c r="AC316" s="4"/>
      <c r="AF316" s="4"/>
      <c r="AG316" s="4"/>
    </row>
    <row r="317" spans="1:35" x14ac:dyDescent="0.2">
      <c r="A317" s="4"/>
      <c r="B317" s="18" t="s">
        <v>19</v>
      </c>
      <c r="C317" s="4"/>
      <c r="D317" s="4"/>
      <c r="E317" s="21">
        <f>E86</f>
        <v>0</v>
      </c>
      <c r="F317" s="4"/>
      <c r="G317" s="21">
        <f>G86</f>
        <v>0</v>
      </c>
      <c r="I317" s="21">
        <f>I86</f>
        <v>0</v>
      </c>
      <c r="K317" s="21">
        <f>K86</f>
        <v>0</v>
      </c>
      <c r="M317" s="21">
        <f>M86</f>
        <v>0</v>
      </c>
      <c r="N317" s="21"/>
      <c r="O317" s="21">
        <f>O86</f>
        <v>0</v>
      </c>
      <c r="Q317" s="21">
        <f>Q86</f>
        <v>0</v>
      </c>
      <c r="S317" s="21">
        <f>S86</f>
        <v>0</v>
      </c>
      <c r="U317" s="21">
        <f>U86</f>
        <v>0</v>
      </c>
      <c r="W317" s="21">
        <f>W86</f>
        <v>0</v>
      </c>
      <c r="X317" s="4"/>
      <c r="Y317" s="21">
        <f>Y86</f>
        <v>0</v>
      </c>
      <c r="AA317" s="21">
        <f>AA86</f>
        <v>0</v>
      </c>
      <c r="AC317" s="21">
        <f>AC86</f>
        <v>0</v>
      </c>
      <c r="AF317" s="21">
        <f>AF86</f>
        <v>0</v>
      </c>
      <c r="AG317" s="21">
        <f>AG86</f>
        <v>0</v>
      </c>
      <c r="AI317" s="2">
        <f t="shared" ref="AI317:AI330" si="4">SUM(E317:AH317)</f>
        <v>0</v>
      </c>
    </row>
    <row r="318" spans="1:35" x14ac:dyDescent="0.2">
      <c r="A318" s="4"/>
      <c r="B318" s="18" t="s">
        <v>20</v>
      </c>
      <c r="C318" s="4"/>
      <c r="D318" s="4"/>
      <c r="E318" s="21">
        <f>E96</f>
        <v>23965.387500000001</v>
      </c>
      <c r="F318" s="4"/>
      <c r="G318" s="21">
        <f>G93</f>
        <v>0</v>
      </c>
      <c r="I318" s="21">
        <f>I93</f>
        <v>0</v>
      </c>
      <c r="K318" s="21">
        <f>K93</f>
        <v>0</v>
      </c>
      <c r="M318" s="21">
        <f>M93</f>
        <v>0</v>
      </c>
      <c r="N318" s="21"/>
      <c r="O318" s="21">
        <f>O93</f>
        <v>0</v>
      </c>
      <c r="Q318" s="21">
        <f>Q93</f>
        <v>0</v>
      </c>
      <c r="S318" s="21">
        <f>S93</f>
        <v>0</v>
      </c>
      <c r="U318" s="21">
        <f>U93</f>
        <v>0</v>
      </c>
      <c r="W318" s="21">
        <f>W93</f>
        <v>0</v>
      </c>
      <c r="X318" s="4"/>
      <c r="Y318" s="21">
        <f>Y93</f>
        <v>0</v>
      </c>
      <c r="AA318" s="21">
        <f>AA93</f>
        <v>0</v>
      </c>
      <c r="AC318" s="21">
        <f>AC93</f>
        <v>0</v>
      </c>
      <c r="AF318" s="21">
        <f>AF93</f>
        <v>0</v>
      </c>
      <c r="AG318" s="21">
        <f>AG93</f>
        <v>0</v>
      </c>
      <c r="AI318" s="2">
        <f t="shared" si="4"/>
        <v>23965.387500000001</v>
      </c>
    </row>
    <row r="319" spans="1:35" x14ac:dyDescent="0.2">
      <c r="A319" s="4"/>
      <c r="B319" s="18" t="s">
        <v>24</v>
      </c>
      <c r="C319" s="4"/>
      <c r="D319" s="4"/>
      <c r="E319" s="21">
        <f>E106</f>
        <v>46135</v>
      </c>
      <c r="F319" s="4"/>
      <c r="G319" s="21">
        <f>G106</f>
        <v>118614.99374999999</v>
      </c>
      <c r="I319" s="21">
        <f>I106</f>
        <v>0</v>
      </c>
      <c r="K319" s="21">
        <f>K106</f>
        <v>0</v>
      </c>
      <c r="M319" s="21">
        <f>M106</f>
        <v>0</v>
      </c>
      <c r="N319" s="21"/>
      <c r="O319" s="21">
        <f>O106</f>
        <v>0</v>
      </c>
      <c r="Q319" s="21">
        <f>Q106</f>
        <v>0</v>
      </c>
      <c r="S319" s="21">
        <f>S106</f>
        <v>0</v>
      </c>
      <c r="U319" s="21">
        <f>U106</f>
        <v>0</v>
      </c>
      <c r="W319" s="21">
        <f>W106</f>
        <v>0</v>
      </c>
      <c r="X319" s="4"/>
      <c r="Y319" s="21">
        <f>Y106</f>
        <v>0</v>
      </c>
      <c r="AA319" s="21">
        <f>AA106</f>
        <v>0</v>
      </c>
      <c r="AC319" s="21">
        <f>AC106</f>
        <v>0</v>
      </c>
      <c r="AF319" s="21">
        <f>AF106</f>
        <v>0</v>
      </c>
      <c r="AG319" s="21">
        <f>AG106</f>
        <v>0</v>
      </c>
      <c r="AI319" s="2">
        <f t="shared" si="4"/>
        <v>164749.99374999999</v>
      </c>
    </row>
    <row r="320" spans="1:35" x14ac:dyDescent="0.2">
      <c r="A320" s="4"/>
      <c r="B320" s="18" t="s">
        <v>25</v>
      </c>
      <c r="C320" s="4"/>
      <c r="D320" s="4"/>
      <c r="E320" s="21">
        <f>E118</f>
        <v>42607</v>
      </c>
      <c r="F320" s="4"/>
      <c r="G320" s="21">
        <f>G118</f>
        <v>228342</v>
      </c>
      <c r="I320" s="21">
        <f>I118</f>
        <v>140.54197499999998</v>
      </c>
      <c r="K320" s="21">
        <f>K118</f>
        <v>0</v>
      </c>
      <c r="M320" s="21">
        <f>M118</f>
        <v>0</v>
      </c>
      <c r="N320" s="21"/>
      <c r="O320" s="21">
        <f>O118</f>
        <v>0</v>
      </c>
      <c r="Q320" s="21">
        <f>Q118</f>
        <v>0</v>
      </c>
      <c r="S320" s="21">
        <f>S118</f>
        <v>0</v>
      </c>
      <c r="U320" s="21">
        <f>U118</f>
        <v>0</v>
      </c>
      <c r="W320" s="21">
        <f>W118</f>
        <v>0</v>
      </c>
      <c r="X320" s="4"/>
      <c r="Y320" s="21">
        <f>Y118</f>
        <v>0</v>
      </c>
      <c r="AA320" s="21">
        <f>AA118</f>
        <v>0</v>
      </c>
      <c r="AC320" s="21">
        <f>AC118</f>
        <v>0</v>
      </c>
      <c r="AF320" s="21">
        <f>AF118</f>
        <v>0</v>
      </c>
      <c r="AG320" s="21">
        <f>AG118</f>
        <v>0</v>
      </c>
      <c r="AI320" s="2">
        <f t="shared" si="4"/>
        <v>271089.541975</v>
      </c>
    </row>
    <row r="321" spans="1:35" x14ac:dyDescent="0.2">
      <c r="A321" s="4"/>
      <c r="B321" s="18" t="s">
        <v>34</v>
      </c>
      <c r="C321" s="4"/>
      <c r="D321" s="4"/>
      <c r="E321" s="21">
        <f>+E130</f>
        <v>39476</v>
      </c>
      <c r="F321" s="4"/>
      <c r="G321" s="21">
        <f>+G130</f>
        <v>211198</v>
      </c>
      <c r="I321" s="21">
        <f>+I130</f>
        <v>22</v>
      </c>
      <c r="K321" s="21">
        <f>+K130</f>
        <v>231863.58472500002</v>
      </c>
      <c r="M321" s="21">
        <f>+M130</f>
        <v>0</v>
      </c>
      <c r="N321" s="21"/>
      <c r="O321" s="21">
        <f>+O130</f>
        <v>0</v>
      </c>
      <c r="Q321" s="21">
        <f>+Q130</f>
        <v>0</v>
      </c>
      <c r="S321" s="21">
        <f>+S130</f>
        <v>0</v>
      </c>
      <c r="U321" s="21">
        <f>+U130</f>
        <v>0</v>
      </c>
      <c r="W321" s="21">
        <f>+W130</f>
        <v>0</v>
      </c>
      <c r="X321" s="4"/>
      <c r="Y321" s="21">
        <f>+Y130</f>
        <v>0</v>
      </c>
      <c r="AA321" s="21">
        <f>+AA130</f>
        <v>0</v>
      </c>
      <c r="AC321" s="21">
        <f>+AC130</f>
        <v>0</v>
      </c>
      <c r="AF321" s="21">
        <f>+AF130</f>
        <v>0</v>
      </c>
      <c r="AG321" s="21">
        <f>+AG130</f>
        <v>0</v>
      </c>
      <c r="AI321" s="2">
        <f t="shared" si="4"/>
        <v>482559.58472500002</v>
      </c>
    </row>
    <row r="322" spans="1:35" x14ac:dyDescent="0.2">
      <c r="A322" s="4"/>
      <c r="B322" s="18" t="s">
        <v>35</v>
      </c>
      <c r="C322" s="4"/>
      <c r="D322" s="4"/>
      <c r="E322" s="21">
        <f>E157</f>
        <v>36510</v>
      </c>
      <c r="F322" s="4"/>
      <c r="G322" s="21">
        <f>G157</f>
        <v>195383</v>
      </c>
      <c r="I322" s="21">
        <f>I157</f>
        <v>20</v>
      </c>
      <c r="K322" s="21">
        <f>K157</f>
        <v>35913.448358340007</v>
      </c>
      <c r="M322" s="21">
        <f>M157</f>
        <v>95997.495374999999</v>
      </c>
      <c r="N322" s="21"/>
      <c r="O322" s="21">
        <f>O157</f>
        <v>0</v>
      </c>
      <c r="Q322" s="21">
        <f>Q157</f>
        <v>0</v>
      </c>
      <c r="S322" s="21">
        <f>S157</f>
        <v>0</v>
      </c>
      <c r="U322" s="21">
        <f>U157</f>
        <v>0</v>
      </c>
      <c r="W322" s="21">
        <f>W157</f>
        <v>0</v>
      </c>
      <c r="X322" s="4"/>
      <c r="Y322" s="21">
        <f>Y157</f>
        <v>0</v>
      </c>
      <c r="AA322" s="21">
        <f>AA157</f>
        <v>0</v>
      </c>
      <c r="AC322" s="21">
        <f>AC157</f>
        <v>0</v>
      </c>
      <c r="AF322" s="21">
        <f>AF157</f>
        <v>0</v>
      </c>
      <c r="AG322" s="21">
        <f>AG157</f>
        <v>0</v>
      </c>
      <c r="AI322" s="2">
        <f t="shared" si="4"/>
        <v>363823.94373334001</v>
      </c>
    </row>
    <row r="323" spans="1:35" x14ac:dyDescent="0.2">
      <c r="A323" s="4"/>
      <c r="B323" s="18" t="s">
        <v>42</v>
      </c>
      <c r="C323" s="4"/>
      <c r="D323" s="4"/>
      <c r="E323" s="21">
        <f>E173</f>
        <v>33775</v>
      </c>
      <c r="F323" s="4"/>
      <c r="G323" s="21">
        <f>G173</f>
        <v>180706</v>
      </c>
      <c r="I323" s="21">
        <f>I173</f>
        <v>19</v>
      </c>
      <c r="K323" s="21">
        <f>K173</f>
        <v>33217</v>
      </c>
      <c r="M323" s="21">
        <f>M173</f>
        <v>184802</v>
      </c>
      <c r="N323" s="21"/>
      <c r="O323" s="21">
        <f>O173</f>
        <v>-29206</v>
      </c>
      <c r="Q323" s="21">
        <f>Q173</f>
        <v>0</v>
      </c>
      <c r="S323" s="21">
        <f>S173</f>
        <v>0</v>
      </c>
      <c r="U323" s="21">
        <f>U173</f>
        <v>0</v>
      </c>
      <c r="W323" s="21">
        <f>W173</f>
        <v>0</v>
      </c>
      <c r="X323" s="4"/>
      <c r="Y323" s="21">
        <f>Y173</f>
        <v>0</v>
      </c>
      <c r="AA323" s="21">
        <f>AA173</f>
        <v>0</v>
      </c>
      <c r="AC323" s="21">
        <f>AC173</f>
        <v>0</v>
      </c>
      <c r="AF323" s="21">
        <f>AF173</f>
        <v>0</v>
      </c>
      <c r="AG323" s="21">
        <f>AG173</f>
        <v>0</v>
      </c>
      <c r="AI323" s="2">
        <f t="shared" si="4"/>
        <v>403313</v>
      </c>
    </row>
    <row r="324" spans="1:35" x14ac:dyDescent="0.2">
      <c r="A324" s="4"/>
      <c r="B324" s="18" t="s">
        <v>44</v>
      </c>
      <c r="C324" s="4"/>
      <c r="D324" s="4"/>
      <c r="E324" s="21">
        <f>E189</f>
        <v>31238</v>
      </c>
      <c r="F324" s="4"/>
      <c r="G324" s="21">
        <f>G189</f>
        <v>167168</v>
      </c>
      <c r="I324" s="21">
        <f>I189</f>
        <v>17</v>
      </c>
      <c r="K324" s="21">
        <f>K189</f>
        <v>30730</v>
      </c>
      <c r="M324" s="21">
        <f>M189</f>
        <v>170927</v>
      </c>
      <c r="N324" s="21"/>
      <c r="O324" s="21">
        <f>O189</f>
        <v>-56224</v>
      </c>
      <c r="Q324" s="21">
        <f>Q189</f>
        <v>7269582</v>
      </c>
      <c r="S324" s="21">
        <f>S189</f>
        <v>0</v>
      </c>
      <c r="U324" s="21">
        <f>U189</f>
        <v>0</v>
      </c>
      <c r="W324" s="21">
        <f>W189</f>
        <v>0</v>
      </c>
      <c r="X324" s="4"/>
      <c r="Y324" s="21">
        <f>Y189</f>
        <v>0</v>
      </c>
      <c r="AA324" s="21">
        <f>AA189</f>
        <v>0</v>
      </c>
      <c r="AC324" s="21">
        <f>AC189</f>
        <v>0</v>
      </c>
      <c r="AF324" s="21">
        <f>AF189</f>
        <v>0</v>
      </c>
      <c r="AG324" s="21">
        <f>AG189</f>
        <v>0</v>
      </c>
      <c r="AI324" s="2">
        <f t="shared" si="4"/>
        <v>7613438</v>
      </c>
    </row>
    <row r="325" spans="1:35" x14ac:dyDescent="0.2">
      <c r="A325" s="4"/>
      <c r="B325" s="18" t="s">
        <v>49</v>
      </c>
      <c r="C325" s="4"/>
      <c r="D325" s="4"/>
      <c r="E325" s="21">
        <f>+E205</f>
        <v>28899</v>
      </c>
      <c r="F325" s="4"/>
      <c r="G325" s="21">
        <f>+G205</f>
        <v>154611</v>
      </c>
      <c r="I325" s="21">
        <f>+I205</f>
        <v>16</v>
      </c>
      <c r="K325" s="21">
        <f>+K205</f>
        <v>28421</v>
      </c>
      <c r="M325" s="21">
        <f>+M205</f>
        <v>158127</v>
      </c>
      <c r="N325" s="21"/>
      <c r="O325" s="21">
        <f>+O205</f>
        <v>-52003</v>
      </c>
      <c r="Q325" s="21">
        <f>+Q205</f>
        <v>13994430</v>
      </c>
      <c r="S325" s="21">
        <f>+S205</f>
        <v>26477591</v>
      </c>
      <c r="U325" s="21">
        <f>+U205</f>
        <v>0</v>
      </c>
      <c r="W325" s="21">
        <f>+W205</f>
        <v>0</v>
      </c>
      <c r="X325" s="4"/>
      <c r="Y325" s="21">
        <f>+Y205</f>
        <v>0</v>
      </c>
      <c r="AA325" s="21">
        <f>+AA205</f>
        <v>0</v>
      </c>
      <c r="AC325" s="21">
        <f>+AC205</f>
        <v>0</v>
      </c>
      <c r="AF325" s="21">
        <f>+AF205</f>
        <v>0</v>
      </c>
      <c r="AG325" s="21">
        <f>+AG205</f>
        <v>0</v>
      </c>
      <c r="AI325" s="2">
        <f t="shared" si="4"/>
        <v>40790092</v>
      </c>
    </row>
    <row r="326" spans="1:35" x14ac:dyDescent="0.2">
      <c r="A326" s="4"/>
      <c r="B326" s="18" t="s">
        <v>51</v>
      </c>
      <c r="C326" s="4"/>
      <c r="D326" s="4"/>
      <c r="E326" s="21">
        <f>+E221</f>
        <v>28516</v>
      </c>
      <c r="F326" s="4"/>
      <c r="G326" s="21">
        <f>+G221</f>
        <v>143034</v>
      </c>
      <c r="I326" s="21">
        <f>+I221</f>
        <v>15</v>
      </c>
      <c r="K326" s="21">
        <f>+K221</f>
        <v>26292</v>
      </c>
      <c r="M326" s="21">
        <f>+M221</f>
        <v>146249</v>
      </c>
      <c r="N326" s="21"/>
      <c r="O326" s="21">
        <f>+O221</f>
        <v>-48108</v>
      </c>
      <c r="Q326" s="21">
        <f>+Q221</f>
        <v>12943733</v>
      </c>
      <c r="S326" s="21">
        <f>+S221</f>
        <v>1842330</v>
      </c>
      <c r="U326" s="21">
        <f>+U221</f>
        <v>2574464</v>
      </c>
      <c r="W326" s="21">
        <f>+W221</f>
        <v>0</v>
      </c>
      <c r="X326" s="4"/>
      <c r="Y326" s="21">
        <f>+Y221</f>
        <v>0</v>
      </c>
      <c r="AA326" s="21">
        <f>+AA221</f>
        <v>0</v>
      </c>
      <c r="AC326" s="21">
        <f>+AC221</f>
        <v>0</v>
      </c>
      <c r="AF326" s="21">
        <f>+AF221</f>
        <v>0</v>
      </c>
      <c r="AG326" s="21">
        <f>+AG221</f>
        <v>0</v>
      </c>
      <c r="AI326" s="2">
        <f t="shared" si="4"/>
        <v>17656525</v>
      </c>
    </row>
    <row r="327" spans="1:35" x14ac:dyDescent="0.2">
      <c r="A327" s="4"/>
      <c r="B327" s="18" t="s">
        <v>55</v>
      </c>
      <c r="C327" s="4"/>
      <c r="D327" s="4"/>
      <c r="E327" s="21">
        <f>+E237</f>
        <v>28509</v>
      </c>
      <c r="F327" s="4"/>
      <c r="G327" s="21">
        <f>+G237</f>
        <v>141136</v>
      </c>
      <c r="I327" s="21">
        <f>+I237</f>
        <v>14</v>
      </c>
      <c r="K327" s="21">
        <f>+K237</f>
        <v>24317</v>
      </c>
      <c r="M327" s="21">
        <f>+M237</f>
        <v>135292</v>
      </c>
      <c r="N327" s="21"/>
      <c r="O327" s="21">
        <f>+O237</f>
        <v>-44495</v>
      </c>
      <c r="Q327" s="21">
        <f>+Q237</f>
        <v>11974455</v>
      </c>
      <c r="S327" s="21">
        <f>+S237</f>
        <v>1701456</v>
      </c>
      <c r="U327" s="21">
        <f>+U237</f>
        <v>179133</v>
      </c>
      <c r="W327" s="21">
        <f>+W237</f>
        <v>5156311</v>
      </c>
      <c r="X327" s="4"/>
      <c r="Y327" s="21">
        <f>+Y237</f>
        <v>0</v>
      </c>
      <c r="AA327" s="21">
        <f>+AA237</f>
        <v>0</v>
      </c>
      <c r="AC327" s="21">
        <f>+AC237</f>
        <v>0</v>
      </c>
      <c r="AF327" s="21">
        <f>+AF237</f>
        <v>0</v>
      </c>
      <c r="AG327" s="21">
        <f>+AG237</f>
        <v>0</v>
      </c>
      <c r="AI327" s="2">
        <f t="shared" si="4"/>
        <v>19296128</v>
      </c>
    </row>
    <row r="328" spans="1:35" x14ac:dyDescent="0.2">
      <c r="A328" s="4"/>
      <c r="B328" s="18" t="s">
        <v>58</v>
      </c>
      <c r="C328" s="4"/>
      <c r="D328" s="4"/>
      <c r="E328" s="21">
        <f>+E253</f>
        <v>28516</v>
      </c>
      <c r="F328" s="4"/>
      <c r="G328" s="21">
        <f>+G253</f>
        <v>141104</v>
      </c>
      <c r="I328" s="21">
        <f>+I253</f>
        <v>13</v>
      </c>
      <c r="K328" s="21">
        <f>+K253</f>
        <v>22496</v>
      </c>
      <c r="M328" s="21">
        <f>+M253</f>
        <v>125130</v>
      </c>
      <c r="N328" s="21"/>
      <c r="O328" s="21">
        <f>+O253</f>
        <v>-41161</v>
      </c>
      <c r="Q328" s="21">
        <f>+Q253</f>
        <v>11074966</v>
      </c>
      <c r="S328" s="21">
        <f>+S253</f>
        <v>1576406</v>
      </c>
      <c r="U328" s="21">
        <f>+U253</f>
        <v>165684</v>
      </c>
      <c r="W328" s="21">
        <f>+W253</f>
        <v>358780</v>
      </c>
      <c r="X328" s="4"/>
      <c r="Y328" s="21">
        <f>+Y253</f>
        <v>1324802</v>
      </c>
      <c r="AA328" s="21">
        <f>+AA253</f>
        <v>0</v>
      </c>
      <c r="AC328" s="21">
        <f>+AC253</f>
        <v>0</v>
      </c>
      <c r="AF328" s="21">
        <f>+AF253</f>
        <v>0</v>
      </c>
      <c r="AG328" s="21">
        <f>+AG253</f>
        <v>0</v>
      </c>
      <c r="AI328" s="2">
        <f t="shared" si="4"/>
        <v>14776736</v>
      </c>
    </row>
    <row r="329" spans="1:35" x14ac:dyDescent="0.2">
      <c r="A329" s="4"/>
      <c r="B329" s="18" t="s">
        <v>59</v>
      </c>
      <c r="C329" s="4"/>
      <c r="D329" s="21">
        <f t="shared" ref="D329:M329" si="5">+D269</f>
        <v>0</v>
      </c>
      <c r="E329" s="21">
        <f t="shared" si="5"/>
        <v>28509</v>
      </c>
      <c r="F329" s="21">
        <f t="shared" si="5"/>
        <v>0</v>
      </c>
      <c r="G329" s="21">
        <f t="shared" si="5"/>
        <v>141136</v>
      </c>
      <c r="H329" s="21">
        <f t="shared" si="5"/>
        <v>0</v>
      </c>
      <c r="I329" s="21">
        <f t="shared" si="5"/>
        <v>13</v>
      </c>
      <c r="J329" s="21">
        <f t="shared" si="5"/>
        <v>0</v>
      </c>
      <c r="K329" s="21">
        <f t="shared" si="5"/>
        <v>22198</v>
      </c>
      <c r="L329" s="21">
        <f t="shared" si="5"/>
        <v>0</v>
      </c>
      <c r="M329" s="21">
        <f t="shared" si="5"/>
        <v>115760</v>
      </c>
      <c r="N329" s="21"/>
      <c r="O329" s="21">
        <f t="shared" ref="O329:U329" si="6">+O269</f>
        <v>-38069</v>
      </c>
      <c r="P329" s="21">
        <f t="shared" si="6"/>
        <v>0</v>
      </c>
      <c r="Q329" s="21">
        <f t="shared" si="6"/>
        <v>10245264</v>
      </c>
      <c r="R329" s="21">
        <f t="shared" si="6"/>
        <v>0</v>
      </c>
      <c r="S329" s="21">
        <f t="shared" si="6"/>
        <v>1457990</v>
      </c>
      <c r="T329" s="21">
        <f t="shared" si="6"/>
        <v>0</v>
      </c>
      <c r="U329" s="21">
        <f t="shared" si="6"/>
        <v>153277</v>
      </c>
      <c r="V329" s="21"/>
      <c r="W329" s="21">
        <f t="shared" ref="W329:AG329" si="7">+W269</f>
        <v>331843</v>
      </c>
      <c r="X329" s="21">
        <f t="shared" si="7"/>
        <v>0</v>
      </c>
      <c r="Y329" s="21">
        <f t="shared" si="7"/>
        <v>0</v>
      </c>
      <c r="Z329" s="21">
        <f t="shared" si="7"/>
        <v>0</v>
      </c>
      <c r="AA329" s="21">
        <f t="shared" si="7"/>
        <v>462271</v>
      </c>
      <c r="AB329" s="21">
        <f t="shared" si="7"/>
        <v>0</v>
      </c>
      <c r="AC329" s="21">
        <f t="shared" si="7"/>
        <v>0</v>
      </c>
      <c r="AD329" s="21">
        <f t="shared" si="7"/>
        <v>0</v>
      </c>
      <c r="AE329" s="21">
        <f t="shared" si="7"/>
        <v>0</v>
      </c>
      <c r="AF329" s="21">
        <f t="shared" si="7"/>
        <v>0</v>
      </c>
      <c r="AG329" s="21">
        <f t="shared" si="7"/>
        <v>0</v>
      </c>
      <c r="AI329" s="2">
        <f t="shared" si="4"/>
        <v>12920192</v>
      </c>
    </row>
    <row r="330" spans="1:35" x14ac:dyDescent="0.2">
      <c r="A330" s="4"/>
      <c r="B330" s="18" t="s">
        <v>62</v>
      </c>
      <c r="C330" s="4"/>
      <c r="D330" s="21">
        <f t="shared" ref="D330:M330" si="8">D285</f>
        <v>0</v>
      </c>
      <c r="E330" s="21">
        <f t="shared" si="8"/>
        <v>28516</v>
      </c>
      <c r="F330" s="21">
        <f t="shared" si="8"/>
        <v>0</v>
      </c>
      <c r="G330" s="21">
        <f t="shared" si="8"/>
        <v>141104</v>
      </c>
      <c r="H330" s="21">
        <f t="shared" si="8"/>
        <v>0</v>
      </c>
      <c r="I330" s="21">
        <f t="shared" si="8"/>
        <v>13</v>
      </c>
      <c r="J330" s="21">
        <f t="shared" si="8"/>
        <v>0</v>
      </c>
      <c r="K330" s="21">
        <f t="shared" si="8"/>
        <v>22193</v>
      </c>
      <c r="L330" s="21">
        <f t="shared" si="8"/>
        <v>0</v>
      </c>
      <c r="M330" s="21">
        <f t="shared" si="8"/>
        <v>114224</v>
      </c>
      <c r="N330" s="21"/>
      <c r="O330" s="21">
        <f t="shared" ref="O330:U330" si="9">O285</f>
        <v>-35219</v>
      </c>
      <c r="P330" s="21">
        <f t="shared" si="9"/>
        <v>0</v>
      </c>
      <c r="Q330" s="21">
        <f t="shared" si="9"/>
        <v>9475658</v>
      </c>
      <c r="R330" s="21">
        <f t="shared" si="9"/>
        <v>0</v>
      </c>
      <c r="S330" s="21">
        <f t="shared" si="9"/>
        <v>1348762</v>
      </c>
      <c r="T330" s="21">
        <f t="shared" si="9"/>
        <v>0</v>
      </c>
      <c r="U330" s="21">
        <f t="shared" si="9"/>
        <v>141763</v>
      </c>
      <c r="V330" s="21"/>
      <c r="W330" s="21">
        <f t="shared" ref="W330:AG330" si="10">W285</f>
        <v>306993</v>
      </c>
      <c r="X330" s="21">
        <f t="shared" si="10"/>
        <v>0</v>
      </c>
      <c r="Y330" s="21">
        <f t="shared" si="10"/>
        <v>0</v>
      </c>
      <c r="Z330" s="21">
        <f t="shared" si="10"/>
        <v>0</v>
      </c>
      <c r="AA330" s="21">
        <f t="shared" si="10"/>
        <v>32165</v>
      </c>
      <c r="AB330" s="21">
        <f t="shared" si="10"/>
        <v>0</v>
      </c>
      <c r="AC330" s="21">
        <f t="shared" si="10"/>
        <v>1112140</v>
      </c>
      <c r="AD330" s="21">
        <f t="shared" si="10"/>
        <v>0</v>
      </c>
      <c r="AE330" s="21">
        <f t="shared" si="10"/>
        <v>0</v>
      </c>
      <c r="AF330" s="21">
        <f t="shared" si="10"/>
        <v>0</v>
      </c>
      <c r="AG330" s="21">
        <f t="shared" si="10"/>
        <v>0</v>
      </c>
      <c r="AI330" s="2">
        <f t="shared" si="4"/>
        <v>12688312</v>
      </c>
    </row>
    <row r="331" spans="1:35" x14ac:dyDescent="0.2">
      <c r="A331" s="4"/>
    </row>
    <row r="332" spans="1:35" x14ac:dyDescent="0.2">
      <c r="A332" s="4"/>
      <c r="B332" s="18"/>
      <c r="C332" s="4"/>
      <c r="D332" s="4"/>
      <c r="E332" s="21"/>
      <c r="F332" s="4"/>
      <c r="G332" s="21"/>
      <c r="I332" s="21"/>
      <c r="K332" s="21"/>
      <c r="M332" s="21"/>
      <c r="N332" s="21"/>
      <c r="O332" s="21"/>
      <c r="Q332" s="21"/>
      <c r="S332" s="21"/>
      <c r="U332" s="21"/>
      <c r="W332" s="21"/>
      <c r="X332" s="4"/>
      <c r="Y332" s="21"/>
      <c r="AA332" s="21"/>
      <c r="AC332" s="21"/>
      <c r="AF332" s="21"/>
      <c r="AG332" s="21"/>
      <c r="AI332" s="2"/>
    </row>
    <row r="333" spans="1:35" ht="10.8" thickBot="1" x14ac:dyDescent="0.25">
      <c r="A333" s="43"/>
      <c r="B333" s="18" t="str">
        <f>"Accum Tax Depreciation "&amp;B10</f>
        <v>Accum Tax Depreciation December 31, 2013</v>
      </c>
      <c r="C333" s="4"/>
      <c r="D333" s="18"/>
      <c r="E333" s="54">
        <f>SUM(E317:E332)</f>
        <v>425171.38750000001</v>
      </c>
      <c r="F333" s="4"/>
      <c r="G333" s="54">
        <f>SUM(G317:G332)</f>
        <v>1963536.9937499999</v>
      </c>
      <c r="I333" s="54">
        <f>SUM(I317:I332)</f>
        <v>302.54197499999998</v>
      </c>
      <c r="K333" s="54">
        <f>SUM(K317:K332)</f>
        <v>477641.03308334004</v>
      </c>
      <c r="M333" s="54">
        <f>SUM(M317:M332)</f>
        <v>1246508.4953749999</v>
      </c>
      <c r="N333" s="54"/>
      <c r="O333" s="54">
        <f>SUM(O317:O332)</f>
        <v>-344485</v>
      </c>
      <c r="Q333" s="54">
        <f>SUM(Q317:Q332)</f>
        <v>76978088</v>
      </c>
      <c r="S333" s="54">
        <f>SUM(S317:S332)</f>
        <v>34404535</v>
      </c>
      <c r="U333" s="54">
        <f>SUM(U317:U332)</f>
        <v>3214321</v>
      </c>
      <c r="W333" s="54">
        <f>SUM(W317:W332)</f>
        <v>6153927</v>
      </c>
      <c r="X333" s="4"/>
      <c r="Y333" s="54">
        <f>SUM(Y317:Y332)</f>
        <v>1324802</v>
      </c>
      <c r="AA333" s="54">
        <f>SUM(AA317:AA332)</f>
        <v>494436</v>
      </c>
      <c r="AC333" s="54">
        <f>SUM(AC317:AC332)</f>
        <v>1112140</v>
      </c>
      <c r="AF333" s="54">
        <f>SUM(AF317:AF332)</f>
        <v>0</v>
      </c>
      <c r="AG333" s="54">
        <f>SUM(AG317:AG332)</f>
        <v>0</v>
      </c>
      <c r="AI333" s="54">
        <f>SUM(AI317:AI332)</f>
        <v>127450924.45168334</v>
      </c>
    </row>
    <row r="334" spans="1:35" ht="10.8" thickTop="1" x14ac:dyDescent="0.2">
      <c r="A334" s="4"/>
      <c r="B334" s="4"/>
      <c r="C334" s="4"/>
      <c r="D334" s="4"/>
      <c r="E334" s="4"/>
      <c r="F334" s="4"/>
      <c r="G334" s="4"/>
      <c r="I334" s="4"/>
      <c r="K334" s="4"/>
      <c r="M334" s="4"/>
      <c r="N334" s="4"/>
      <c r="O334" s="4"/>
      <c r="Q334" s="21"/>
      <c r="S334" s="4"/>
      <c r="U334" s="4"/>
      <c r="W334" s="4"/>
      <c r="X334" s="4"/>
      <c r="Y334" s="4"/>
      <c r="AA334" s="4"/>
      <c r="AC334" s="4"/>
      <c r="AF334" s="4"/>
      <c r="AG334" s="4"/>
    </row>
    <row r="335" spans="1:35" x14ac:dyDescent="0.2">
      <c r="A335" s="4"/>
      <c r="B335" s="4"/>
      <c r="C335" s="4"/>
      <c r="D335" s="4"/>
      <c r="E335" s="4"/>
      <c r="F335" s="4"/>
      <c r="G335" s="4"/>
      <c r="I335" s="4"/>
      <c r="K335" s="4"/>
      <c r="M335" s="4"/>
      <c r="N335" s="4"/>
      <c r="O335" s="4"/>
      <c r="Q335" s="21"/>
      <c r="S335" s="4"/>
      <c r="U335" s="4"/>
      <c r="W335" s="4"/>
      <c r="X335" s="4"/>
      <c r="Y335" s="4"/>
      <c r="AA335" s="4"/>
      <c r="AC335" s="4"/>
      <c r="AF335" s="4"/>
      <c r="AG335" s="4"/>
    </row>
    <row r="336" spans="1:35" ht="10.8" thickBot="1" x14ac:dyDescent="0.25">
      <c r="A336" s="4"/>
      <c r="B336" s="18" t="s">
        <v>63</v>
      </c>
      <c r="C336" s="4"/>
      <c r="D336" s="21"/>
      <c r="E336" s="81">
        <f>+E301</f>
        <v>28509</v>
      </c>
      <c r="F336" s="68"/>
      <c r="G336" s="81">
        <f>+G301</f>
        <v>141136</v>
      </c>
      <c r="H336" s="68"/>
      <c r="I336" s="81">
        <f>+I301</f>
        <v>13</v>
      </c>
      <c r="J336" s="68"/>
      <c r="K336" s="81">
        <f>+K301</f>
        <v>22198</v>
      </c>
      <c r="L336" s="68"/>
      <c r="M336" s="81">
        <f>+M301</f>
        <v>114199</v>
      </c>
      <c r="N336" s="68"/>
      <c r="O336" s="81">
        <f>+O301</f>
        <v>-34751</v>
      </c>
      <c r="P336" s="68"/>
      <c r="Q336" s="81">
        <f>+Q301</f>
        <v>8766147</v>
      </c>
      <c r="R336" s="68"/>
      <c r="S336" s="81">
        <f>+S301</f>
        <v>1247445</v>
      </c>
      <c r="T336" s="68"/>
      <c r="U336" s="81">
        <f>+U301</f>
        <v>131143</v>
      </c>
      <c r="V336" s="68"/>
      <c r="W336" s="81">
        <f>+W301</f>
        <v>283933</v>
      </c>
      <c r="X336" s="68"/>
      <c r="Y336" s="81">
        <f>+Y301</f>
        <v>0</v>
      </c>
      <c r="Z336" s="68"/>
      <c r="AA336" s="81">
        <f>+AA301</f>
        <v>29750</v>
      </c>
      <c r="AB336" s="68"/>
      <c r="AC336" s="81">
        <f>+AC301</f>
        <v>77384</v>
      </c>
      <c r="AD336" s="68"/>
      <c r="AE336" s="68"/>
      <c r="AF336" s="68">
        <f>+AF301</f>
        <v>0</v>
      </c>
      <c r="AG336" s="81">
        <f>+AG301</f>
        <v>0</v>
      </c>
      <c r="AH336" s="82"/>
      <c r="AI336" s="83">
        <f>SUM(E336:AH336)</f>
        <v>10807106</v>
      </c>
    </row>
    <row r="337" spans="1:33" ht="10.8" thickTop="1" x14ac:dyDescent="0.2">
      <c r="A337" s="4"/>
      <c r="B337" s="4"/>
      <c r="C337" s="4"/>
      <c r="D337" s="4"/>
      <c r="E337" s="4"/>
      <c r="F337" s="4"/>
      <c r="G337" s="4"/>
      <c r="I337" s="4"/>
      <c r="K337" s="4"/>
      <c r="M337" s="4"/>
      <c r="N337" s="4"/>
      <c r="O337" s="4"/>
      <c r="Q337" s="21"/>
      <c r="S337" s="4"/>
      <c r="U337" s="4"/>
      <c r="W337" s="4"/>
      <c r="X337" s="4"/>
      <c r="Y337" s="4"/>
      <c r="AA337" s="4"/>
      <c r="AC337" s="4"/>
      <c r="AF337" s="4"/>
      <c r="AG337" s="4"/>
    </row>
    <row r="338" spans="1:33" x14ac:dyDescent="0.2">
      <c r="A338" s="4"/>
      <c r="B338" s="4"/>
      <c r="C338" s="4"/>
      <c r="D338" s="4"/>
      <c r="E338" s="4"/>
      <c r="F338" s="4"/>
      <c r="G338" s="4"/>
      <c r="I338" s="4"/>
      <c r="K338" s="4"/>
      <c r="M338" s="4"/>
      <c r="N338" s="4"/>
      <c r="O338" s="4"/>
      <c r="Q338" s="21"/>
      <c r="S338" s="4"/>
      <c r="U338" s="4"/>
      <c r="W338" s="4"/>
      <c r="X338" s="4"/>
      <c r="Y338" s="4"/>
      <c r="AA338" s="4"/>
      <c r="AC338" s="4"/>
      <c r="AF338" s="4"/>
      <c r="AG338" s="4"/>
    </row>
    <row r="339" spans="1:33" x14ac:dyDescent="0.2">
      <c r="A339" s="4"/>
      <c r="B339" s="4"/>
      <c r="C339" s="4"/>
      <c r="D339" s="33"/>
      <c r="F339" s="4"/>
      <c r="G339" s="4"/>
      <c r="M339" s="33"/>
      <c r="N339" s="33"/>
      <c r="O339" s="33"/>
      <c r="Q339" s="21"/>
      <c r="X339" s="4"/>
      <c r="Y339" s="33"/>
    </row>
    <row r="340" spans="1:33" x14ac:dyDescent="0.2">
      <c r="A340" s="4"/>
      <c r="B340" s="4"/>
      <c r="C340" s="4"/>
      <c r="D340" s="4"/>
      <c r="E340" s="4"/>
      <c r="F340" s="4"/>
      <c r="G340" s="4"/>
    </row>
    <row r="341" spans="1:33" x14ac:dyDescent="0.2">
      <c r="A341" s="4"/>
      <c r="B341" s="4"/>
      <c r="C341" s="4"/>
      <c r="D341" s="4"/>
      <c r="E341" s="4"/>
      <c r="F341" s="4"/>
      <c r="G341" s="4"/>
    </row>
    <row r="342" spans="1:33" x14ac:dyDescent="0.2">
      <c r="A342" s="4"/>
      <c r="B342" s="4"/>
      <c r="C342" s="4"/>
      <c r="D342" s="4"/>
      <c r="E342" s="4"/>
      <c r="F342" s="4"/>
      <c r="G342" s="4"/>
    </row>
    <row r="343" spans="1:33" x14ac:dyDescent="0.2">
      <c r="A343" s="4"/>
      <c r="B343" s="4"/>
      <c r="C343" s="4"/>
      <c r="D343" s="4"/>
      <c r="E343" s="4"/>
      <c r="F343" s="4"/>
      <c r="G343" s="4"/>
    </row>
    <row r="344" spans="1:33" x14ac:dyDescent="0.2">
      <c r="A344" s="4"/>
      <c r="B344" s="4"/>
      <c r="C344" s="4"/>
      <c r="D344" s="4"/>
      <c r="E344" s="4"/>
      <c r="F344" s="4"/>
      <c r="G344" s="4"/>
    </row>
    <row r="345" spans="1:33" x14ac:dyDescent="0.2">
      <c r="A345" s="4"/>
      <c r="B345" s="10" t="s">
        <v>75</v>
      </c>
      <c r="C345" s="4"/>
      <c r="D345" s="4"/>
      <c r="E345" s="30">
        <f>(0.0375+0.07219+0.06677+0.06177+0.05713+0.05285+0.04888+0.04522+0.04462+0.04461+0.04462+0.04461+0.04462+0.04461*$C$18/12)</f>
        <v>0.71000000000000008</v>
      </c>
      <c r="F345" s="4"/>
      <c r="G345" s="30">
        <f>(0.0375+0.07219+0.06677+0.06177+0.05713+0.05285+0.04888+0.04522+0.04462+0.04461+0.04462+0.04461+0.04462*$C$18/12)</f>
        <v>0.66539000000000004</v>
      </c>
      <c r="I345" s="30">
        <f>0.3+0.7*(0.0375+0.07219+0.06677+0.06177+0.05713+0.05285+0.04888+0.04522+0.04462+0.04461+0.04462+0.04461*$C$18/12)</f>
        <v>0.73453900000000005</v>
      </c>
      <c r="K345" s="30">
        <f>0.3+0.7*(0.0375+0.07219+0.06677+0.06177+0.05713+0.05285+0.04888+0.04522+0.04462+0.04461+0.04462*$C$18/12)</f>
        <v>0.70331199999999994</v>
      </c>
      <c r="M345" s="30">
        <f>(0.0375+0.07219+0.06677+0.06177+0.05713+0.05285+0.04888+0.04522+0.04462+0.04461*$C$18/12)</f>
        <v>0.53154000000000001</v>
      </c>
      <c r="N345" s="30"/>
      <c r="O345" s="30">
        <f>(0.0375+0.07219+0.06677+0.06177+0.05713+0.05285+0.04888+0.04522+0.04462*$C$18/12)</f>
        <v>0.48692999999999997</v>
      </c>
      <c r="Q345" s="30">
        <f>(0.0375+0.07219+0.06677+0.06177+0.05713+0.05285+0.04888+0.04522*$C$18/12)</f>
        <v>0.44230999999999998</v>
      </c>
      <c r="S345" s="30">
        <f>(0.0375+0.07219+0.06677+0.06177+0.05713+0.05285+0.04888*$C$18/12)</f>
        <v>0.39709</v>
      </c>
      <c r="U345" s="30">
        <f>0.5+0.5*(0.0375+0.07219+0.06677+0.06177+0.05713+0.05285*$C$18/12)</f>
        <v>0.67410499999999995</v>
      </c>
      <c r="W345" s="30">
        <f>0.5+0.5*(0.0375+0.07219+0.06677+0.06177+0.05713*$C$18/12)</f>
        <v>0.64768000000000003</v>
      </c>
      <c r="Y345" s="30">
        <v>1</v>
      </c>
      <c r="AA345" s="30">
        <f>0.5+0.5*(0.0375+0.07219+0.06677*$C$18/12)</f>
        <v>0.58823000000000003</v>
      </c>
      <c r="AC345" s="30">
        <f>0.5+0.5*(0.0375+0.07219*$C$18/12)</f>
        <v>0.55484500000000003</v>
      </c>
      <c r="AF345" s="30">
        <f>0.5+0.5*(0.0375+0.07219*$C$18/12)</f>
        <v>0.55484500000000003</v>
      </c>
      <c r="AG345" s="30">
        <f>0.5+0.5*(0.0375+0.07219*$C$18/12)</f>
        <v>0.55484500000000003</v>
      </c>
    </row>
    <row r="346" spans="1:33" x14ac:dyDescent="0.2">
      <c r="A346" s="4"/>
      <c r="B346" s="10" t="s">
        <v>76</v>
      </c>
      <c r="C346" s="4"/>
      <c r="D346" s="4"/>
      <c r="E346" s="32">
        <f>E31-E345</f>
        <v>-4.4710234447492225E-2</v>
      </c>
      <c r="F346" s="4"/>
      <c r="G346" s="32">
        <f>G31-G345</f>
        <v>-4.4619935965620749E-2</v>
      </c>
      <c r="I346" s="32">
        <f>I31-I345</f>
        <v>-3.2226972979247037E-2</v>
      </c>
      <c r="K346" s="32">
        <f>K31-K345</f>
        <v>-3.1234117531905303E-2</v>
      </c>
      <c r="M346" s="32">
        <f>M31-M345</f>
        <v>-4.4609915064307559E-2</v>
      </c>
      <c r="N346" s="32"/>
      <c r="O346" s="32">
        <f>O31-O345</f>
        <v>-4.4619302199262023E-2</v>
      </c>
      <c r="Q346" s="32">
        <f>Q31-Q345</f>
        <v>-4.5220002560481642E-2</v>
      </c>
      <c r="S346" s="32">
        <f>S31-S345</f>
        <v>0.27696499651607104</v>
      </c>
      <c r="U346" s="32">
        <f>U31-U345</f>
        <v>-2.6424988226054991E-2</v>
      </c>
      <c r="W346" s="32">
        <f>W31-W345</f>
        <v>-2.8564989248825667E-2</v>
      </c>
      <c r="Y346" s="32">
        <f>Y31-Y345</f>
        <v>1.5096595529229262E-8</v>
      </c>
      <c r="AA346" s="32">
        <f>AA31-AA345</f>
        <v>-3.3384764458918692E-2</v>
      </c>
      <c r="AC346" s="32">
        <f>AC31-AC345</f>
        <v>-3.6095104687296264E-2</v>
      </c>
      <c r="AF346" s="32" t="e">
        <f>AF31-AF345</f>
        <v>#DIV/0!</v>
      </c>
      <c r="AG346" s="32" t="e">
        <f>AG31-AG345</f>
        <v>#DIV/0!</v>
      </c>
    </row>
    <row r="347" spans="1:33" x14ac:dyDescent="0.2">
      <c r="A347" s="4"/>
      <c r="B347" s="4"/>
      <c r="C347" s="4"/>
      <c r="D347" s="4"/>
      <c r="E347" s="4"/>
      <c r="F347" s="4"/>
      <c r="G347" s="4"/>
    </row>
    <row r="348" spans="1:33" x14ac:dyDescent="0.2">
      <c r="A348" s="4"/>
      <c r="B348" s="4"/>
      <c r="C348" s="4"/>
      <c r="D348" s="4"/>
      <c r="E348" s="4"/>
      <c r="F348" s="4"/>
      <c r="G348" s="4"/>
    </row>
    <row r="349" spans="1:33" x14ac:dyDescent="0.2">
      <c r="A349" s="4"/>
      <c r="B349" s="4"/>
      <c r="C349" s="4" t="s">
        <v>45</v>
      </c>
      <c r="D349" s="4"/>
      <c r="E349" s="4">
        <f>+E15</f>
        <v>639077</v>
      </c>
      <c r="F349" s="4"/>
      <c r="G349" s="4">
        <f>+G15</f>
        <v>3163066.5</v>
      </c>
      <c r="I349" s="4">
        <f>+I15</f>
        <v>430.78</v>
      </c>
      <c r="K349" s="4">
        <f>+K15</f>
        <v>710692.9800000001</v>
      </c>
      <c r="M349" s="4">
        <f>+M15</f>
        <v>2559933.21</v>
      </c>
      <c r="N349" s="4"/>
      <c r="O349" s="4">
        <f>+O15</f>
        <v>-778830.3600000001</v>
      </c>
      <c r="Q349" s="4">
        <f>+Q15</f>
        <v>193855520.15000001</v>
      </c>
      <c r="S349" s="4">
        <f>+S15</f>
        <v>51041139.340000004</v>
      </c>
      <c r="U349" s="4">
        <f>+U15</f>
        <v>4962822.5999999996</v>
      </c>
      <c r="W349" s="4">
        <f>+W15</f>
        <v>9939876.9100000001</v>
      </c>
      <c r="Y349" s="4">
        <f>+Y15</f>
        <v>1324801.9800000002</v>
      </c>
      <c r="AA349" s="4">
        <f>+AA15</f>
        <v>891124.16999999899</v>
      </c>
      <c r="AC349" s="4">
        <f>+AC15</f>
        <v>2143884.77</v>
      </c>
      <c r="AF349" s="4">
        <f>+AF15</f>
        <v>0</v>
      </c>
      <c r="AG349" s="4">
        <f>+AG15</f>
        <v>0</v>
      </c>
    </row>
    <row r="350" spans="1:33" x14ac:dyDescent="0.2">
      <c r="A350" s="4"/>
      <c r="B350" s="4"/>
      <c r="C350" s="4"/>
      <c r="D350" s="4"/>
      <c r="E350" s="55" t="str">
        <f>IF(E333&lt;E349,"Okay","Over-depreciated")</f>
        <v>Okay</v>
      </c>
      <c r="F350" s="4"/>
      <c r="G350" s="55" t="str">
        <f>IF(G333&lt;G349,"Okay","Over-depreciated")</f>
        <v>Okay</v>
      </c>
      <c r="I350" s="55" t="str">
        <f>IF(I333&lt;I349,"Okay","Over-depreciated")</f>
        <v>Okay</v>
      </c>
      <c r="K350" s="55" t="str">
        <f>IF(K333&lt;K349,"Okay","Over-depreciated")</f>
        <v>Okay</v>
      </c>
      <c r="M350" s="55" t="str">
        <f>IF(M333&lt;M349,"Okay","Over-depreciated")</f>
        <v>Okay</v>
      </c>
      <c r="N350" s="55"/>
      <c r="O350" s="55" t="str">
        <f>IF(O333&lt;O349,"Okay","Over-depreciated")</f>
        <v>Over-depreciated</v>
      </c>
      <c r="Q350" s="55" t="str">
        <f>IF(Q333&lt;Q349,"Okay","Over-depreciated")</f>
        <v>Okay</v>
      </c>
      <c r="S350" s="55" t="str">
        <f>IF(S333&lt;S349,"Okay","Over-depreciated")</f>
        <v>Okay</v>
      </c>
      <c r="U350" s="55" t="str">
        <f>IF(U333&lt;U349,"Okay","Over-depreciated")</f>
        <v>Okay</v>
      </c>
      <c r="W350" s="55" t="str">
        <f>IF(W333&lt;W349,"Okay","Over-depreciated")</f>
        <v>Okay</v>
      </c>
      <c r="Y350" s="55" t="str">
        <f>IF(Y333&lt;Y349,"Okay","Over-depreciated")</f>
        <v>Over-depreciated</v>
      </c>
      <c r="AA350" s="55" t="str">
        <f>IF(AA333&lt;AA349,"Okay","Over-depreciated")</f>
        <v>Okay</v>
      </c>
      <c r="AC350" s="55" t="str">
        <f>IF(AC333&lt;AC349,"Okay","Over-depreciated")</f>
        <v>Okay</v>
      </c>
      <c r="AF350" s="55" t="str">
        <f>IF(AF333&lt;AF349,"Okay","Over-depreciated")</f>
        <v>Over-depreciated</v>
      </c>
      <c r="AG350" s="55" t="str">
        <f>IF(AG333&lt;AG349,"Okay","Over-depreciated")</f>
        <v>Over-depreciated</v>
      </c>
    </row>
    <row r="351" spans="1:33" x14ac:dyDescent="0.2">
      <c r="A351" s="4"/>
      <c r="B351" s="4" t="s">
        <v>5</v>
      </c>
      <c r="C351" s="4"/>
      <c r="D351" s="4"/>
      <c r="E351" s="4"/>
      <c r="F351" s="4"/>
      <c r="G351" s="4"/>
    </row>
    <row r="353" spans="5:19" x14ac:dyDescent="0.2">
      <c r="E353" s="56">
        <f t="shared" ref="E353:E365" si="11">E318/E$349</f>
        <v>3.7499999999999999E-2</v>
      </c>
    </row>
    <row r="354" spans="5:19" x14ac:dyDescent="0.2">
      <c r="E354" s="56">
        <f t="shared" si="11"/>
        <v>7.219004908641681E-2</v>
      </c>
    </row>
    <row r="355" spans="5:19" x14ac:dyDescent="0.2">
      <c r="E355" s="56">
        <f t="shared" si="11"/>
        <v>6.6669587545788694E-2</v>
      </c>
    </row>
    <row r="356" spans="5:19" x14ac:dyDescent="0.2">
      <c r="E356" s="56">
        <f t="shared" si="11"/>
        <v>6.1770334404148482E-2</v>
      </c>
    </row>
    <row r="357" spans="5:19" x14ac:dyDescent="0.2">
      <c r="E357" s="56">
        <f t="shared" si="11"/>
        <v>5.7129266113473028E-2</v>
      </c>
    </row>
    <row r="358" spans="5:19" x14ac:dyDescent="0.2">
      <c r="E358" s="56">
        <f t="shared" si="11"/>
        <v>5.284965661414822E-2</v>
      </c>
    </row>
    <row r="359" spans="5:19" x14ac:dyDescent="0.2">
      <c r="E359" s="56">
        <f t="shared" si="11"/>
        <v>4.8879868935981112E-2</v>
      </c>
    </row>
    <row r="360" spans="5:19" x14ac:dyDescent="0.2">
      <c r="E360" s="56">
        <f t="shared" si="11"/>
        <v>4.5219903078971703E-2</v>
      </c>
      <c r="S360" s="56">
        <f t="shared" ref="S360:S365" si="12">S325/S$349</f>
        <v>0.51874999936080968</v>
      </c>
    </row>
    <row r="361" spans="5:19" x14ac:dyDescent="0.2">
      <c r="E361" s="56">
        <f t="shared" si="11"/>
        <v>4.462060127339898E-2</v>
      </c>
      <c r="S361" s="56">
        <f t="shared" si="12"/>
        <v>3.6095001479643694E-2</v>
      </c>
    </row>
    <row r="362" spans="5:19" x14ac:dyDescent="0.2">
      <c r="E362" s="56">
        <f t="shared" si="11"/>
        <v>4.4609647976691383E-2</v>
      </c>
      <c r="S362" s="56">
        <f t="shared" si="12"/>
        <v>3.333499255700588E-2</v>
      </c>
    </row>
    <row r="363" spans="5:19" x14ac:dyDescent="0.2">
      <c r="E363" s="56">
        <f t="shared" si="11"/>
        <v>4.462060127339898E-2</v>
      </c>
      <c r="S363" s="56">
        <f t="shared" si="12"/>
        <v>3.0885008061812592E-2</v>
      </c>
    </row>
    <row r="364" spans="5:19" x14ac:dyDescent="0.2">
      <c r="E364" s="56">
        <f t="shared" si="11"/>
        <v>4.4609647976691383E-2</v>
      </c>
      <c r="S364" s="56">
        <f t="shared" si="12"/>
        <v>2.856499715431313E-2</v>
      </c>
    </row>
    <row r="365" spans="5:19" x14ac:dyDescent="0.2">
      <c r="E365" s="56">
        <f t="shared" si="11"/>
        <v>4.462060127339898E-2</v>
      </c>
      <c r="S365" s="56">
        <f t="shared" si="12"/>
        <v>2.6424997902486085E-2</v>
      </c>
    </row>
    <row r="366" spans="5:19" x14ac:dyDescent="0.2">
      <c r="E366" s="56">
        <f>E336/E$349/E298</f>
        <v>4.4609647976691383E-2</v>
      </c>
      <c r="S366" s="56">
        <f>S336/S$349/S298</f>
        <v>2.4439991272342157E-2</v>
      </c>
    </row>
  </sheetData>
  <phoneticPr fontId="7" type="noConversion"/>
  <pageMargins left="0.5" right="0.25" top="1" bottom="0.5" header="0.5" footer="0.5"/>
  <pageSetup scale="70" orientation="landscape" r:id="rId1"/>
  <headerFooter alignWithMargins="0"/>
  <rowBreaks count="4" manualBreakCount="4">
    <brk id="133" min="3" max="35" man="1"/>
    <brk id="191" min="3" max="35" man="1"/>
    <brk id="255" min="3" max="35" man="1"/>
    <brk id="302" min="3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N25"/>
  <sheetViews>
    <sheetView topLeftCell="A9" workbookViewId="0">
      <selection activeCell="N25" sqref="N25"/>
    </sheetView>
  </sheetViews>
  <sheetFormatPr defaultRowHeight="10.199999999999999" x14ac:dyDescent="0.2"/>
  <cols>
    <col min="3" max="3" width="20.85546875" customWidth="1"/>
    <col min="6" max="6" width="15.85546875" customWidth="1"/>
    <col min="7" max="7" width="1.85546875" customWidth="1"/>
    <col min="8" max="8" width="15.85546875" customWidth="1"/>
    <col min="9" max="9" width="1.85546875" customWidth="1"/>
    <col min="10" max="10" width="15.85546875" customWidth="1"/>
    <col min="11" max="11" width="1.85546875" customWidth="1"/>
    <col min="12" max="12" width="15.85546875" customWidth="1"/>
    <col min="13" max="13" width="1.85546875" customWidth="1"/>
    <col min="14" max="14" width="15.85546875" customWidth="1"/>
    <col min="15" max="15" width="1.85546875" customWidth="1"/>
  </cols>
  <sheetData>
    <row r="9" spans="3:14" ht="15.75" customHeight="1" x14ac:dyDescent="0.2">
      <c r="F9" s="89" t="s">
        <v>94</v>
      </c>
      <c r="G9" s="89"/>
      <c r="H9" s="89"/>
      <c r="I9" s="89"/>
      <c r="J9" s="89"/>
      <c r="K9" s="89"/>
      <c r="L9" s="89"/>
      <c r="N9" s="77" t="s">
        <v>97</v>
      </c>
    </row>
    <row r="10" spans="3:14" ht="14.4" x14ac:dyDescent="0.3">
      <c r="C10" s="57"/>
      <c r="D10" s="58"/>
      <c r="F10" s="64" t="s">
        <v>90</v>
      </c>
      <c r="G10" s="1"/>
      <c r="H10" s="64" t="s">
        <v>91</v>
      </c>
      <c r="I10" s="1"/>
      <c r="J10" s="64" t="s">
        <v>92</v>
      </c>
      <c r="K10" s="1"/>
      <c r="L10" s="64" t="s">
        <v>93</v>
      </c>
      <c r="N10" s="76" t="s">
        <v>93</v>
      </c>
    </row>
    <row r="11" spans="3:14" ht="14.4" x14ac:dyDescent="0.3">
      <c r="C11" s="59" t="s">
        <v>5</v>
      </c>
      <c r="D11" s="60"/>
    </row>
    <row r="12" spans="3:14" ht="14.4" x14ac:dyDescent="0.3">
      <c r="C12" s="73" t="s">
        <v>96</v>
      </c>
      <c r="D12" s="86">
        <v>2013</v>
      </c>
      <c r="E12" s="74"/>
      <c r="F12" s="75"/>
      <c r="G12" s="75"/>
      <c r="H12" s="75"/>
      <c r="I12" s="75"/>
      <c r="J12" s="75"/>
      <c r="K12" s="75"/>
      <c r="L12" s="75"/>
      <c r="N12" s="3">
        <f>'2014'!AI38</f>
        <v>-22240298</v>
      </c>
    </row>
    <row r="13" spans="3:14" ht="14.4" x14ac:dyDescent="0.3">
      <c r="C13" s="73"/>
      <c r="D13" s="86"/>
      <c r="E13" s="74"/>
      <c r="F13" s="75"/>
      <c r="G13" s="75"/>
      <c r="H13" s="75"/>
      <c r="I13" s="75"/>
      <c r="J13" s="75"/>
      <c r="K13" s="75"/>
      <c r="L13" s="75"/>
      <c r="N13" s="3"/>
    </row>
    <row r="14" spans="3:14" ht="14.4" x14ac:dyDescent="0.3">
      <c r="C14" s="61" t="s">
        <v>81</v>
      </c>
      <c r="D14" s="87">
        <v>2014</v>
      </c>
      <c r="F14" s="62">
        <f>'2014'!$AI$336/12</f>
        <v>900592.16666666663</v>
      </c>
      <c r="G14" s="3"/>
      <c r="H14" s="63">
        <v>769384.13497225009</v>
      </c>
      <c r="I14" s="3"/>
      <c r="J14" s="3">
        <f t="shared" ref="J14:J25" si="0">H14-F14</f>
        <v>-131208.03169441654</v>
      </c>
      <c r="K14" s="3"/>
      <c r="L14" s="3">
        <f t="shared" ref="L14:L25" si="1">ROUND(J14*0.35,0)</f>
        <v>-45923</v>
      </c>
      <c r="N14" s="3">
        <f>N12+L14</f>
        <v>-22286221</v>
      </c>
    </row>
    <row r="15" spans="3:14" ht="14.4" x14ac:dyDescent="0.3">
      <c r="C15" s="59" t="s">
        <v>82</v>
      </c>
      <c r="D15" s="87">
        <v>2014</v>
      </c>
      <c r="F15" s="62">
        <f>'2014'!$AI$336/12</f>
        <v>900592.16666666663</v>
      </c>
      <c r="G15" s="3"/>
      <c r="H15" s="3">
        <f>H$14</f>
        <v>769384.13497225009</v>
      </c>
      <c r="I15" s="3"/>
      <c r="J15" s="3">
        <f t="shared" si="0"/>
        <v>-131208.03169441654</v>
      </c>
      <c r="K15" s="3"/>
      <c r="L15" s="3">
        <f t="shared" si="1"/>
        <v>-45923</v>
      </c>
      <c r="N15" s="3">
        <f>N14+L15</f>
        <v>-22332144</v>
      </c>
    </row>
    <row r="16" spans="3:14" ht="14.4" x14ac:dyDescent="0.3">
      <c r="C16" s="61" t="s">
        <v>83</v>
      </c>
      <c r="D16" s="87">
        <v>2014</v>
      </c>
      <c r="F16" s="62">
        <f>'2014'!$AI$336/12</f>
        <v>900592.16666666663</v>
      </c>
      <c r="G16" s="3"/>
      <c r="H16" s="3">
        <f t="shared" ref="H16:H25" si="2">H$14</f>
        <v>769384.13497225009</v>
      </c>
      <c r="I16" s="3"/>
      <c r="J16" s="3">
        <f t="shared" si="0"/>
        <v>-131208.03169441654</v>
      </c>
      <c r="K16" s="3"/>
      <c r="L16" s="3">
        <f t="shared" si="1"/>
        <v>-45923</v>
      </c>
      <c r="N16" s="3">
        <f t="shared" ref="N16:N25" si="3">N15+L16</f>
        <v>-22378067</v>
      </c>
    </row>
    <row r="17" spans="3:14" ht="14.4" x14ac:dyDescent="0.3">
      <c r="C17" s="61" t="s">
        <v>84</v>
      </c>
      <c r="D17" s="87">
        <v>2014</v>
      </c>
      <c r="F17" s="62">
        <f>'2014'!$AI$336/12</f>
        <v>900592.16666666663</v>
      </c>
      <c r="G17" s="3"/>
      <c r="H17" s="3">
        <f t="shared" si="2"/>
        <v>769384.13497225009</v>
      </c>
      <c r="I17" s="3"/>
      <c r="J17" s="3">
        <f t="shared" si="0"/>
        <v>-131208.03169441654</v>
      </c>
      <c r="K17" s="3"/>
      <c r="L17" s="3">
        <f t="shared" si="1"/>
        <v>-45923</v>
      </c>
      <c r="N17" s="3">
        <f t="shared" si="3"/>
        <v>-22423990</v>
      </c>
    </row>
    <row r="18" spans="3:14" ht="14.4" x14ac:dyDescent="0.3">
      <c r="C18" s="61" t="s">
        <v>85</v>
      </c>
      <c r="D18" s="87">
        <v>2014</v>
      </c>
      <c r="F18" s="62">
        <f>'2014'!$AI$336/12</f>
        <v>900592.16666666663</v>
      </c>
      <c r="G18" s="3"/>
      <c r="H18" s="3">
        <f t="shared" si="2"/>
        <v>769384.13497225009</v>
      </c>
      <c r="I18" s="3"/>
      <c r="J18" s="3">
        <f t="shared" si="0"/>
        <v>-131208.03169441654</v>
      </c>
      <c r="K18" s="3"/>
      <c r="L18" s="3">
        <f t="shared" si="1"/>
        <v>-45923</v>
      </c>
      <c r="N18" s="3">
        <f t="shared" si="3"/>
        <v>-22469913</v>
      </c>
    </row>
    <row r="19" spans="3:14" ht="14.4" x14ac:dyDescent="0.3">
      <c r="C19" s="61" t="s">
        <v>86</v>
      </c>
      <c r="D19" s="87">
        <v>2014</v>
      </c>
      <c r="F19" s="62">
        <f>'2014'!$AI$336/12</f>
        <v>900592.16666666663</v>
      </c>
      <c r="G19" s="3"/>
      <c r="H19" s="3">
        <f t="shared" si="2"/>
        <v>769384.13497225009</v>
      </c>
      <c r="I19" s="3"/>
      <c r="J19" s="3">
        <f t="shared" si="0"/>
        <v>-131208.03169441654</v>
      </c>
      <c r="K19" s="3"/>
      <c r="L19" s="3">
        <f t="shared" si="1"/>
        <v>-45923</v>
      </c>
      <c r="N19" s="3">
        <f t="shared" si="3"/>
        <v>-22515836</v>
      </c>
    </row>
    <row r="20" spans="3:14" ht="14.4" x14ac:dyDescent="0.3">
      <c r="C20" s="57" t="s">
        <v>87</v>
      </c>
      <c r="D20" s="87">
        <v>2014</v>
      </c>
      <c r="F20" s="62">
        <f>'2014'!$AI$336/12</f>
        <v>900592.16666666663</v>
      </c>
      <c r="G20" s="3"/>
      <c r="H20" s="3">
        <f t="shared" si="2"/>
        <v>769384.13497225009</v>
      </c>
      <c r="I20" s="3"/>
      <c r="J20" s="3">
        <f t="shared" si="0"/>
        <v>-131208.03169441654</v>
      </c>
      <c r="K20" s="3"/>
      <c r="L20" s="3">
        <f t="shared" si="1"/>
        <v>-45923</v>
      </c>
      <c r="N20" s="3">
        <f t="shared" si="3"/>
        <v>-22561759</v>
      </c>
    </row>
    <row r="21" spans="3:14" ht="14.4" x14ac:dyDescent="0.3">
      <c r="C21" s="57" t="s">
        <v>88</v>
      </c>
      <c r="D21" s="87">
        <v>2014</v>
      </c>
      <c r="F21" s="62">
        <f>'2014'!$AI$336/12</f>
        <v>900592.16666666663</v>
      </c>
      <c r="G21" s="3"/>
      <c r="H21" s="3">
        <f t="shared" si="2"/>
        <v>769384.13497225009</v>
      </c>
      <c r="I21" s="3"/>
      <c r="J21" s="3">
        <f t="shared" si="0"/>
        <v>-131208.03169441654</v>
      </c>
      <c r="K21" s="3"/>
      <c r="L21" s="3">
        <f t="shared" si="1"/>
        <v>-45923</v>
      </c>
      <c r="N21" s="3">
        <f t="shared" si="3"/>
        <v>-22607682</v>
      </c>
    </row>
    <row r="22" spans="3:14" ht="14.4" x14ac:dyDescent="0.3">
      <c r="C22" s="57" t="s">
        <v>89</v>
      </c>
      <c r="D22" s="87">
        <v>2014</v>
      </c>
      <c r="F22" s="62">
        <f>'2014'!$AI$336/12</f>
        <v>900592.16666666663</v>
      </c>
      <c r="G22" s="3"/>
      <c r="H22" s="3">
        <f t="shared" si="2"/>
        <v>769384.13497225009</v>
      </c>
      <c r="I22" s="3"/>
      <c r="J22" s="3">
        <f t="shared" si="0"/>
        <v>-131208.03169441654</v>
      </c>
      <c r="K22" s="3"/>
      <c r="L22" s="3">
        <f t="shared" si="1"/>
        <v>-45923</v>
      </c>
      <c r="N22" s="3">
        <f t="shared" si="3"/>
        <v>-22653605</v>
      </c>
    </row>
    <row r="23" spans="3:14" ht="14.4" x14ac:dyDescent="0.3">
      <c r="C23" s="57" t="s">
        <v>78</v>
      </c>
      <c r="D23" s="87">
        <v>2014</v>
      </c>
      <c r="F23" s="62">
        <f>'2014'!$AI$336/12</f>
        <v>900592.16666666663</v>
      </c>
      <c r="G23" s="3"/>
      <c r="H23" s="3">
        <f t="shared" si="2"/>
        <v>769384.13497225009</v>
      </c>
      <c r="I23" s="3"/>
      <c r="J23" s="3">
        <f t="shared" si="0"/>
        <v>-131208.03169441654</v>
      </c>
      <c r="K23" s="3"/>
      <c r="L23" s="3">
        <f t="shared" si="1"/>
        <v>-45923</v>
      </c>
      <c r="N23" s="3">
        <f t="shared" si="3"/>
        <v>-22699528</v>
      </c>
    </row>
    <row r="24" spans="3:14" ht="14.4" x14ac:dyDescent="0.3">
      <c r="C24" s="57" t="s">
        <v>79</v>
      </c>
      <c r="D24" s="87">
        <v>2014</v>
      </c>
      <c r="F24" s="62">
        <f>'2014'!$AI$336/12</f>
        <v>900592.16666666663</v>
      </c>
      <c r="G24" s="3"/>
      <c r="H24" s="3">
        <f t="shared" si="2"/>
        <v>769384.13497225009</v>
      </c>
      <c r="I24" s="3"/>
      <c r="J24" s="3">
        <f t="shared" si="0"/>
        <v>-131208.03169441654</v>
      </c>
      <c r="K24" s="3"/>
      <c r="L24" s="3">
        <f t="shared" si="1"/>
        <v>-45923</v>
      </c>
      <c r="N24" s="3">
        <f t="shared" si="3"/>
        <v>-22745451</v>
      </c>
    </row>
    <row r="25" spans="3:14" ht="14.4" x14ac:dyDescent="0.3">
      <c r="C25" s="78" t="s">
        <v>80</v>
      </c>
      <c r="D25" s="88">
        <v>2014</v>
      </c>
      <c r="E25" s="79"/>
      <c r="F25" s="75">
        <f>'2014'!$AI$336/12</f>
        <v>900592.16666666663</v>
      </c>
      <c r="G25" s="80"/>
      <c r="H25" s="3">
        <f t="shared" si="2"/>
        <v>769384.13497225009</v>
      </c>
      <c r="I25" s="80"/>
      <c r="J25" s="80">
        <f t="shared" si="0"/>
        <v>-131208.03169441654</v>
      </c>
      <c r="K25" s="80"/>
      <c r="L25" s="80">
        <f t="shared" si="1"/>
        <v>-45923</v>
      </c>
      <c r="N25" s="3">
        <f t="shared" si="3"/>
        <v>-22791374</v>
      </c>
    </row>
  </sheetData>
  <mergeCells count="1">
    <mergeCell ref="F9:L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</vt:lpstr>
      <vt:lpstr>ADFIT</vt:lpstr>
      <vt:lpstr>'2014'!Print_Area</vt:lpstr>
      <vt:lpstr>'2014'!Print_Titles</vt:lpstr>
    </vt:vector>
  </TitlesOfParts>
  <Company>AEP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lastModifiedBy>AEP</cp:lastModifiedBy>
  <cp:lastPrinted>2015-02-11T14:16:11Z</cp:lastPrinted>
  <dcterms:created xsi:type="dcterms:W3CDTF">2002-01-18T16:51:34Z</dcterms:created>
  <dcterms:modified xsi:type="dcterms:W3CDTF">2015-02-18T22:21:31Z</dcterms:modified>
</cp:coreProperties>
</file>