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0" yWindow="-75" windowWidth="14475" windowHeight="11700"/>
  </bookViews>
  <sheets>
    <sheet name="Page 1" sheetId="1" r:id="rId1"/>
    <sheet name="Page 2" sheetId="2" r:id="rId2"/>
    <sheet name="Page 3" sheetId="5" r:id="rId3"/>
    <sheet name="Page 4" sheetId="4" r:id="rId4"/>
    <sheet name="Page 5" sheetId="3" r:id="rId5"/>
    <sheet name="Allocation Factors - Page 1" sheetId="8" r:id="rId6"/>
    <sheet name="Allocation Factors - Page 2" sheetId="7" r:id="rId7"/>
  </sheets>
  <calcPr calcId="145621"/>
</workbook>
</file>

<file path=xl/calcChain.xml><?xml version="1.0" encoding="utf-8"?>
<calcChain xmlns="http://schemas.openxmlformats.org/spreadsheetml/2006/main">
  <c r="H13" i="7" l="1"/>
  <c r="G13" i="7"/>
  <c r="H12" i="7"/>
  <c r="G12" i="7"/>
  <c r="H11" i="7"/>
  <c r="G11" i="7"/>
  <c r="H10" i="7"/>
  <c r="G10" i="7"/>
  <c r="H9" i="7"/>
  <c r="G9" i="7"/>
  <c r="H8" i="7"/>
  <c r="G8" i="7"/>
  <c r="H7" i="7"/>
  <c r="G7" i="7"/>
  <c r="G17" i="1" l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E17" i="8"/>
  <c r="C17" i="8"/>
  <c r="E15" i="8"/>
  <c r="C15" i="8"/>
  <c r="H14" i="8"/>
  <c r="E14" i="8"/>
  <c r="C14" i="8"/>
  <c r="E13" i="8"/>
  <c r="C13" i="8"/>
  <c r="G13" i="8" s="1"/>
  <c r="H13" i="8" s="1"/>
  <c r="E12" i="8"/>
  <c r="C12" i="8"/>
  <c r="G12" i="8" s="1"/>
  <c r="H12" i="8" s="1"/>
  <c r="E11" i="8"/>
  <c r="C11" i="8"/>
  <c r="G11" i="8" s="1"/>
  <c r="H11" i="8" s="1"/>
  <c r="E10" i="8"/>
  <c r="C10" i="8"/>
  <c r="G10" i="8" s="1"/>
  <c r="H10" i="8" s="1"/>
  <c r="E9" i="8"/>
  <c r="C9" i="8"/>
  <c r="G9" i="8" s="1"/>
  <c r="H9" i="8" s="1"/>
  <c r="E8" i="8"/>
  <c r="C8" i="8"/>
  <c r="G8" i="8" s="1"/>
  <c r="H8" i="8" s="1"/>
  <c r="E7" i="8"/>
  <c r="C7" i="8"/>
  <c r="G7" i="8" s="1"/>
  <c r="H7" i="8" s="1"/>
  <c r="G18" i="2" l="1"/>
  <c r="H18" i="2" l="1"/>
  <c r="H11" i="2" l="1"/>
  <c r="G11" i="2"/>
  <c r="H15" i="2"/>
  <c r="G15" i="2"/>
  <c r="H12" i="2"/>
  <c r="G12" i="2"/>
  <c r="H16" i="2"/>
  <c r="G16" i="2"/>
  <c r="H13" i="2"/>
  <c r="G13" i="2"/>
  <c r="H17" i="2"/>
  <c r="G17" i="2"/>
  <c r="H14" i="2"/>
  <c r="G14" i="2"/>
  <c r="J39" i="2"/>
  <c r="J37" i="2"/>
  <c r="J36" i="2"/>
  <c r="J35" i="2"/>
  <c r="J34" i="2"/>
  <c r="J33" i="2"/>
  <c r="J32" i="2"/>
  <c r="J31" i="2"/>
  <c r="J30" i="2"/>
  <c r="D20" i="2" l="1"/>
  <c r="B39" i="2" l="1"/>
  <c r="E36" i="2"/>
  <c r="I36" i="2"/>
  <c r="G44" i="1" l="1"/>
  <c r="F44" i="1"/>
  <c r="E44" i="1"/>
  <c r="D44" i="1"/>
  <c r="C44" i="1"/>
  <c r="B44" i="1"/>
  <c r="J44" i="1" l="1"/>
  <c r="M21" i="1" l="1"/>
  <c r="L21" i="1"/>
  <c r="C21" i="1"/>
  <c r="D21" i="1"/>
  <c r="E21" i="1"/>
  <c r="H21" i="1"/>
  <c r="I21" i="1"/>
  <c r="B21" i="1"/>
  <c r="G18" i="1" l="1"/>
  <c r="E35" i="2" l="1"/>
  <c r="C20" i="2"/>
  <c r="B20" i="2"/>
  <c r="I35" i="2" l="1"/>
  <c r="F21" i="1" l="1"/>
  <c r="J46" i="1" l="1"/>
  <c r="F22" i="3" l="1"/>
  <c r="C39" i="2" l="1"/>
  <c r="D39" i="2"/>
  <c r="B1" i="3" l="1"/>
  <c r="B1" i="4"/>
  <c r="B1" i="5"/>
  <c r="B1" i="2"/>
  <c r="I32" i="2"/>
  <c r="I33" i="2"/>
  <c r="I34" i="2"/>
  <c r="I37" i="2"/>
  <c r="E30" i="2"/>
  <c r="E31" i="2"/>
  <c r="E32" i="2"/>
  <c r="E33" i="2"/>
  <c r="E34" i="2"/>
  <c r="E37" i="2"/>
  <c r="E29" i="2"/>
  <c r="E12" i="2"/>
  <c r="E15" i="2"/>
  <c r="E13" i="2"/>
  <c r="E14" i="2"/>
  <c r="E16" i="2"/>
  <c r="E17" i="2"/>
  <c r="E18" i="2"/>
  <c r="E11" i="2"/>
  <c r="I13" i="2"/>
  <c r="J13" i="2" s="1"/>
  <c r="I15" i="2"/>
  <c r="J15" i="2" s="1"/>
  <c r="I11" i="2"/>
  <c r="I12" i="2"/>
  <c r="J12" i="2" s="1"/>
  <c r="I18" i="2"/>
  <c r="J18" i="2" s="1"/>
  <c r="K18" i="2"/>
  <c r="K11" i="2"/>
  <c r="K15" i="2"/>
  <c r="K13" i="2"/>
  <c r="K14" i="2"/>
  <c r="K17" i="2"/>
  <c r="K12" i="2"/>
  <c r="K16" i="2"/>
  <c r="I14" i="2"/>
  <c r="I17" i="2"/>
  <c r="J17" i="2" s="1"/>
  <c r="I16" i="2"/>
  <c r="J16" i="2" s="1"/>
  <c r="D41" i="2"/>
  <c r="C41" i="2"/>
  <c r="B41" i="2"/>
  <c r="G29" i="2"/>
  <c r="I29" i="2" s="1"/>
  <c r="J29" i="2" s="1"/>
  <c r="G30" i="2"/>
  <c r="I30" i="2" s="1"/>
  <c r="G31" i="2"/>
  <c r="I31" i="2" s="1"/>
  <c r="I22" i="3"/>
  <c r="I18" i="3"/>
  <c r="I15" i="3"/>
  <c r="A50" i="1"/>
  <c r="L25" i="3"/>
  <c r="B3" i="4"/>
  <c r="B3" i="3" s="1"/>
  <c r="E36" i="1"/>
  <c r="F36" i="1" s="1"/>
  <c r="G36" i="1" s="1"/>
  <c r="B36" i="1"/>
  <c r="C36" i="1" s="1"/>
  <c r="D36" i="1" s="1"/>
  <c r="H9" i="1"/>
  <c r="I9" i="1" s="1"/>
  <c r="A51" i="1"/>
  <c r="C9" i="1"/>
  <c r="D9" i="1" s="1"/>
  <c r="H37" i="3"/>
  <c r="H34" i="3"/>
  <c r="J22" i="2" s="1"/>
  <c r="J26" i="2"/>
  <c r="I27" i="2"/>
  <c r="I28" i="3"/>
  <c r="E20" i="2" l="1"/>
  <c r="D20" i="5"/>
  <c r="G22" i="3"/>
  <c r="H39" i="3"/>
  <c r="B22" i="2" s="1"/>
  <c r="K22" i="2"/>
  <c r="K20" i="2"/>
  <c r="G28" i="3" s="1"/>
  <c r="J14" i="2"/>
  <c r="I20" i="2"/>
  <c r="E39" i="2"/>
  <c r="N21" i="1"/>
  <c r="J11" i="2"/>
  <c r="I39" i="2"/>
  <c r="G21" i="1"/>
  <c r="D23" i="5" l="1"/>
  <c r="J20" i="2"/>
  <c r="G15" i="3" s="1"/>
  <c r="O21" i="1"/>
  <c r="F15" i="3" s="1"/>
  <c r="E41" i="2"/>
  <c r="F28" i="3"/>
  <c r="H28" i="3" s="1"/>
  <c r="K28" i="3" s="1"/>
  <c r="G18" i="3"/>
  <c r="D17" i="5"/>
  <c r="D14" i="5" l="1"/>
  <c r="H15" i="3"/>
  <c r="K15" i="3" s="1"/>
  <c r="F18" i="3"/>
  <c r="H18" i="3" s="1"/>
  <c r="K18" i="3" l="1"/>
  <c r="H22" i="3"/>
  <c r="K22" i="3" s="1"/>
  <c r="H30" i="3" l="1"/>
  <c r="H41" i="3" s="1"/>
  <c r="K25" i="3"/>
</calcChain>
</file>

<file path=xl/sharedStrings.xml><?xml version="1.0" encoding="utf-8"?>
<sst xmlns="http://schemas.openxmlformats.org/spreadsheetml/2006/main" count="276" uniqueCount="177">
  <si>
    <t xml:space="preserve">                      Kentucky DSM Rider</t>
  </si>
  <si>
    <t>Comparison of Revenue Requirement to Rider Recovery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</si>
  <si>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</si>
  <si>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</si>
  <si>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</si>
  <si>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</si>
  <si>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</si>
  <si>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</si>
  <si>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</si>
  <si>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</si>
  <si>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</si>
  <si>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</si>
  <si>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Projected Program Costs</t>
  </si>
  <si>
    <t>Program Expenditures</t>
  </si>
  <si>
    <t xml:space="preserve">         Rider Collection (F)</t>
  </si>
  <si>
    <t>(Over)/Under Collection</t>
  </si>
  <si>
    <t>Gas</t>
  </si>
  <si>
    <t>Electric</t>
  </si>
  <si>
    <t>Gas (G)</t>
  </si>
  <si>
    <t>Electric (H)</t>
  </si>
  <si>
    <t>NA</t>
  </si>
  <si>
    <t>Power Manager</t>
  </si>
  <si>
    <t>Residential Programs</t>
  </si>
  <si>
    <t>Gas (D)</t>
  </si>
  <si>
    <t>Electric (E)</t>
  </si>
  <si>
    <t>Commercial Programs</t>
  </si>
  <si>
    <t>Rider</t>
  </si>
  <si>
    <t>Reconciliation (C)</t>
  </si>
  <si>
    <t>Collection (D)</t>
  </si>
  <si>
    <t>Lost</t>
  </si>
  <si>
    <t>Shared</t>
  </si>
  <si>
    <t>Costs</t>
  </si>
  <si>
    <t>Revenues</t>
  </si>
  <si>
    <t>Savings</t>
  </si>
  <si>
    <t>Total</t>
  </si>
  <si>
    <t>Total Costs, Net Lost Revenues, Shared Savings</t>
  </si>
  <si>
    <t>Allocations</t>
  </si>
  <si>
    <t>Program</t>
  </si>
  <si>
    <t>Costs (A)</t>
  </si>
  <si>
    <t>Electric Rider DSM</t>
  </si>
  <si>
    <t>Residential Rate RS</t>
  </si>
  <si>
    <t>DS, DP, DT, GS-FL, EH &amp; SP</t>
  </si>
  <si>
    <t>Gas Rider DSM</t>
  </si>
  <si>
    <t>Summary of Billing Determinants</t>
  </si>
  <si>
    <t xml:space="preserve">Year </t>
  </si>
  <si>
    <t>Rates RS</t>
  </si>
  <si>
    <t>Rates DS, DP, DT,</t>
  </si>
  <si>
    <t>GS-FL, EH, &amp; SP</t>
  </si>
  <si>
    <t>Rate RS</t>
  </si>
  <si>
    <t>Summary of Calculations</t>
  </si>
  <si>
    <t>Expected</t>
  </si>
  <si>
    <t>Total DSM</t>
  </si>
  <si>
    <t>Estimated</t>
  </si>
  <si>
    <t>Rate Schedule</t>
  </si>
  <si>
    <t>True-Up</t>
  </si>
  <si>
    <t>Revenue</t>
  </si>
  <si>
    <t>Billing</t>
  </si>
  <si>
    <t>DSM Cost</t>
  </si>
  <si>
    <t>Requirements</t>
  </si>
  <si>
    <t>$/kWh</t>
  </si>
  <si>
    <t>Total Recovery</t>
  </si>
  <si>
    <t>Amount (A)</t>
  </si>
  <si>
    <t>Costs (B)</t>
  </si>
  <si>
    <t>Determinants (C)</t>
  </si>
  <si>
    <t>Allocation of Costs</t>
  </si>
  <si>
    <t>Electric Costs</t>
  </si>
  <si>
    <t>Gas Costs</t>
  </si>
  <si>
    <t>Projected Lost Revenues</t>
  </si>
  <si>
    <t>Projected Shared Savings</t>
  </si>
  <si>
    <t>Lost Revenues</t>
  </si>
  <si>
    <t>Shared Savings</t>
  </si>
  <si>
    <t>(11)</t>
  </si>
  <si>
    <t>(12)</t>
  </si>
  <si>
    <t>(13)</t>
  </si>
  <si>
    <t>(14)</t>
  </si>
  <si>
    <t>(G) Column (5) + Column (9) - Column(11).</t>
  </si>
  <si>
    <t>(H) Column (6) + Column (7) + Column (8) + Column (10) - Column(12).</t>
  </si>
  <si>
    <t>Collection (E)</t>
  </si>
  <si>
    <t>(E) Column (4) + Column (5) + Column (6) + Column (7) - Column (8)</t>
  </si>
  <si>
    <t>Demand Side Management Cost Recovery Rider (DSMR)</t>
  </si>
  <si>
    <t>Recovery Rider (DSMR)</t>
  </si>
  <si>
    <t>Budget (Costs, Lost Revenues, &amp; Shared Savings)</t>
  </si>
  <si>
    <t>Total Rider Recovery</t>
  </si>
  <si>
    <t>Electric No.4</t>
  </si>
  <si>
    <t>Gas No. 5</t>
  </si>
  <si>
    <t>Number of Customers</t>
  </si>
  <si>
    <t>Annual Revenues</t>
  </si>
  <si>
    <t>Riders</t>
  </si>
  <si>
    <t>Total Customer Charge Revenues</t>
  </si>
  <si>
    <t>Monthly Customer Charge</t>
  </si>
  <si>
    <t>Duke Energy Kentucky</t>
  </si>
  <si>
    <t>GS-FL, EH, SP, &amp; TT</t>
  </si>
  <si>
    <t>TT</t>
  </si>
  <si>
    <t>Distribution Level Rates Part A</t>
  </si>
  <si>
    <t>Distribution Level Rates Part B</t>
  </si>
  <si>
    <t>Transmission Level Rates &amp;</t>
  </si>
  <si>
    <t>Distribution Level Rates Total</t>
  </si>
  <si>
    <t>Total Program</t>
  </si>
  <si>
    <t>Customer Charge for HEA Program</t>
  </si>
  <si>
    <t>Projected Annual Electric Sales kWH</t>
  </si>
  <si>
    <t>Projected Annual Gas Sales CCF</t>
  </si>
  <si>
    <t>kWh</t>
  </si>
  <si>
    <t>CCF</t>
  </si>
  <si>
    <t>$/CCF</t>
  </si>
  <si>
    <t>Summary of Calculations for Programs</t>
  </si>
  <si>
    <t>(B) Appendix B, page 2.</t>
  </si>
  <si>
    <t>(C) Appendix B, page 4.</t>
  </si>
  <si>
    <t xml:space="preserve">                 Program Expenditures (C)</t>
  </si>
  <si>
    <t>Residential Smart $aver®</t>
  </si>
  <si>
    <t>Appliance Recycling Program</t>
  </si>
  <si>
    <t>Energy Efficiency Education Program for Schools</t>
  </si>
  <si>
    <t>My Home Energy Report</t>
  </si>
  <si>
    <t>Low Income Neighborhood</t>
  </si>
  <si>
    <t>Low Income Services</t>
  </si>
  <si>
    <t>Residential Energy Assessments</t>
  </si>
  <si>
    <t>Smart $aver® Custom</t>
  </si>
  <si>
    <t>Smart $aver® Prescriptive - Energy Star Food Service Products</t>
  </si>
  <si>
    <t>Smart $aver® Prescriptive - HVAC</t>
  </si>
  <si>
    <t>Smart $aver® Prescriptive - Lighting</t>
  </si>
  <si>
    <t>Smart $aver® Prescriptive - Motors/Pumps/VFD</t>
  </si>
  <si>
    <t>Smart $aver® Prescriptive - Process Equipment</t>
  </si>
  <si>
    <t>Power Share®</t>
  </si>
  <si>
    <t>(Over)/Under</t>
  </si>
  <si>
    <t>(A) (Over)/Under of Appendix B page 1 multiplied by the average three-month commercial paper rate for 2013 to include interest on over or under-recovery in accordance with the Commission's order in Case No. 95-312. Value is:</t>
  </si>
  <si>
    <t>July 2014 to June 2015</t>
  </si>
  <si>
    <t>(C) Allocation of program expenditures to gas and electric.  Uses 63.5% gas based upon saturation of gas space heating.</t>
  </si>
  <si>
    <t>Personal Energy Report Program (I)</t>
  </si>
  <si>
    <t>Residential Program Summary (A)</t>
  </si>
  <si>
    <t>NonResidential Program Summary (A)</t>
  </si>
  <si>
    <t xml:space="preserve">Smart $aver® Prescriptive - Energy Star Food Service Products (B) </t>
  </si>
  <si>
    <t xml:space="preserve">(A) Costs, Lost Revenues (for this period and from prior period DSM measure installations), and Shared Savings for Year 3 of portfolio approved in Case No. 2012-00085 </t>
  </si>
  <si>
    <t>Home Energy Assistance Pilot Program</t>
  </si>
  <si>
    <t>(J) Revenues and expenses for the Home Energy Assistance Pilot Program.</t>
  </si>
  <si>
    <t>Home Energy Assistance Pilot Program (J)</t>
  </si>
  <si>
    <t>Revenues collected except for HEA</t>
  </si>
  <si>
    <t>(A) Amounts identified in report filed in Case No. 2012-00085.</t>
  </si>
  <si>
    <t>(D) Recovery allowed in accordance with the Commission's Order in Case No. 2012-00085.</t>
  </si>
  <si>
    <t>(E) Recovery allowed in accordance with the Commission's Order in Case No. 2012-00085.</t>
  </si>
  <si>
    <t>7/2013 to 6/2014 (A)</t>
  </si>
  <si>
    <t>7/2013 to 6/2014 (B)</t>
  </si>
  <si>
    <t xml:space="preserve">          2013 Reconciliation</t>
  </si>
  <si>
    <t>(B) Actual program expenditures, lost revenues (for this period and from prior period DSM measure installations), and shared savings for the period July 1, 2013 through June 30, 2014.</t>
  </si>
  <si>
    <t>(F) Revenues collected through the DSM Rider between July 1, 2013 and June 30, 2014.</t>
  </si>
  <si>
    <t>(D) Revenues collected through the DSM Rider between July 1, 2013 and June 30, 2014.</t>
  </si>
  <si>
    <t>(C) Recovery allowed in accordance with the Commission's Order in Case No. 2012-00085</t>
  </si>
  <si>
    <t>(I) Personalized Energy Report is a legacy program which continues to collect lost revenues.</t>
  </si>
  <si>
    <t>Smart $aver® Prescriptive - IT</t>
  </si>
  <si>
    <t xml:space="preserve">2015-2016 Projected Program Costs, Lost Revenues, and Shared Savings </t>
  </si>
  <si>
    <t>July 2015 to June 2016</t>
  </si>
  <si>
    <t>(F) Discontinued pilot program does not receive cost recovery</t>
  </si>
  <si>
    <t>Energy Management and Information Services (F)</t>
  </si>
  <si>
    <t>(A) See Appendix B, page 2 of 5.</t>
  </si>
  <si>
    <t xml:space="preserve">Smart $aver® Prescriptive - HVAC  </t>
  </si>
  <si>
    <t xml:space="preserve">Smart $aver® Prescriptive - Lighting </t>
  </si>
  <si>
    <t xml:space="preserve">Smart $aver® Prescriptive - IT </t>
  </si>
  <si>
    <t>My Home Energy Report(B)</t>
  </si>
  <si>
    <t xml:space="preserve">Residential Smart $aver® (B) </t>
  </si>
  <si>
    <t>(B) Includes new measures filed in Case No. 2014-00280</t>
  </si>
  <si>
    <t>Small Business Energy Saver(C)</t>
  </si>
  <si>
    <t>(C) New program filed in Case No. 2014-00280</t>
  </si>
  <si>
    <t>Load Impacts Net of Free Riders at Meter</t>
  </si>
  <si>
    <t>ccf</t>
  </si>
  <si>
    <t>My Home Energy Report**</t>
  </si>
  <si>
    <t>Power Manager***</t>
  </si>
  <si>
    <t>Total Residential</t>
  </si>
  <si>
    <t>% of Total Res Sales</t>
  </si>
  <si>
    <t>Total Residential (Rate RS) Sales</t>
  </si>
  <si>
    <t>Elec % of Total % of Sales</t>
  </si>
  <si>
    <t>Gas % of Total % of Sales</t>
  </si>
  <si>
    <t>Allocation Factors Based on 2015-2016 Projection</t>
  </si>
  <si>
    <t>Projected</t>
  </si>
  <si>
    <t>Allocation Factors based on July 2015-16 Proj.</t>
  </si>
  <si>
    <t>Summary of Load Impacts July 2015 Through June 2016</t>
  </si>
  <si>
    <t>Allocation Factors Based on Response to Staff-DR-01-001b and Staff-DR-02-002</t>
  </si>
  <si>
    <t>Summary of Load Impacts July 2013 Through June 2014*</t>
  </si>
  <si>
    <t>Allocation Factors based on July 2013-June 2014</t>
  </si>
  <si>
    <t>For July 2013 Through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</si>
</sst>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00000_);_(&quot;$&quot;* \(#,##0.000000\);_(&quot;$&quot;* &quot;-&quot;??_);_(@_)"/>
    <numFmt numFmtId="168" formatCode="0.000000"/>
    <numFmt numFmtId="169" formatCode="0.0000%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theme="4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</cellStyleXfs>
  <cellXfs count="123">
    <xf numFmtId="0" fontId="0" fillId="0" borderId="0" xfId="0"/>
    <xf numFmtId="0" fontId="0" fillId="0" borderId="0" xfId="0" applyFill="1" applyBorder="1"/>
    <xf numFmtId="164" fontId="0" fillId="0" borderId="0" xfId="2" applyNumberFormat="1" applyFont="1" applyFill="1"/>
    <xf numFmtId="164" fontId="0" fillId="0" borderId="0" xfId="0" applyNumberFormat="1" applyFill="1"/>
    <xf numFmtId="0" fontId="0" fillId="0" borderId="0" xfId="0" applyFill="1"/>
    <xf numFmtId="164" fontId="0" fillId="0" borderId="0" xfId="0" applyNumberFormat="1" applyFill="1" applyBorder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1" xfId="0" applyFill="1" applyBorder="1"/>
    <xf numFmtId="164" fontId="0" fillId="0" borderId="0" xfId="2" applyNumberFormat="1" applyFont="1" applyFill="1" applyBorder="1"/>
    <xf numFmtId="49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9" fillId="0" borderId="0" xfId="0" applyNumberFormat="1" applyFont="1" applyFill="1"/>
    <xf numFmtId="0" fontId="9" fillId="0" borderId="0" xfId="0" quotePrefix="1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0" xfId="2" applyNumberFormat="1" applyFont="1" applyFill="1" applyAlignment="1"/>
    <xf numFmtId="164" fontId="0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/>
    <xf numFmtId="0" fontId="4" fillId="0" borderId="0" xfId="0" applyFont="1" applyFill="1"/>
    <xf numFmtId="165" fontId="0" fillId="0" borderId="0" xfId="3" applyNumberFormat="1" applyFont="1" applyFill="1"/>
    <xf numFmtId="164" fontId="10" fillId="0" borderId="0" xfId="2" applyNumberFormat="1" applyFont="1" applyFill="1"/>
    <xf numFmtId="167" fontId="0" fillId="0" borderId="0" xfId="2" applyNumberFormat="1" applyFont="1" applyFill="1"/>
    <xf numFmtId="167" fontId="4" fillId="0" borderId="0" xfId="2" applyNumberFormat="1" applyFont="1" applyFill="1"/>
    <xf numFmtId="167" fontId="10" fillId="0" borderId="0" xfId="2" applyNumberFormat="1" applyFont="1" applyFill="1"/>
    <xf numFmtId="44" fontId="0" fillId="0" borderId="0" xfId="2" applyFont="1" applyFill="1"/>
    <xf numFmtId="0" fontId="4" fillId="0" borderId="0" xfId="0" applyFont="1" applyFill="1" applyBorder="1"/>
    <xf numFmtId="164" fontId="4" fillId="0" borderId="0" xfId="2" applyNumberFormat="1" applyFont="1" applyFill="1"/>
    <xf numFmtId="0" fontId="4" fillId="0" borderId="0" xfId="0" applyFont="1" applyFill="1" applyAlignment="1">
      <alignment horizontal="right"/>
    </xf>
    <xf numFmtId="164" fontId="7" fillId="0" borderId="0" xfId="2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7" fillId="0" borderId="0" xfId="2" applyNumberFormat="1" applyFont="1" applyFill="1"/>
    <xf numFmtId="0" fontId="8" fillId="0" borderId="0" xfId="0" applyFont="1" applyFill="1"/>
    <xf numFmtId="43" fontId="0" fillId="0" borderId="0" xfId="0" applyNumberFormat="1" applyFill="1"/>
    <xf numFmtId="0" fontId="6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3" xfId="0" applyFill="1" applyBorder="1"/>
    <xf numFmtId="164" fontId="0" fillId="0" borderId="3" xfId="0" applyNumberFormat="1" applyFill="1" applyBorder="1"/>
    <xf numFmtId="164" fontId="0" fillId="0" borderId="3" xfId="2" applyNumberFormat="1" applyFont="1" applyFill="1" applyBorder="1"/>
    <xf numFmtId="164" fontId="12" fillId="0" borderId="0" xfId="2" applyNumberFormat="1" applyFont="1" applyFill="1" applyBorder="1"/>
    <xf numFmtId="0" fontId="4" fillId="0" borderId="3" xfId="0" applyFont="1" applyFill="1" applyBorder="1"/>
    <xf numFmtId="164" fontId="10" fillId="0" borderId="3" xfId="2" applyNumberFormat="1" applyFont="1" applyFill="1" applyBorder="1" applyAlignment="1">
      <alignment horizontal="left"/>
    </xf>
    <xf numFmtId="164" fontId="12" fillId="0" borderId="3" xfId="2" applyNumberFormat="1" applyFont="1" applyFill="1" applyBorder="1"/>
    <xf numFmtId="0" fontId="0" fillId="0" borderId="0" xfId="0" applyFill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166" fontId="4" fillId="0" borderId="0" xfId="1" applyNumberFormat="1" applyFont="1" applyFill="1"/>
    <xf numFmtId="0" fontId="0" fillId="0" borderId="0" xfId="0" applyFill="1" applyAlignment="1">
      <alignment horizontal="center"/>
    </xf>
    <xf numFmtId="164" fontId="4" fillId="0" borderId="3" xfId="0" applyNumberFormat="1" applyFont="1" applyFill="1" applyBorder="1"/>
    <xf numFmtId="164" fontId="4" fillId="0" borderId="3" xfId="2" applyNumberFormat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164" fontId="4" fillId="0" borderId="0" xfId="0" applyNumberFormat="1" applyFont="1" applyFill="1"/>
    <xf numFmtId="164" fontId="4" fillId="0" borderId="0" xfId="2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164" fontId="4" fillId="0" borderId="0" xfId="2" applyNumberFormat="1" applyFont="1" applyFill="1" applyBorder="1"/>
    <xf numFmtId="164" fontId="4" fillId="0" borderId="3" xfId="2" applyNumberFormat="1" applyFont="1" applyFill="1" applyBorder="1"/>
    <xf numFmtId="0" fontId="4" fillId="0" borderId="0" xfId="0" applyFont="1" applyFill="1" applyAlignment="1">
      <alignment horizontal="center"/>
    </xf>
    <xf numFmtId="0" fontId="3" fillId="0" borderId="0" xfId="0" applyFont="1"/>
    <xf numFmtId="0" fontId="14" fillId="0" borderId="0" xfId="0" applyFont="1"/>
    <xf numFmtId="0" fontId="13" fillId="0" borderId="0" xfId="0" applyFont="1"/>
    <xf numFmtId="166" fontId="14" fillId="0" borderId="4" xfId="4" applyNumberFormat="1" applyFont="1" applyBorder="1"/>
    <xf numFmtId="166" fontId="13" fillId="0" borderId="7" xfId="0" applyNumberFormat="1" applyFont="1" applyBorder="1"/>
    <xf numFmtId="169" fontId="14" fillId="0" borderId="4" xfId="3" applyNumberFormat="1" applyFont="1" applyBorder="1"/>
    <xf numFmtId="169" fontId="13" fillId="0" borderId="7" xfId="3" applyNumberFormat="1" applyFont="1" applyBorder="1"/>
    <xf numFmtId="0" fontId="13" fillId="0" borderId="0" xfId="0" applyFont="1" applyBorder="1"/>
    <xf numFmtId="166" fontId="13" fillId="0" borderId="0" xfId="0" applyNumberFormat="1" applyFont="1" applyBorder="1"/>
    <xf numFmtId="9" fontId="13" fillId="0" borderId="0" xfId="3" applyFont="1" applyBorder="1"/>
    <xf numFmtId="0" fontId="4" fillId="0" borderId="0" xfId="0" applyFont="1"/>
    <xf numFmtId="9" fontId="0" fillId="0" borderId="0" xfId="0" applyNumberFormat="1"/>
    <xf numFmtId="165" fontId="0" fillId="2" borderId="0" xfId="3" applyNumberFormat="1" applyFont="1" applyFill="1"/>
    <xf numFmtId="0" fontId="13" fillId="0" borderId="0" xfId="0" applyFont="1" applyAlignment="1"/>
    <xf numFmtId="0" fontId="16" fillId="0" borderId="6" xfId="0" applyFont="1" applyBorder="1" applyAlignment="1">
      <alignment horizontal="center" wrapText="1"/>
    </xf>
    <xf numFmtId="0" fontId="13" fillId="0" borderId="10" xfId="0" applyFont="1" applyBorder="1" applyAlignment="1">
      <alignment wrapText="1"/>
    </xf>
    <xf numFmtId="0" fontId="16" fillId="0" borderId="4" xfId="0" applyFont="1" applyBorder="1" applyAlignment="1">
      <alignment horizontal="center" wrapText="1"/>
    </xf>
    <xf numFmtId="0" fontId="0" fillId="0" borderId="0" xfId="0" applyBorder="1"/>
    <xf numFmtId="0" fontId="16" fillId="0" borderId="0" xfId="0" applyFont="1" applyFill="1" applyBorder="1" applyAlignment="1">
      <alignment horizontal="center" wrapText="1"/>
    </xf>
    <xf numFmtId="0" fontId="2" fillId="0" borderId="10" xfId="0" applyFont="1" applyBorder="1"/>
    <xf numFmtId="0" fontId="13" fillId="0" borderId="11" xfId="0" applyFont="1" applyBorder="1"/>
    <xf numFmtId="0" fontId="13" fillId="0" borderId="10" xfId="0" applyFont="1" applyBorder="1"/>
    <xf numFmtId="0" fontId="14" fillId="0" borderId="0" xfId="0" applyFont="1" applyBorder="1"/>
    <xf numFmtId="0" fontId="2" fillId="0" borderId="0" xfId="0" applyFont="1" applyBorder="1"/>
    <xf numFmtId="0" fontId="17" fillId="0" borderId="5" xfId="0" applyFont="1" applyBorder="1" applyAlignment="1">
      <alignment horizontal="center" wrapText="1"/>
    </xf>
    <xf numFmtId="166" fontId="2" fillId="0" borderId="5" xfId="1" applyNumberFormat="1" applyFont="1" applyBorder="1"/>
    <xf numFmtId="166" fontId="13" fillId="0" borderId="12" xfId="0" applyNumberFormat="1" applyFont="1" applyBorder="1"/>
    <xf numFmtId="0" fontId="4" fillId="0" borderId="0" xfId="5" applyFont="1"/>
    <xf numFmtId="0" fontId="4" fillId="0" borderId="0" xfId="5"/>
    <xf numFmtId="0" fontId="1" fillId="0" borderId="0" xfId="5" applyFont="1"/>
    <xf numFmtId="0" fontId="14" fillId="0" borderId="0" xfId="5" applyFont="1"/>
    <xf numFmtId="0" fontId="13" fillId="0" borderId="0" xfId="5" applyFont="1"/>
    <xf numFmtId="0" fontId="15" fillId="0" borderId="5" xfId="5" applyFont="1" applyBorder="1" applyAlignment="1"/>
    <xf numFmtId="0" fontId="15" fillId="0" borderId="0" xfId="5" applyFont="1" applyBorder="1" applyAlignment="1"/>
    <xf numFmtId="0" fontId="16" fillId="0" borderId="4" xfId="5" applyFont="1" applyBorder="1" applyAlignment="1">
      <alignment horizontal="center"/>
    </xf>
    <xf numFmtId="0" fontId="16" fillId="0" borderId="6" xfId="5" applyFont="1" applyBorder="1" applyAlignment="1">
      <alignment horizontal="center" wrapText="1"/>
    </xf>
    <xf numFmtId="0" fontId="17" fillId="0" borderId="4" xfId="5" applyFont="1" applyBorder="1" applyAlignment="1">
      <alignment horizontal="center"/>
    </xf>
    <xf numFmtId="0" fontId="16" fillId="0" borderId="0" xfId="5" applyFont="1" applyFill="1" applyBorder="1" applyAlignment="1">
      <alignment horizontal="center"/>
    </xf>
    <xf numFmtId="166" fontId="1" fillId="0" borderId="4" xfId="1" applyNumberFormat="1" applyFont="1" applyBorder="1"/>
    <xf numFmtId="9" fontId="4" fillId="0" borderId="0" xfId="5" applyNumberFormat="1"/>
    <xf numFmtId="0" fontId="13" fillId="0" borderId="2" xfId="5" applyFont="1" applyBorder="1"/>
    <xf numFmtId="166" fontId="13" fillId="0" borderId="7" xfId="5" applyNumberFormat="1" applyFont="1" applyBorder="1"/>
    <xf numFmtId="0" fontId="13" fillId="0" borderId="0" xfId="5" applyFont="1" applyBorder="1"/>
    <xf numFmtId="166" fontId="13" fillId="0" borderId="0" xfId="5" applyNumberFormat="1" applyFont="1" applyBorder="1"/>
    <xf numFmtId="164" fontId="0" fillId="2" borderId="0" xfId="2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13" fillId="0" borderId="0" xfId="5" applyFont="1" applyAlignment="1">
      <alignment horizontal="center"/>
    </xf>
    <xf numFmtId="0" fontId="4" fillId="2" borderId="8" xfId="5" applyFont="1" applyFill="1" applyBorder="1" applyAlignment="1">
      <alignment horizontal="center"/>
    </xf>
    <xf numFmtId="0" fontId="4" fillId="2" borderId="9" xfId="5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Comma" xfId="1" builtinId="3"/>
    <cellStyle name="Comma 2" xfId="4"/>
    <cellStyle name="Currency" xfId="2" builtinId="4"/>
    <cellStyle name="Normal" xfId="0" builtinId="0"/>
    <cellStyle name="Normal 2" xfId="5"/>
    <cellStyle name="Percent" xfId="3" builtinId="5"/>
  </cellStyles>
  <dxfs count="0"/>
  <tableStyles count="0" defaultTableStyle="TableStyleMedium9" defaultPivotStyle="PivotStyleLight16"/>
  <colors>
    <mruColors>
      <color rgb="FFFE7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6"/>
  <sheetViews>
    <sheetView tabSelected="1" view="pageLayout" topLeftCell="A4" zoomScale="85" zoomScaleNormal="84" zoomScalePageLayoutView="85" workbookViewId="0">
      <selection activeCell="N2" sqref="N2"/>
    </sheetView>
  </sheetViews>
  <sheetFormatPr defaultColWidth="9.140625" defaultRowHeight="12.75" x14ac:dyDescent="0.2"/>
  <cols>
    <col min="1" max="1" width="47.85546875" style="4" customWidth="1"/>
    <col min="2" max="4" width="22.42578125" style="4" customWidth="1"/>
    <col min="5" max="5" width="18.28515625" style="4" customWidth="1"/>
    <col min="6" max="6" width="17.85546875" style="4" customWidth="1"/>
    <col min="7" max="7" width="17.5703125" style="4" customWidth="1"/>
    <col min="8" max="8" width="18.140625" style="4" customWidth="1"/>
    <col min="9" max="9" width="18.28515625" style="4" customWidth="1"/>
    <col min="10" max="10" width="12.140625" style="4" customWidth="1"/>
    <col min="11" max="11" width="12.42578125" style="4" bestFit="1" customWidth="1"/>
    <col min="12" max="12" width="12.7109375" style="4" customWidth="1"/>
    <col min="13" max="13" width="12.140625" style="4" customWidth="1"/>
    <col min="14" max="14" width="12.28515625" style="4" customWidth="1"/>
    <col min="15" max="15" width="13.28515625" style="4" customWidth="1"/>
    <col min="16" max="16384" width="9.140625" style="4"/>
  </cols>
  <sheetData>
    <row r="1" spans="1:19" x14ac:dyDescent="0.2">
      <c r="S1" s="2"/>
    </row>
    <row r="2" spans="1:19" x14ac:dyDescent="0.2">
      <c r="O2" s="21"/>
    </row>
    <row r="3" spans="1:19" x14ac:dyDescent="0.2">
      <c r="E3" s="4" t="s">
        <v>0</v>
      </c>
    </row>
    <row r="4" spans="1:19" x14ac:dyDescent="0.2">
      <c r="S4" s="2"/>
    </row>
    <row r="5" spans="1:19" x14ac:dyDescent="0.2">
      <c r="E5" s="4" t="s">
        <v>1</v>
      </c>
      <c r="J5" s="21"/>
    </row>
    <row r="6" spans="1:19" x14ac:dyDescent="0.2">
      <c r="S6" s="2"/>
    </row>
    <row r="7" spans="1:19" x14ac:dyDescent="0.2"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71</v>
      </c>
      <c r="M7" s="10" t="s">
        <v>72</v>
      </c>
      <c r="N7" s="10" t="s">
        <v>73</v>
      </c>
      <c r="O7" s="10" t="s">
        <v>74</v>
      </c>
    </row>
    <row r="8" spans="1:19" x14ac:dyDescent="0.2">
      <c r="A8" s="4" t="s">
        <v>22</v>
      </c>
      <c r="B8" s="40" t="s">
        <v>12</v>
      </c>
      <c r="C8" s="40" t="s">
        <v>67</v>
      </c>
      <c r="D8" s="40" t="s">
        <v>68</v>
      </c>
      <c r="E8" s="4" t="s">
        <v>13</v>
      </c>
      <c r="F8" s="21" t="s">
        <v>107</v>
      </c>
      <c r="H8" s="64" t="s">
        <v>69</v>
      </c>
      <c r="I8" s="64" t="s">
        <v>70</v>
      </c>
      <c r="J8" s="28" t="s">
        <v>140</v>
      </c>
      <c r="L8" s="4" t="s">
        <v>14</v>
      </c>
      <c r="N8" s="50" t="s">
        <v>15</v>
      </c>
      <c r="O8" s="50"/>
      <c r="S8" s="2"/>
    </row>
    <row r="9" spans="1:19" x14ac:dyDescent="0.2">
      <c r="B9" s="41" t="s">
        <v>138</v>
      </c>
      <c r="C9" s="11" t="str">
        <f>B9</f>
        <v>7/2013 to 6/2014 (A)</v>
      </c>
      <c r="D9" s="11" t="str">
        <f>C9</f>
        <v>7/2013 to 6/2014 (A)</v>
      </c>
      <c r="E9" s="42" t="s">
        <v>139</v>
      </c>
      <c r="F9" s="11" t="s">
        <v>16</v>
      </c>
      <c r="G9" s="11" t="s">
        <v>17</v>
      </c>
      <c r="H9" s="8" t="str">
        <f>E9</f>
        <v>7/2013 to 6/2014 (B)</v>
      </c>
      <c r="I9" s="8" t="str">
        <f>H9</f>
        <v>7/2013 to 6/2014 (B)</v>
      </c>
      <c r="J9" s="12" t="s">
        <v>23</v>
      </c>
      <c r="K9" s="12" t="s">
        <v>24</v>
      </c>
      <c r="L9" s="11" t="s">
        <v>16</v>
      </c>
      <c r="M9" s="11" t="s">
        <v>17</v>
      </c>
      <c r="N9" s="11" t="s">
        <v>18</v>
      </c>
      <c r="O9" s="11" t="s">
        <v>19</v>
      </c>
    </row>
    <row r="10" spans="1:19" x14ac:dyDescent="0.2">
      <c r="A10" s="4" t="s">
        <v>109</v>
      </c>
      <c r="B10" s="29">
        <v>254905.18419187501</v>
      </c>
      <c r="C10" s="29">
        <v>25382.663242127979</v>
      </c>
      <c r="D10" s="29">
        <v>51900.012501638594</v>
      </c>
      <c r="E10" s="29">
        <v>168563.00329957833</v>
      </c>
      <c r="F10" s="112">
        <f>$E10*VLOOKUP($A10,'Allocation Factors - Page 1'!$A$7:$H$14,8,FALSE)</f>
        <v>0</v>
      </c>
      <c r="G10" s="112">
        <f>$E10*VLOOKUP($A10,'Allocation Factors - Page 1'!$A$7:$H$14,7,FALSE)</f>
        <v>168563.00329957833</v>
      </c>
      <c r="H10" s="29">
        <v>44179.393666597505</v>
      </c>
      <c r="I10" s="29">
        <v>37058.137065666371</v>
      </c>
      <c r="L10" s="53"/>
      <c r="M10" s="53"/>
      <c r="N10" s="53"/>
      <c r="O10" s="53"/>
      <c r="Q10" s="1"/>
      <c r="S10" s="9"/>
    </row>
    <row r="11" spans="1:19" x14ac:dyDescent="0.2">
      <c r="A11" s="4" t="s">
        <v>110</v>
      </c>
      <c r="B11" s="29">
        <v>160841.32970961955</v>
      </c>
      <c r="C11" s="29">
        <v>13197.287597038558</v>
      </c>
      <c r="D11" s="29">
        <v>-7027.9372116110553</v>
      </c>
      <c r="E11" s="29">
        <v>129103.84198799834</v>
      </c>
      <c r="F11" s="112">
        <f>$E11*VLOOKUP($A11,'Allocation Factors - Page 1'!$A$7:$H$14,8,FALSE)</f>
        <v>52765.060282726852</v>
      </c>
      <c r="G11" s="112">
        <f>$E11*VLOOKUP($A11,'Allocation Factors - Page 1'!$A$7:$H$14,7,FALSE)</f>
        <v>76338.781705271482</v>
      </c>
      <c r="H11" s="29">
        <v>11049.544635152501</v>
      </c>
      <c r="I11" s="29">
        <v>-355.47249036737634</v>
      </c>
      <c r="L11" s="53"/>
      <c r="M11" s="53"/>
      <c r="N11" s="53"/>
      <c r="O11" s="53"/>
      <c r="Q11" s="1"/>
      <c r="S11" s="9"/>
    </row>
    <row r="12" spans="1:19" x14ac:dyDescent="0.2">
      <c r="A12" s="4" t="s">
        <v>112</v>
      </c>
      <c r="B12" s="29">
        <v>297422.33647934988</v>
      </c>
      <c r="C12" s="29">
        <v>40037.862793319975</v>
      </c>
      <c r="D12" s="29">
        <v>7460.1303303090453</v>
      </c>
      <c r="E12" s="29">
        <v>138683.55596594172</v>
      </c>
      <c r="F12" s="112">
        <f>$E12*VLOOKUP($A12,'Allocation Factors - Page 1'!$A$7:$H$14,8,FALSE)</f>
        <v>0</v>
      </c>
      <c r="G12" s="112">
        <f>$E12*VLOOKUP($A12,'Allocation Factors - Page 1'!$A$7:$H$14,7,FALSE)</f>
        <v>138683.55596594172</v>
      </c>
      <c r="H12" s="29">
        <v>21019.801068000004</v>
      </c>
      <c r="I12" s="29">
        <v>31661.86111070904</v>
      </c>
      <c r="L12" s="53"/>
      <c r="M12" s="53"/>
      <c r="N12" s="53"/>
      <c r="O12" s="53"/>
    </row>
    <row r="13" spans="1:19" x14ac:dyDescent="0.2">
      <c r="A13" s="1" t="s">
        <v>113</v>
      </c>
      <c r="B13" s="29">
        <v>669888.17379173276</v>
      </c>
      <c r="C13" s="29">
        <v>19931.961872986896</v>
      </c>
      <c r="D13" s="29">
        <v>-29790.166401558476</v>
      </c>
      <c r="E13" s="29">
        <v>520653.02795207273</v>
      </c>
      <c r="F13" s="112">
        <f>$E13*VLOOKUP($A13,'Allocation Factors - Page 1'!$A$7:$H$14,8,FALSE)</f>
        <v>205908.07921986113</v>
      </c>
      <c r="G13" s="112">
        <f>$E13*VLOOKUP($A13,'Allocation Factors - Page 1'!$A$7:$H$14,7,FALSE)</f>
        <v>314744.9487322116</v>
      </c>
      <c r="H13" s="29">
        <v>35226.804297019051</v>
      </c>
      <c r="I13" s="29">
        <v>-4187.9083734062388</v>
      </c>
      <c r="L13" s="53"/>
      <c r="M13" s="53"/>
      <c r="N13" s="53"/>
      <c r="O13" s="53"/>
    </row>
    <row r="14" spans="1:19" x14ac:dyDescent="0.2">
      <c r="A14" s="4" t="s">
        <v>111</v>
      </c>
      <c r="B14" s="29">
        <v>375038.06719892775</v>
      </c>
      <c r="C14" s="29">
        <v>402498.51468776201</v>
      </c>
      <c r="D14" s="29">
        <v>40662.926937464043</v>
      </c>
      <c r="E14" s="29">
        <v>605663.49588213104</v>
      </c>
      <c r="F14" s="112">
        <f>$E14*VLOOKUP($A14,'Allocation Factors - Page 1'!$A$7:$H$14,8,FALSE)</f>
        <v>0</v>
      </c>
      <c r="G14" s="112">
        <f>$E14*VLOOKUP($A14,'Allocation Factors - Page 1'!$A$7:$H$14,7,FALSE)</f>
        <v>605663.49588213104</v>
      </c>
      <c r="H14" s="29">
        <v>512222.46507150005</v>
      </c>
      <c r="I14" s="29">
        <v>46907.187772010569</v>
      </c>
      <c r="L14" s="53"/>
      <c r="M14" s="53"/>
      <c r="N14" s="53"/>
      <c r="O14" s="53"/>
    </row>
    <row r="15" spans="1:19" x14ac:dyDescent="0.2">
      <c r="A15" s="1" t="s">
        <v>114</v>
      </c>
      <c r="B15" s="29">
        <v>167774.29455381492</v>
      </c>
      <c r="C15" s="29">
        <v>14909.337478274407</v>
      </c>
      <c r="D15" s="29">
        <v>12818.983937435927</v>
      </c>
      <c r="E15" s="29">
        <v>223408.79651813681</v>
      </c>
      <c r="F15" s="112">
        <f>$E15*VLOOKUP($A15,'Allocation Factors - Page 1'!$A$7:$H$14,8,FALSE)</f>
        <v>80065.724222550911</v>
      </c>
      <c r="G15" s="112">
        <f>$E15*VLOOKUP($A15,'Allocation Factors - Page 1'!$A$7:$H$14,7,FALSE)</f>
        <v>143343.07229558588</v>
      </c>
      <c r="H15" s="29">
        <v>34079.860574775994</v>
      </c>
      <c r="I15" s="29">
        <v>51062.585771773156</v>
      </c>
      <c r="L15" s="53"/>
      <c r="M15" s="53"/>
      <c r="N15" s="53"/>
      <c r="O15" s="53"/>
    </row>
    <row r="16" spans="1:19" x14ac:dyDescent="0.2">
      <c r="A16" s="4" t="s">
        <v>108</v>
      </c>
      <c r="B16" s="29">
        <v>1170194.4718835654</v>
      </c>
      <c r="C16" s="29">
        <v>1376346.8887159552</v>
      </c>
      <c r="D16" s="29">
        <v>319133.3144186578</v>
      </c>
      <c r="E16" s="29">
        <v>1511813.9100137351</v>
      </c>
      <c r="F16" s="112">
        <f>$E16*VLOOKUP($A16,'Allocation Factors - Page 1'!$A$7:$H$14,8,FALSE)</f>
        <v>94.181043053629296</v>
      </c>
      <c r="G16" s="112">
        <f>$E16*VLOOKUP($A16,'Allocation Factors - Page 1'!$A$7:$H$14,7,FALSE)</f>
        <v>1511719.7289706813</v>
      </c>
      <c r="H16" s="29">
        <v>1685324.2100348107</v>
      </c>
      <c r="I16" s="29">
        <v>511105.46692606015</v>
      </c>
      <c r="L16" s="53"/>
      <c r="M16" s="53"/>
      <c r="N16" s="53"/>
      <c r="O16" s="53"/>
    </row>
    <row r="17" spans="1:15" x14ac:dyDescent="0.2">
      <c r="A17" s="4" t="s">
        <v>21</v>
      </c>
      <c r="B17" s="29">
        <v>308741.90068623837</v>
      </c>
      <c r="C17" s="29">
        <v>0</v>
      </c>
      <c r="D17" s="60">
        <v>138806.9187412418</v>
      </c>
      <c r="E17" s="29">
        <v>776700.01720776397</v>
      </c>
      <c r="F17" s="112">
        <f>$E17*VLOOKUP($A17,'Allocation Factors - Page 1'!$A$7:$H$14,8,FALSE)</f>
        <v>0</v>
      </c>
      <c r="G17" s="112">
        <f>$E17*VLOOKUP($A17,'Allocation Factors - Page 1'!$A$7:$H$14,7,FALSE)</f>
        <v>776700.01720776397</v>
      </c>
      <c r="H17" s="29">
        <v>0</v>
      </c>
      <c r="I17" s="29">
        <v>85820.859177872946</v>
      </c>
      <c r="L17" s="53"/>
      <c r="M17" s="53"/>
      <c r="N17" s="53"/>
      <c r="O17" s="53"/>
    </row>
    <row r="18" spans="1:15" x14ac:dyDescent="0.2">
      <c r="A18" s="4" t="s">
        <v>126</v>
      </c>
      <c r="B18" s="29"/>
      <c r="C18" s="29">
        <v>0</v>
      </c>
      <c r="D18" s="29">
        <v>0</v>
      </c>
      <c r="E18" s="29">
        <v>0</v>
      </c>
      <c r="F18" s="2">
        <v>0</v>
      </c>
      <c r="G18" s="3">
        <f t="shared" ref="G18" si="0">E18-F18</f>
        <v>0</v>
      </c>
      <c r="H18" s="29">
        <v>144534.93639786777</v>
      </c>
      <c r="I18" s="29">
        <v>0</v>
      </c>
      <c r="L18" s="58"/>
      <c r="M18" s="58"/>
      <c r="N18" s="58"/>
      <c r="O18" s="58"/>
    </row>
    <row r="19" spans="1:15" x14ac:dyDescent="0.2">
      <c r="A19" s="4" t="s">
        <v>133</v>
      </c>
      <c r="B19" s="29">
        <v>250556.4</v>
      </c>
      <c r="C19" s="29">
        <v>0</v>
      </c>
      <c r="D19" s="29">
        <v>0</v>
      </c>
      <c r="E19" s="29">
        <v>300151.59000000003</v>
      </c>
      <c r="F19" s="29">
        <v>126223.88787683523</v>
      </c>
      <c r="G19" s="29">
        <v>173927.70212316481</v>
      </c>
      <c r="H19" s="29">
        <v>0</v>
      </c>
      <c r="I19" s="29">
        <v>0</v>
      </c>
      <c r="L19" s="29">
        <v>106252.70000000001</v>
      </c>
      <c r="M19" s="29">
        <v>146408.80000000002</v>
      </c>
      <c r="N19" s="61"/>
      <c r="O19" s="61"/>
    </row>
    <row r="20" spans="1:15" x14ac:dyDescent="0.2">
      <c r="A20" s="4" t="s">
        <v>134</v>
      </c>
      <c r="B20" s="29"/>
      <c r="C20" s="29"/>
      <c r="D20" s="29"/>
      <c r="E20" s="29"/>
      <c r="F20" s="29"/>
      <c r="G20" s="60"/>
      <c r="H20" s="29"/>
      <c r="I20" s="29"/>
      <c r="L20" s="29">
        <v>-2446433.3300000005</v>
      </c>
      <c r="M20" s="29">
        <v>3250988.3800000004</v>
      </c>
      <c r="N20" s="59"/>
      <c r="O20" s="59"/>
    </row>
    <row r="21" spans="1:15" x14ac:dyDescent="0.2">
      <c r="A21" s="43" t="s">
        <v>34</v>
      </c>
      <c r="B21" s="45">
        <f>SUM(B10:B20)</f>
        <v>3655362.1584951235</v>
      </c>
      <c r="C21" s="45">
        <f t="shared" ref="C21:I21" si="1">SUM(C10:C20)</f>
        <v>1892304.5163874649</v>
      </c>
      <c r="D21" s="45">
        <f t="shared" si="1"/>
        <v>533964.18325357768</v>
      </c>
      <c r="E21" s="45">
        <f t="shared" si="1"/>
        <v>4374741.238827358</v>
      </c>
      <c r="F21" s="45">
        <f t="shared" si="1"/>
        <v>465056.93264502776</v>
      </c>
      <c r="G21" s="45">
        <f t="shared" si="1"/>
        <v>3909684.30618233</v>
      </c>
      <c r="H21" s="45">
        <f t="shared" si="1"/>
        <v>2487637.0157457236</v>
      </c>
      <c r="I21" s="45">
        <f t="shared" si="1"/>
        <v>759072.71696031862</v>
      </c>
      <c r="J21" s="54">
        <v>1748956.0850835093</v>
      </c>
      <c r="K21" s="54">
        <v>-813874.17389128823</v>
      </c>
      <c r="L21" s="44">
        <f>L19+L20</f>
        <v>-2340180.6300000004</v>
      </c>
      <c r="M21" s="44">
        <f>M19+M20</f>
        <v>3397397.18</v>
      </c>
      <c r="N21" s="44">
        <f>F21+J21-L21</f>
        <v>4554193.6477285381</v>
      </c>
      <c r="O21" s="44">
        <f>G21+H21+I21+K21-M21</f>
        <v>2945122.6849970841</v>
      </c>
    </row>
    <row r="22" spans="1:15" x14ac:dyDescent="0.2">
      <c r="C22" s="14"/>
      <c r="E22" s="3"/>
      <c r="H22" s="3"/>
      <c r="I22" s="3"/>
    </row>
    <row r="23" spans="1:15" x14ac:dyDescent="0.2">
      <c r="A23" s="21" t="s">
        <v>135</v>
      </c>
      <c r="I23" s="2"/>
    </row>
    <row r="24" spans="1:15" x14ac:dyDescent="0.2">
      <c r="A24" s="21" t="s">
        <v>141</v>
      </c>
      <c r="H24" s="3"/>
      <c r="J24" s="21"/>
    </row>
    <row r="25" spans="1:15" x14ac:dyDescent="0.2">
      <c r="A25" s="21" t="s">
        <v>125</v>
      </c>
      <c r="H25" s="7"/>
      <c r="I25" s="3"/>
      <c r="J25" s="21"/>
    </row>
    <row r="26" spans="1:15" x14ac:dyDescent="0.2">
      <c r="A26" s="21" t="s">
        <v>136</v>
      </c>
      <c r="E26" s="3"/>
      <c r="H26" s="7"/>
    </row>
    <row r="27" spans="1:15" x14ac:dyDescent="0.2">
      <c r="A27" s="21" t="s">
        <v>137</v>
      </c>
      <c r="H27" s="3"/>
    </row>
    <row r="28" spans="1:15" x14ac:dyDescent="0.2">
      <c r="A28" s="21" t="s">
        <v>142</v>
      </c>
      <c r="H28" s="7"/>
    </row>
    <row r="29" spans="1:15" x14ac:dyDescent="0.2">
      <c r="A29" s="4" t="s">
        <v>75</v>
      </c>
      <c r="H29" s="7"/>
    </row>
    <row r="30" spans="1:15" x14ac:dyDescent="0.2">
      <c r="A30" s="4" t="s">
        <v>76</v>
      </c>
      <c r="H30" s="3"/>
    </row>
    <row r="31" spans="1:15" x14ac:dyDescent="0.2">
      <c r="A31" s="21" t="s">
        <v>145</v>
      </c>
      <c r="H31" s="3"/>
    </row>
    <row r="32" spans="1:15" x14ac:dyDescent="0.2">
      <c r="A32" s="21" t="s">
        <v>132</v>
      </c>
      <c r="H32" s="3"/>
    </row>
    <row r="33" spans="1:26" x14ac:dyDescent="0.2">
      <c r="E33" s="15"/>
      <c r="F33" s="15"/>
      <c r="G33" s="15"/>
      <c r="H33" s="15"/>
      <c r="I33" s="15"/>
      <c r="J33" s="15"/>
    </row>
    <row r="34" spans="1:26" x14ac:dyDescent="0.2">
      <c r="B34" s="10" t="s">
        <v>2</v>
      </c>
      <c r="C34" s="10" t="s">
        <v>3</v>
      </c>
      <c r="D34" s="10" t="s">
        <v>4</v>
      </c>
      <c r="E34" s="16" t="s">
        <v>5</v>
      </c>
      <c r="F34" s="16" t="s">
        <v>6</v>
      </c>
      <c r="G34" s="16" t="s">
        <v>7</v>
      </c>
      <c r="H34" s="16" t="s">
        <v>8</v>
      </c>
      <c r="I34" s="16" t="s">
        <v>9</v>
      </c>
      <c r="J34" s="16" t="s">
        <v>10</v>
      </c>
      <c r="Q34" s="10"/>
      <c r="R34" s="10"/>
      <c r="T34" s="10"/>
      <c r="U34" s="10"/>
      <c r="W34" s="10"/>
      <c r="X34" s="10"/>
    </row>
    <row r="35" spans="1:26" x14ac:dyDescent="0.2">
      <c r="A35" s="4" t="s">
        <v>25</v>
      </c>
      <c r="B35" s="4" t="s">
        <v>12</v>
      </c>
      <c r="C35" s="40" t="s">
        <v>67</v>
      </c>
      <c r="D35" s="40" t="s">
        <v>68</v>
      </c>
      <c r="E35" s="4" t="s">
        <v>13</v>
      </c>
      <c r="F35" s="64" t="s">
        <v>69</v>
      </c>
      <c r="G35" s="64" t="s">
        <v>70</v>
      </c>
      <c r="H35" s="13">
        <v>2013</v>
      </c>
      <c r="I35" s="40" t="s">
        <v>26</v>
      </c>
      <c r="J35" s="51" t="s">
        <v>122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B36" s="11" t="str">
        <f>B9</f>
        <v>7/2013 to 6/2014 (A)</v>
      </c>
      <c r="C36" s="11" t="str">
        <f>B36</f>
        <v>7/2013 to 6/2014 (A)</v>
      </c>
      <c r="D36" s="11" t="str">
        <f>C36</f>
        <v>7/2013 to 6/2014 (A)</v>
      </c>
      <c r="E36" s="8" t="str">
        <f>E9</f>
        <v>7/2013 to 6/2014 (B)</v>
      </c>
      <c r="F36" s="8" t="str">
        <f>E36</f>
        <v>7/2013 to 6/2014 (B)</v>
      </c>
      <c r="G36" s="8" t="str">
        <f>F36</f>
        <v>7/2013 to 6/2014 (B)</v>
      </c>
      <c r="H36" s="11" t="s">
        <v>27</v>
      </c>
      <c r="I36" s="11" t="s">
        <v>28</v>
      </c>
      <c r="J36" s="17" t="s">
        <v>77</v>
      </c>
      <c r="K36" s="1"/>
      <c r="L36" s="1"/>
      <c r="M36" s="13"/>
      <c r="N36" s="1"/>
      <c r="O36" s="13"/>
      <c r="P36" s="1"/>
      <c r="Q36" s="13"/>
      <c r="R36" s="13"/>
      <c r="S36" s="1"/>
      <c r="T36" s="13"/>
      <c r="U36" s="13"/>
      <c r="V36" s="1"/>
      <c r="W36" s="13"/>
      <c r="X36" s="13"/>
      <c r="Y36" s="1"/>
      <c r="Z36" s="1"/>
    </row>
    <row r="37" spans="1:26" x14ac:dyDescent="0.2">
      <c r="A37" s="21" t="s">
        <v>115</v>
      </c>
      <c r="B37" s="29">
        <v>363444.64688304206</v>
      </c>
      <c r="C37" s="29">
        <v>91416.111482848646</v>
      </c>
      <c r="D37" s="29">
        <v>229707.49396349836</v>
      </c>
      <c r="E37" s="29">
        <v>141232.95749721743</v>
      </c>
      <c r="F37" s="29">
        <v>35077.440489888897</v>
      </c>
      <c r="G37" s="29">
        <v>36875.038957318269</v>
      </c>
      <c r="H37" s="18"/>
      <c r="I37" s="18"/>
      <c r="J37" s="1"/>
      <c r="K37" s="19"/>
      <c r="L37" s="19"/>
      <c r="M37" s="9"/>
      <c r="N37" s="1"/>
      <c r="O37" s="1"/>
      <c r="P37" s="1"/>
      <c r="Q37" s="9"/>
      <c r="R37" s="5"/>
      <c r="S37" s="1"/>
      <c r="T37" s="13"/>
      <c r="U37" s="13"/>
      <c r="V37" s="1"/>
      <c r="W37" s="13"/>
      <c r="X37" s="13"/>
      <c r="Y37" s="1"/>
      <c r="Z37" s="1"/>
    </row>
    <row r="38" spans="1:26" x14ac:dyDescent="0.2">
      <c r="A38" s="4" t="s">
        <v>116</v>
      </c>
      <c r="B38" s="29">
        <v>14705.965348837692</v>
      </c>
      <c r="C38" s="29">
        <v>8866.1529332685022</v>
      </c>
      <c r="D38" s="29">
        <v>14459.279907959028</v>
      </c>
      <c r="E38" s="29">
        <v>69719.598285919972</v>
      </c>
      <c r="F38" s="29">
        <v>7854.0463872907148</v>
      </c>
      <c r="G38" s="29">
        <v>64098.504320631531</v>
      </c>
      <c r="H38" s="18"/>
      <c r="I38" s="18"/>
      <c r="J38" s="1"/>
      <c r="K38" s="19"/>
      <c r="L38" s="20"/>
      <c r="M38" s="9"/>
      <c r="N38" s="1"/>
      <c r="O38" s="1"/>
      <c r="P38" s="1"/>
      <c r="Q38" s="9"/>
      <c r="R38" s="5"/>
      <c r="S38" s="1"/>
      <c r="T38" s="13"/>
      <c r="U38" s="13"/>
      <c r="V38" s="1"/>
      <c r="W38" s="13"/>
      <c r="X38" s="13"/>
      <c r="Y38" s="1"/>
      <c r="Z38" s="1"/>
    </row>
    <row r="39" spans="1:26" x14ac:dyDescent="0.2">
      <c r="A39" s="4" t="s">
        <v>117</v>
      </c>
      <c r="B39" s="29">
        <v>177988.53530500349</v>
      </c>
      <c r="C39" s="29">
        <v>66300.002610163385</v>
      </c>
      <c r="D39" s="29">
        <v>137729.31775713098</v>
      </c>
      <c r="E39" s="29">
        <v>90262.380281831138</v>
      </c>
      <c r="F39" s="29">
        <v>3689.6961236745096</v>
      </c>
      <c r="G39" s="29">
        <v>11467.332316176431</v>
      </c>
      <c r="H39" s="18"/>
      <c r="I39" s="18"/>
      <c r="J39" s="1"/>
      <c r="K39" s="19"/>
      <c r="L39" s="20"/>
      <c r="M39" s="9"/>
      <c r="N39" s="1"/>
      <c r="O39" s="1"/>
      <c r="P39" s="1"/>
      <c r="Q39" s="9"/>
      <c r="R39" s="5"/>
      <c r="S39" s="1"/>
      <c r="T39" s="13"/>
      <c r="U39" s="13"/>
      <c r="V39" s="1"/>
      <c r="W39" s="13"/>
      <c r="X39" s="13"/>
      <c r="Y39" s="1"/>
      <c r="Z39" s="1"/>
    </row>
    <row r="40" spans="1:26" x14ac:dyDescent="0.2">
      <c r="A40" s="4" t="s">
        <v>118</v>
      </c>
      <c r="B40" s="29">
        <v>587515.85258571059</v>
      </c>
      <c r="C40" s="29">
        <v>311187.23894661985</v>
      </c>
      <c r="D40" s="29">
        <v>390588.06741356949</v>
      </c>
      <c r="E40" s="29">
        <v>568419.41938008484</v>
      </c>
      <c r="F40" s="29">
        <v>233009.12955557916</v>
      </c>
      <c r="G40" s="29">
        <v>267504.12209855375</v>
      </c>
      <c r="H40" s="18"/>
      <c r="I40" s="18"/>
      <c r="J40" s="1"/>
      <c r="K40" s="19"/>
      <c r="L40" s="20"/>
      <c r="M40" s="9"/>
      <c r="N40" s="1"/>
      <c r="O40" s="1"/>
      <c r="P40" s="1"/>
      <c r="Q40" s="9"/>
      <c r="R40" s="5"/>
      <c r="S40" s="1"/>
      <c r="T40" s="13"/>
      <c r="U40" s="13"/>
      <c r="V40" s="1"/>
      <c r="W40" s="13"/>
      <c r="X40" s="13"/>
      <c r="Y40" s="1"/>
      <c r="Z40" s="1"/>
    </row>
    <row r="41" spans="1:26" x14ac:dyDescent="0.2">
      <c r="A41" s="1" t="s">
        <v>119</v>
      </c>
      <c r="B41" s="65">
        <v>68636.03062735351</v>
      </c>
      <c r="C41" s="65">
        <v>59009.437362912649</v>
      </c>
      <c r="D41" s="65">
        <v>70546.14090474401</v>
      </c>
      <c r="E41" s="29">
        <v>81742.838629452206</v>
      </c>
      <c r="F41" s="29">
        <v>19466.657107965992</v>
      </c>
      <c r="G41" s="29">
        <v>41258.713058434172</v>
      </c>
      <c r="H41" s="20"/>
      <c r="I41" s="20"/>
      <c r="J41" s="1"/>
      <c r="K41" s="19"/>
      <c r="L41" s="20"/>
      <c r="M41" s="9"/>
      <c r="N41" s="1"/>
      <c r="O41" s="1"/>
      <c r="P41" s="1"/>
      <c r="Q41" s="9"/>
      <c r="R41" s="5"/>
      <c r="S41" s="1"/>
      <c r="T41" s="13"/>
      <c r="U41" s="13"/>
      <c r="V41" s="1"/>
      <c r="W41" s="13"/>
      <c r="X41" s="13"/>
      <c r="Y41" s="1"/>
      <c r="Z41" s="1"/>
    </row>
    <row r="42" spans="1:26" s="1" customFormat="1" x14ac:dyDescent="0.2">
      <c r="A42" s="28" t="s">
        <v>120</v>
      </c>
      <c r="B42" s="65">
        <v>55.907615035437665</v>
      </c>
      <c r="C42" s="65">
        <v>119.33812426825438</v>
      </c>
      <c r="D42" s="65">
        <v>75.468691255455482</v>
      </c>
      <c r="E42" s="29">
        <v>21657.196395805528</v>
      </c>
      <c r="F42" s="29">
        <v>1876.4187153985981</v>
      </c>
      <c r="G42" s="29">
        <v>9455.8823214544263</v>
      </c>
      <c r="H42" s="20"/>
      <c r="I42" s="20"/>
      <c r="K42" s="19"/>
      <c r="L42" s="20"/>
      <c r="M42" s="9"/>
      <c r="Q42" s="9"/>
      <c r="R42" s="5"/>
      <c r="T42" s="13"/>
      <c r="U42" s="13"/>
      <c r="W42" s="13"/>
      <c r="X42" s="13"/>
    </row>
    <row r="43" spans="1:26" s="1" customFormat="1" x14ac:dyDescent="0.2">
      <c r="A43" s="28" t="s">
        <v>146</v>
      </c>
      <c r="B43" s="65"/>
      <c r="C43" s="65"/>
      <c r="D43" s="65"/>
      <c r="E43" s="29">
        <v>94.827992126034232</v>
      </c>
      <c r="F43" s="29">
        <v>0</v>
      </c>
      <c r="G43" s="29">
        <v>-9.4827992126034228</v>
      </c>
      <c r="H43" s="20"/>
      <c r="I43" s="20"/>
      <c r="K43" s="19"/>
      <c r="L43" s="20"/>
      <c r="M43" s="9"/>
      <c r="Q43" s="9"/>
      <c r="R43" s="5"/>
      <c r="T43" s="13"/>
      <c r="U43" s="13"/>
      <c r="W43" s="13"/>
      <c r="X43" s="13"/>
    </row>
    <row r="44" spans="1:26" x14ac:dyDescent="0.2">
      <c r="A44" s="47" t="s">
        <v>34</v>
      </c>
      <c r="B44" s="44">
        <f>SUM(B37:B43)</f>
        <v>1212346.9383649828</v>
      </c>
      <c r="C44" s="44">
        <f t="shared" ref="C44:G44" si="2">SUM(C37:C43)</f>
        <v>536898.28146008123</v>
      </c>
      <c r="D44" s="44">
        <f t="shared" si="2"/>
        <v>843105.7686381574</v>
      </c>
      <c r="E44" s="44">
        <f t="shared" si="2"/>
        <v>973129.21846243716</v>
      </c>
      <c r="F44" s="44">
        <f t="shared" si="2"/>
        <v>300973.38837979786</v>
      </c>
      <c r="G44" s="44">
        <f t="shared" si="2"/>
        <v>430650.11027335597</v>
      </c>
      <c r="H44" s="55">
        <v>-1669696.6792324432</v>
      </c>
      <c r="I44" s="44">
        <v>195330.33769999997</v>
      </c>
      <c r="J44" s="48">
        <f>E44+F44+G44+H44-I44</f>
        <v>-160274.29981685238</v>
      </c>
    </row>
    <row r="45" spans="1:26" x14ac:dyDescent="0.2">
      <c r="B45" s="3"/>
      <c r="F45" s="3"/>
      <c r="G45" s="3"/>
      <c r="H45" s="42"/>
    </row>
    <row r="46" spans="1:26" x14ac:dyDescent="0.2">
      <c r="A46" s="47" t="s">
        <v>121</v>
      </c>
      <c r="B46" s="66">
        <v>815415.30890204734</v>
      </c>
      <c r="C46" s="66">
        <v>0</v>
      </c>
      <c r="D46" s="66">
        <v>261321.94612839344</v>
      </c>
      <c r="E46" s="66">
        <v>890644.55743073509</v>
      </c>
      <c r="F46" s="66">
        <v>0</v>
      </c>
      <c r="G46" s="66">
        <v>294543.33838054881</v>
      </c>
      <c r="H46" s="55">
        <v>801314.27966311597</v>
      </c>
      <c r="I46" s="44">
        <v>2650631.3031819998</v>
      </c>
      <c r="J46" s="48">
        <f>E46+F46+G46+H46-I46</f>
        <v>-664129.1277075999</v>
      </c>
      <c r="K46" s="19"/>
      <c r="L46" s="20"/>
      <c r="M46" s="9"/>
      <c r="N46" s="1"/>
      <c r="O46" s="1"/>
      <c r="P46" s="1"/>
      <c r="Q46" s="9"/>
      <c r="R46" s="5"/>
      <c r="S46" s="1"/>
      <c r="T46" s="13"/>
      <c r="U46" s="13"/>
      <c r="V46" s="1"/>
      <c r="W46" s="13"/>
      <c r="X46" s="13"/>
      <c r="Y46" s="1"/>
      <c r="Z46" s="1"/>
    </row>
    <row r="47" spans="1:26" x14ac:dyDescent="0.2">
      <c r="A47" s="28"/>
      <c r="B47" s="46"/>
      <c r="C47" s="46"/>
      <c r="D47" s="46"/>
      <c r="E47" s="9"/>
      <c r="F47" s="9"/>
      <c r="G47" s="9"/>
      <c r="H47" s="20"/>
      <c r="I47" s="20"/>
      <c r="J47" s="1"/>
      <c r="K47" s="19"/>
      <c r="L47" s="20"/>
      <c r="M47" s="9"/>
      <c r="N47" s="1"/>
      <c r="O47" s="1"/>
      <c r="P47" s="1"/>
      <c r="Q47" s="9"/>
      <c r="R47" s="5"/>
      <c r="S47" s="1"/>
      <c r="T47" s="13"/>
      <c r="U47" s="13"/>
      <c r="V47" s="1"/>
      <c r="W47" s="13"/>
      <c r="X47" s="13"/>
      <c r="Y47" s="1"/>
      <c r="Z47" s="1"/>
    </row>
    <row r="48" spans="1:26" x14ac:dyDescent="0.2">
      <c r="A48" s="47" t="s">
        <v>150</v>
      </c>
      <c r="B48" s="49"/>
      <c r="C48" s="49"/>
      <c r="D48" s="49"/>
      <c r="E48" s="66">
        <v>1883.3185044739998</v>
      </c>
      <c r="F48" s="49"/>
      <c r="G48" s="49"/>
      <c r="H48" s="55"/>
      <c r="I48" s="44"/>
      <c r="J48" s="48"/>
      <c r="K48" s="19"/>
      <c r="L48" s="20"/>
      <c r="M48" s="9"/>
      <c r="N48" s="1"/>
      <c r="O48" s="1"/>
      <c r="P48" s="1"/>
      <c r="Q48" s="9"/>
      <c r="R48" s="5"/>
      <c r="S48" s="1"/>
      <c r="T48" s="13"/>
      <c r="U48" s="13"/>
      <c r="V48" s="1"/>
      <c r="W48" s="13"/>
      <c r="X48" s="13"/>
      <c r="Y48" s="1"/>
      <c r="Z48" s="1"/>
    </row>
    <row r="49" spans="1:26" x14ac:dyDescent="0.2">
      <c r="A49" s="28"/>
      <c r="B49" s="46"/>
      <c r="C49" s="46"/>
      <c r="D49" s="46"/>
      <c r="E49" s="9"/>
      <c r="F49" s="9"/>
      <c r="G49" s="9"/>
      <c r="H49" s="20"/>
      <c r="I49" s="20"/>
      <c r="J49" s="1"/>
      <c r="K49" s="19"/>
      <c r="L49" s="20"/>
      <c r="M49" s="9"/>
      <c r="N49" s="1"/>
      <c r="O49" s="1"/>
      <c r="P49" s="1"/>
      <c r="Q49" s="9"/>
      <c r="R49" s="5"/>
      <c r="S49" s="1"/>
      <c r="T49" s="13"/>
      <c r="U49" s="13"/>
      <c r="V49" s="1"/>
      <c r="W49" s="13"/>
      <c r="X49" s="13"/>
      <c r="Y49" s="1"/>
      <c r="Z49" s="1"/>
    </row>
    <row r="50" spans="1:26" x14ac:dyDescent="0.2">
      <c r="A50" s="21" t="str">
        <f>A23</f>
        <v>(A) Amounts identified in report filed in Case No. 2012-00085.</v>
      </c>
      <c r="F50" s="3"/>
      <c r="G50" s="3"/>
    </row>
    <row r="51" spans="1:26" x14ac:dyDescent="0.2">
      <c r="A51" s="4" t="str">
        <f>A24</f>
        <v>(B) Actual program expenditures, lost revenues (for this period and from prior period DSM measure installations), and shared savings for the period July 1, 2013 through June 30, 2014.</v>
      </c>
      <c r="F51" s="3"/>
      <c r="G51" s="3"/>
    </row>
    <row r="52" spans="1:26" x14ac:dyDescent="0.2">
      <c r="A52" s="21" t="s">
        <v>144</v>
      </c>
      <c r="F52" s="3"/>
      <c r="G52" s="3"/>
    </row>
    <row r="53" spans="1:26" x14ac:dyDescent="0.2">
      <c r="A53" s="21" t="s">
        <v>143</v>
      </c>
      <c r="F53" s="3"/>
      <c r="G53" s="3"/>
    </row>
    <row r="54" spans="1:26" x14ac:dyDescent="0.2">
      <c r="A54" s="21" t="s">
        <v>78</v>
      </c>
    </row>
    <row r="55" spans="1:26" x14ac:dyDescent="0.2">
      <c r="A55" s="21" t="s">
        <v>149</v>
      </c>
    </row>
    <row r="56" spans="1:26" x14ac:dyDescent="0.2">
      <c r="E56" s="2"/>
      <c r="F56" s="2"/>
      <c r="G56" s="3"/>
      <c r="H56" s="3"/>
      <c r="I56" s="3"/>
    </row>
  </sheetData>
  <phoneticPr fontId="5" type="noConversion"/>
  <pageMargins left="0.43" right="0.34" top="1" bottom="1" header="0.5" footer="0.5"/>
  <pageSetup scale="46" orientation="landscape" r:id="rId1"/>
  <headerFooter alignWithMargins="0">
    <oddHeader>&amp;R&amp;"Times New Roman,Bold"KyPSC Case No. 2014-00388
STAFF-DR-03-005 Page 1 w Act Page 2 w Proj
&amp;P of &amp;N</oddHeader>
    <oddFooter>&amp;L&amp;D &amp;T&amp;C&amp;F&amp;R&amp;A</oddFooter>
  </headerFooter>
  <ignoredErrors>
    <ignoredError sqref="B7 M8:M9 L8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Layout" zoomScaleNormal="85" workbookViewId="0">
      <selection activeCell="N2" sqref="N2"/>
    </sheetView>
  </sheetViews>
  <sheetFormatPr defaultColWidth="9.140625" defaultRowHeight="12.75" x14ac:dyDescent="0.2"/>
  <cols>
    <col min="1" max="1" width="56.5703125" style="4" customWidth="1"/>
    <col min="2" max="2" width="14" style="4" bestFit="1" customWidth="1"/>
    <col min="3" max="4" width="12.28515625" style="4" bestFit="1" customWidth="1"/>
    <col min="5" max="5" width="14" style="4" bestFit="1" customWidth="1"/>
    <col min="6" max="8" width="9.140625" style="4"/>
    <col min="9" max="9" width="13" style="4" customWidth="1"/>
    <col min="10" max="10" width="13.140625" style="4" customWidth="1"/>
    <col min="11" max="11" width="13.85546875" style="4" customWidth="1"/>
    <col min="12" max="14" width="9.140625" style="4"/>
    <col min="15" max="15" width="14.5703125" style="38" customWidth="1"/>
    <col min="16" max="16" width="9.140625" style="4"/>
    <col min="17" max="17" width="13" style="4" bestFit="1" customWidth="1"/>
    <col min="18" max="16384" width="9.140625" style="4"/>
  </cols>
  <sheetData>
    <row r="1" spans="1:15" x14ac:dyDescent="0.2">
      <c r="B1" s="4" t="str">
        <f>'Page 1'!E3</f>
        <v xml:space="preserve">                      Kentucky DSM Rider</v>
      </c>
      <c r="K1" s="39"/>
    </row>
    <row r="3" spans="1:15" x14ac:dyDescent="0.2">
      <c r="B3" s="21" t="s">
        <v>147</v>
      </c>
    </row>
    <row r="6" spans="1:15" x14ac:dyDescent="0.2">
      <c r="B6" s="21" t="s">
        <v>127</v>
      </c>
    </row>
    <row r="8" spans="1:15" s="40" customFormat="1" ht="26.25" customHeight="1" x14ac:dyDescent="0.2">
      <c r="C8" s="40" t="s">
        <v>29</v>
      </c>
      <c r="D8" s="40" t="s">
        <v>30</v>
      </c>
      <c r="G8" s="113" t="s">
        <v>64</v>
      </c>
      <c r="H8" s="113"/>
      <c r="J8" s="114" t="s">
        <v>81</v>
      </c>
      <c r="K8" s="114"/>
    </row>
    <row r="9" spans="1:15" s="40" customFormat="1" ht="15" x14ac:dyDescent="0.35">
      <c r="B9" s="31" t="s">
        <v>31</v>
      </c>
      <c r="C9" s="31" t="s">
        <v>32</v>
      </c>
      <c r="D9" s="31" t="s">
        <v>33</v>
      </c>
      <c r="E9" s="31" t="s">
        <v>34</v>
      </c>
      <c r="G9" s="32" t="s">
        <v>17</v>
      </c>
      <c r="H9" s="32" t="s">
        <v>16</v>
      </c>
      <c r="I9" s="32" t="s">
        <v>65</v>
      </c>
      <c r="J9" s="32" t="s">
        <v>17</v>
      </c>
      <c r="K9" s="32" t="s">
        <v>66</v>
      </c>
    </row>
    <row r="10" spans="1:15" x14ac:dyDescent="0.2">
      <c r="B10" s="29"/>
      <c r="C10" s="29"/>
      <c r="D10" s="29"/>
      <c r="E10" s="29"/>
      <c r="O10" s="4"/>
    </row>
    <row r="11" spans="1:15" x14ac:dyDescent="0.2">
      <c r="A11" s="4" t="s">
        <v>109</v>
      </c>
      <c r="B11" s="29">
        <v>109613.13257509821</v>
      </c>
      <c r="C11" s="29">
        <v>177379.41377767292</v>
      </c>
      <c r="D11" s="29">
        <v>-203.64741769543909</v>
      </c>
      <c r="E11" s="29">
        <f>SUM(B11:D11)</f>
        <v>286788.89893507567</v>
      </c>
      <c r="F11" s="3"/>
      <c r="G11" s="80">
        <f>'Allocation Factors - Page 2'!G7</f>
        <v>1</v>
      </c>
      <c r="H11" s="80">
        <f>'Allocation Factors - Page 2'!H7</f>
        <v>0</v>
      </c>
      <c r="I11" s="2">
        <f>G11*B11</f>
        <v>109613.13257509821</v>
      </c>
      <c r="J11" s="3">
        <f t="shared" ref="J11:J18" si="0">I11+D11+C11</f>
        <v>286788.89893507567</v>
      </c>
      <c r="K11" s="2">
        <f>H11*B11</f>
        <v>0</v>
      </c>
      <c r="M11" s="21"/>
      <c r="O11" s="4"/>
    </row>
    <row r="12" spans="1:15" x14ac:dyDescent="0.2">
      <c r="A12" s="4" t="s">
        <v>110</v>
      </c>
      <c r="B12" s="29">
        <v>196960.90361186946</v>
      </c>
      <c r="C12" s="29">
        <v>40056.902426342524</v>
      </c>
      <c r="D12" s="29">
        <v>6449.7757251748153</v>
      </c>
      <c r="E12" s="29">
        <f t="shared" ref="E12:E18" si="1">SUM(B12:D12)</f>
        <v>243467.58176338678</v>
      </c>
      <c r="F12" s="3"/>
      <c r="G12" s="80">
        <f>'Allocation Factors - Page 2'!G8</f>
        <v>0.54758648919302833</v>
      </c>
      <c r="H12" s="80">
        <f>'Allocation Factors - Page 2'!H8</f>
        <v>0.45241351080697167</v>
      </c>
      <c r="I12" s="2">
        <f t="shared" ref="I12:I18" si="2">G12*B12</f>
        <v>107853.12971711005</v>
      </c>
      <c r="J12" s="3">
        <f t="shared" si="0"/>
        <v>154359.80786862737</v>
      </c>
      <c r="K12" s="2">
        <f t="shared" ref="K12:K18" si="3">H12*B12</f>
        <v>89107.773894759419</v>
      </c>
      <c r="M12" s="21"/>
      <c r="N12" s="21"/>
      <c r="O12" s="4"/>
    </row>
    <row r="13" spans="1:15" x14ac:dyDescent="0.2">
      <c r="A13" s="4" t="s">
        <v>112</v>
      </c>
      <c r="B13" s="29">
        <v>276950.26534919662</v>
      </c>
      <c r="C13" s="29">
        <v>101283.86759399998</v>
      </c>
      <c r="D13" s="29">
        <v>14463.61644060188</v>
      </c>
      <c r="E13" s="29">
        <f t="shared" si="1"/>
        <v>392697.74938379845</v>
      </c>
      <c r="F13" s="3"/>
      <c r="G13" s="80">
        <f>'Allocation Factors - Page 2'!G9</f>
        <v>1</v>
      </c>
      <c r="H13" s="80">
        <f>'Allocation Factors - Page 2'!H9</f>
        <v>0</v>
      </c>
      <c r="I13" s="2">
        <f t="shared" si="2"/>
        <v>276950.26534919662</v>
      </c>
      <c r="J13" s="3">
        <f t="shared" si="0"/>
        <v>392697.74938379845</v>
      </c>
      <c r="K13" s="2">
        <f t="shared" si="3"/>
        <v>0</v>
      </c>
      <c r="M13" s="21"/>
      <c r="O13" s="4"/>
    </row>
    <row r="14" spans="1:15" x14ac:dyDescent="0.2">
      <c r="A14" s="4" t="s">
        <v>113</v>
      </c>
      <c r="B14" s="29">
        <v>700409.65539380093</v>
      </c>
      <c r="C14" s="29">
        <v>54818.847232966757</v>
      </c>
      <c r="D14" s="29">
        <v>-8454.636398802797</v>
      </c>
      <c r="E14" s="29">
        <f t="shared" si="1"/>
        <v>746773.86622796499</v>
      </c>
      <c r="F14" s="3"/>
      <c r="G14" s="80">
        <f>'Allocation Factors - Page 2'!G10</f>
        <v>0.43459409036928359</v>
      </c>
      <c r="H14" s="80">
        <f>'Allocation Factors - Page 2'!H10</f>
        <v>0.56540590963071646</v>
      </c>
      <c r="I14" s="2">
        <f t="shared" si="2"/>
        <v>304393.89707173232</v>
      </c>
      <c r="J14" s="3">
        <f t="shared" si="0"/>
        <v>350758.10790589626</v>
      </c>
      <c r="K14" s="2">
        <f t="shared" si="3"/>
        <v>396015.75832206866</v>
      </c>
      <c r="M14" s="21"/>
      <c r="N14" s="21"/>
      <c r="O14" s="4"/>
    </row>
    <row r="15" spans="1:15" x14ac:dyDescent="0.2">
      <c r="A15" s="4" t="s">
        <v>155</v>
      </c>
      <c r="B15" s="29">
        <v>625156.48750989907</v>
      </c>
      <c r="C15" s="29">
        <v>542633.16600000078</v>
      </c>
      <c r="D15" s="29">
        <v>84254.060702647374</v>
      </c>
      <c r="E15" s="29">
        <f>SUM(B15:D15)</f>
        <v>1252043.7142125473</v>
      </c>
      <c r="F15" s="3"/>
      <c r="G15" s="80">
        <f>'Allocation Factors - Page 2'!G11</f>
        <v>1</v>
      </c>
      <c r="H15" s="80">
        <f>'Allocation Factors - Page 2'!H11</f>
        <v>0</v>
      </c>
      <c r="I15" s="2">
        <f>G15*B15</f>
        <v>625156.48750989907</v>
      </c>
      <c r="J15" s="3">
        <f>I15+D15+C15</f>
        <v>1252043.7142125471</v>
      </c>
      <c r="K15" s="2">
        <f>H15*B15</f>
        <v>0</v>
      </c>
      <c r="M15" s="21"/>
      <c r="O15" s="4"/>
    </row>
    <row r="16" spans="1:15" x14ac:dyDescent="0.2">
      <c r="A16" s="4" t="s">
        <v>114</v>
      </c>
      <c r="B16" s="29">
        <v>193881.38604940393</v>
      </c>
      <c r="C16" s="29">
        <v>55486.305357504025</v>
      </c>
      <c r="D16" s="29">
        <v>66796.222893475482</v>
      </c>
      <c r="E16" s="29">
        <f t="shared" si="1"/>
        <v>316163.91430038342</v>
      </c>
      <c r="F16" s="3"/>
      <c r="G16" s="80">
        <f>'Allocation Factors - Page 2'!G12</f>
        <v>0.45739286719317046</v>
      </c>
      <c r="H16" s="80">
        <f>'Allocation Factors - Page 2'!H12</f>
        <v>0.54260713280682948</v>
      </c>
      <c r="I16" s="2">
        <f t="shared" si="2"/>
        <v>88679.963060522816</v>
      </c>
      <c r="J16" s="3">
        <f t="shared" si="0"/>
        <v>210962.49131150232</v>
      </c>
      <c r="K16" s="2">
        <f t="shared" si="3"/>
        <v>105201.4229888811</v>
      </c>
      <c r="M16" s="21"/>
      <c r="N16" s="21"/>
      <c r="O16" s="4"/>
    </row>
    <row r="17" spans="1:15" x14ac:dyDescent="0.2">
      <c r="A17" s="21" t="s">
        <v>156</v>
      </c>
      <c r="B17" s="29">
        <v>1085885.7314008148</v>
      </c>
      <c r="C17" s="29">
        <v>1567646.1002974361</v>
      </c>
      <c r="D17" s="29">
        <v>110953.39183417184</v>
      </c>
      <c r="E17" s="29">
        <f t="shared" si="1"/>
        <v>2764485.2235324229</v>
      </c>
      <c r="F17" s="3"/>
      <c r="G17" s="80">
        <f>'Allocation Factors - Page 2'!G13</f>
        <v>0.97198731701401553</v>
      </c>
      <c r="H17" s="80">
        <f>'Allocation Factors - Page 2'!H13</f>
        <v>2.8012682985984493E-2</v>
      </c>
      <c r="I17" s="2">
        <f t="shared" si="2"/>
        <v>1055467.15864808</v>
      </c>
      <c r="J17" s="3">
        <f t="shared" si="0"/>
        <v>2734066.6507796878</v>
      </c>
      <c r="K17" s="2">
        <f t="shared" si="3"/>
        <v>30418.572752734934</v>
      </c>
      <c r="M17" s="21"/>
      <c r="N17" s="21"/>
      <c r="O17" s="4"/>
    </row>
    <row r="18" spans="1:15" x14ac:dyDescent="0.2">
      <c r="A18" s="4" t="s">
        <v>21</v>
      </c>
      <c r="B18" s="29">
        <v>437796.41707661131</v>
      </c>
      <c r="C18" s="29">
        <v>0</v>
      </c>
      <c r="D18" s="29">
        <v>149596.76155425614</v>
      </c>
      <c r="E18" s="29">
        <f t="shared" si="1"/>
        <v>587393.17863086751</v>
      </c>
      <c r="G18" s="80">
        <f>'Allocation Factors - Page 2'!G14</f>
        <v>1</v>
      </c>
      <c r="H18" s="80">
        <f>'Allocation Factors - Page 2'!H14</f>
        <v>0</v>
      </c>
      <c r="I18" s="2">
        <f t="shared" si="2"/>
        <v>437796.41707661131</v>
      </c>
      <c r="J18" s="3">
        <f t="shared" si="0"/>
        <v>587393.17863086751</v>
      </c>
      <c r="K18" s="2">
        <f t="shared" si="3"/>
        <v>0</v>
      </c>
      <c r="M18" s="21"/>
      <c r="O18" s="4"/>
    </row>
    <row r="19" spans="1:15" x14ac:dyDescent="0.2">
      <c r="B19" s="29"/>
      <c r="C19" s="29"/>
      <c r="D19" s="60"/>
      <c r="E19" s="29"/>
      <c r="F19" s="3"/>
      <c r="G19" s="22"/>
      <c r="H19" s="22"/>
      <c r="I19" s="2"/>
      <c r="J19" s="3"/>
      <c r="K19" s="2"/>
      <c r="O19" s="4"/>
    </row>
    <row r="20" spans="1:15" x14ac:dyDescent="0.2">
      <c r="A20" s="4" t="s">
        <v>35</v>
      </c>
      <c r="B20" s="29">
        <f>SUM(B11:B18)</f>
        <v>3626653.9789666943</v>
      </c>
      <c r="C20" s="29">
        <f>SUM(C11:C18)</f>
        <v>2539304.6026859232</v>
      </c>
      <c r="D20" s="29">
        <f>SUM(D11:D18)</f>
        <v>423855.5453338293</v>
      </c>
      <c r="E20" s="29">
        <f>SUM(E11:E18)</f>
        <v>6589814.1269864477</v>
      </c>
      <c r="I20" s="2">
        <f>SUM(I11:I18)</f>
        <v>3005910.4510082505</v>
      </c>
      <c r="J20" s="2">
        <f>SUM(J11:J18)</f>
        <v>5969070.5990280025</v>
      </c>
      <c r="K20" s="2">
        <f>SUM(K11:K18)</f>
        <v>620743.52795844409</v>
      </c>
      <c r="O20" s="4"/>
    </row>
    <row r="21" spans="1:15" x14ac:dyDescent="0.2">
      <c r="B21" s="29"/>
      <c r="C21" s="29"/>
      <c r="D21" s="29"/>
      <c r="E21" s="29"/>
      <c r="I21" s="2"/>
      <c r="J21" s="3"/>
      <c r="K21" s="3"/>
      <c r="O21" s="4"/>
    </row>
    <row r="22" spans="1:15" x14ac:dyDescent="0.2">
      <c r="A22" s="4" t="s">
        <v>131</v>
      </c>
      <c r="B22" s="29">
        <f>'Page 5'!H39</f>
        <v>252236.40000000002</v>
      </c>
      <c r="C22" s="29"/>
      <c r="D22" s="29"/>
      <c r="E22" s="29"/>
      <c r="I22" s="2"/>
      <c r="J22" s="3">
        <f>'Page 5'!H34</f>
        <v>146416.80000000002</v>
      </c>
      <c r="K22" s="3">
        <f>'Page 5'!H37</f>
        <v>105819.6</v>
      </c>
      <c r="O22" s="4"/>
    </row>
    <row r="23" spans="1:15" x14ac:dyDescent="0.2">
      <c r="B23" s="29"/>
      <c r="C23" s="29"/>
      <c r="D23" s="29"/>
      <c r="E23" s="29"/>
      <c r="I23" s="2"/>
      <c r="J23" s="3"/>
      <c r="K23" s="3"/>
      <c r="O23" s="4"/>
    </row>
    <row r="24" spans="1:15" x14ac:dyDescent="0.2">
      <c r="B24" s="21" t="s">
        <v>128</v>
      </c>
      <c r="C24" s="21"/>
      <c r="D24" s="21"/>
      <c r="E24" s="21"/>
      <c r="I24" s="2"/>
      <c r="O24" s="4"/>
    </row>
    <row r="25" spans="1:15" x14ac:dyDescent="0.2">
      <c r="B25" s="21"/>
      <c r="C25" s="21"/>
      <c r="D25" s="21"/>
      <c r="E25" s="21"/>
      <c r="I25" s="2"/>
      <c r="O25" s="4"/>
    </row>
    <row r="26" spans="1:15" ht="29.25" customHeight="1" x14ac:dyDescent="0.2">
      <c r="B26" s="21"/>
      <c r="C26" s="67" t="s">
        <v>29</v>
      </c>
      <c r="D26" s="67" t="s">
        <v>30</v>
      </c>
      <c r="E26" s="21"/>
      <c r="G26" s="113" t="s">
        <v>36</v>
      </c>
      <c r="H26" s="113"/>
      <c r="I26" s="2"/>
      <c r="J26" s="114" t="str">
        <f>J8</f>
        <v>Budget (Costs, Lost Revenues, &amp; Shared Savings)</v>
      </c>
      <c r="K26" s="114"/>
      <c r="O26" s="4"/>
    </row>
    <row r="27" spans="1:15" ht="15" x14ac:dyDescent="0.35">
      <c r="B27" s="32" t="s">
        <v>31</v>
      </c>
      <c r="C27" s="32" t="s">
        <v>32</v>
      </c>
      <c r="D27" s="32" t="s">
        <v>33</v>
      </c>
      <c r="E27" s="32" t="s">
        <v>34</v>
      </c>
      <c r="G27" s="32" t="s">
        <v>17</v>
      </c>
      <c r="H27" s="32" t="s">
        <v>16</v>
      </c>
      <c r="I27" s="33" t="str">
        <f>I9</f>
        <v>Electric Costs</v>
      </c>
      <c r="J27" s="32" t="s">
        <v>17</v>
      </c>
      <c r="K27" s="32" t="s">
        <v>16</v>
      </c>
      <c r="O27" s="4"/>
    </row>
    <row r="28" spans="1:15" x14ac:dyDescent="0.2">
      <c r="B28" s="29"/>
      <c r="C28" s="29"/>
      <c r="D28" s="29"/>
      <c r="E28" s="29"/>
      <c r="G28" s="22"/>
      <c r="H28" s="22"/>
      <c r="I28" s="2"/>
      <c r="J28" s="3"/>
      <c r="K28" s="40"/>
    </row>
    <row r="29" spans="1:15" x14ac:dyDescent="0.2">
      <c r="A29" s="4" t="s">
        <v>115</v>
      </c>
      <c r="B29" s="29">
        <v>512159.83251510642</v>
      </c>
      <c r="C29" s="29">
        <v>97430.343761233293</v>
      </c>
      <c r="D29" s="29">
        <v>91979.453872129438</v>
      </c>
      <c r="E29" s="29">
        <f>SUM(B29:D29)</f>
        <v>701569.63014846912</v>
      </c>
      <c r="G29" s="22">
        <f>1-H29</f>
        <v>1</v>
      </c>
      <c r="H29" s="22">
        <v>0</v>
      </c>
      <c r="I29" s="2">
        <f>G29*B29</f>
        <v>512159.83251510642</v>
      </c>
      <c r="J29" s="3">
        <f t="shared" ref="J29:J37" si="4">I29+D29+C29</f>
        <v>701569.63014846912</v>
      </c>
      <c r="K29" s="40" t="s">
        <v>20</v>
      </c>
    </row>
    <row r="30" spans="1:15" x14ac:dyDescent="0.2">
      <c r="A30" s="21" t="s">
        <v>129</v>
      </c>
      <c r="B30" s="29">
        <v>19997.497608192149</v>
      </c>
      <c r="C30" s="29">
        <v>21798.40397682078</v>
      </c>
      <c r="D30" s="29">
        <v>15832.146658058831</v>
      </c>
      <c r="E30" s="29">
        <f t="shared" ref="E30:E37" si="5">SUM(B30:D30)</f>
        <v>57628.04824307176</v>
      </c>
      <c r="G30" s="22">
        <f>1-H30</f>
        <v>1</v>
      </c>
      <c r="H30" s="22">
        <v>0</v>
      </c>
      <c r="I30" s="2">
        <f t="shared" ref="I30:I37" si="6">G30*B30</f>
        <v>19997.497608192149</v>
      </c>
      <c r="J30" s="3">
        <f t="shared" si="4"/>
        <v>57628.04824307176</v>
      </c>
      <c r="K30" s="40" t="s">
        <v>20</v>
      </c>
    </row>
    <row r="31" spans="1:15" x14ac:dyDescent="0.2">
      <c r="A31" s="21" t="s">
        <v>152</v>
      </c>
      <c r="B31" s="29">
        <v>137089.49498182675</v>
      </c>
      <c r="C31" s="29">
        <v>30552.133465854677</v>
      </c>
      <c r="D31" s="29">
        <v>79234.295219901323</v>
      </c>
      <c r="E31" s="29">
        <f t="shared" si="5"/>
        <v>246875.92366758274</v>
      </c>
      <c r="G31" s="22">
        <f>1-H31</f>
        <v>1</v>
      </c>
      <c r="H31" s="22">
        <v>0</v>
      </c>
      <c r="I31" s="2">
        <f t="shared" si="6"/>
        <v>137089.49498182675</v>
      </c>
      <c r="J31" s="3">
        <f t="shared" si="4"/>
        <v>246875.92366758274</v>
      </c>
      <c r="K31" s="40" t="s">
        <v>20</v>
      </c>
    </row>
    <row r="32" spans="1:15" x14ac:dyDescent="0.2">
      <c r="A32" s="21" t="s">
        <v>153</v>
      </c>
      <c r="B32" s="29">
        <v>889001.05456782936</v>
      </c>
      <c r="C32" s="29">
        <v>302730.2372629217</v>
      </c>
      <c r="D32" s="29">
        <v>470352.45893909386</v>
      </c>
      <c r="E32" s="29">
        <f t="shared" si="5"/>
        <v>1662083.750769845</v>
      </c>
      <c r="G32" s="22">
        <v>1</v>
      </c>
      <c r="H32" s="22">
        <v>0</v>
      </c>
      <c r="I32" s="2">
        <f t="shared" si="6"/>
        <v>889001.05456782936</v>
      </c>
      <c r="J32" s="3">
        <f t="shared" si="4"/>
        <v>1662083.750769845</v>
      </c>
      <c r="K32" s="40" t="s">
        <v>20</v>
      </c>
    </row>
    <row r="33" spans="1:11" x14ac:dyDescent="0.2">
      <c r="A33" s="4" t="s">
        <v>119</v>
      </c>
      <c r="B33" s="29">
        <v>56721.809166087565</v>
      </c>
      <c r="C33" s="29">
        <v>23435.127336648035</v>
      </c>
      <c r="D33" s="29">
        <v>20323.827404685198</v>
      </c>
      <c r="E33" s="29">
        <f t="shared" si="5"/>
        <v>100480.7639074208</v>
      </c>
      <c r="G33" s="22">
        <v>1</v>
      </c>
      <c r="H33" s="22">
        <v>0</v>
      </c>
      <c r="I33" s="2">
        <f t="shared" si="6"/>
        <v>56721.809166087565</v>
      </c>
      <c r="J33" s="3">
        <f t="shared" si="4"/>
        <v>100480.7639074208</v>
      </c>
      <c r="K33" s="40" t="s">
        <v>20</v>
      </c>
    </row>
    <row r="34" spans="1:11" x14ac:dyDescent="0.2">
      <c r="A34" s="4" t="s">
        <v>120</v>
      </c>
      <c r="B34" s="29">
        <v>2030.786719330466</v>
      </c>
      <c r="C34" s="29">
        <v>2200.6175857063868</v>
      </c>
      <c r="D34" s="29">
        <v>1467.7249105451504</v>
      </c>
      <c r="E34" s="29">
        <f t="shared" si="5"/>
        <v>5699.1292155820029</v>
      </c>
      <c r="G34" s="22">
        <v>1</v>
      </c>
      <c r="H34" s="22">
        <v>0</v>
      </c>
      <c r="I34" s="2">
        <f t="shared" si="6"/>
        <v>2030.786719330466</v>
      </c>
      <c r="J34" s="3">
        <f t="shared" si="4"/>
        <v>5699.1292155820029</v>
      </c>
      <c r="K34" s="40" t="s">
        <v>20</v>
      </c>
    </row>
    <row r="35" spans="1:11" x14ac:dyDescent="0.2">
      <c r="A35" s="21" t="s">
        <v>154</v>
      </c>
      <c r="B35" s="29">
        <v>16252.581835933252</v>
      </c>
      <c r="C35" s="29">
        <v>4056.0042730713931</v>
      </c>
      <c r="D35" s="29">
        <v>6035.0657385371742</v>
      </c>
      <c r="E35" s="29">
        <f t="shared" si="5"/>
        <v>26343.65184754182</v>
      </c>
      <c r="G35" s="22">
        <v>1</v>
      </c>
      <c r="H35" s="22">
        <v>0</v>
      </c>
      <c r="I35" s="2">
        <f t="shared" ref="I35" si="7">G35*B35</f>
        <v>16252.581835933252</v>
      </c>
      <c r="J35" s="3">
        <f t="shared" si="4"/>
        <v>26343.65184754182</v>
      </c>
      <c r="K35" s="56" t="s">
        <v>20</v>
      </c>
    </row>
    <row r="36" spans="1:11" x14ac:dyDescent="0.2">
      <c r="A36" s="21" t="s">
        <v>158</v>
      </c>
      <c r="B36" s="29">
        <v>757668.32020196947</v>
      </c>
      <c r="C36" s="29">
        <v>27556.013457314384</v>
      </c>
      <c r="D36" s="29">
        <v>161763.57364319279</v>
      </c>
      <c r="E36" s="29">
        <f t="shared" ref="E36" si="8">SUM(B36:D36)</f>
        <v>946987.90730247658</v>
      </c>
      <c r="G36" s="22">
        <v>1</v>
      </c>
      <c r="H36" s="22">
        <v>0</v>
      </c>
      <c r="I36" s="2">
        <f t="shared" ref="I36" si="9">G36*B36</f>
        <v>757668.32020196947</v>
      </c>
      <c r="J36" s="3">
        <f t="shared" si="4"/>
        <v>946987.90730247658</v>
      </c>
      <c r="K36" s="63" t="s">
        <v>20</v>
      </c>
    </row>
    <row r="37" spans="1:11" x14ac:dyDescent="0.2">
      <c r="A37" s="4" t="s">
        <v>121</v>
      </c>
      <c r="B37" s="29">
        <v>924747.12394456775</v>
      </c>
      <c r="C37" s="29">
        <v>0</v>
      </c>
      <c r="D37" s="29">
        <v>166873.63792998515</v>
      </c>
      <c r="E37" s="29">
        <f t="shared" si="5"/>
        <v>1091620.7618745528</v>
      </c>
      <c r="G37" s="22">
        <v>1</v>
      </c>
      <c r="H37" s="22">
        <v>0</v>
      </c>
      <c r="I37" s="2">
        <f t="shared" si="6"/>
        <v>924747.12394456775</v>
      </c>
      <c r="J37" s="3">
        <f t="shared" si="4"/>
        <v>1091620.7618745528</v>
      </c>
      <c r="K37" s="40" t="s">
        <v>20</v>
      </c>
    </row>
    <row r="38" spans="1:11" x14ac:dyDescent="0.2">
      <c r="B38" s="29"/>
      <c r="C38" s="29"/>
      <c r="D38" s="29"/>
      <c r="E38" s="29"/>
      <c r="I38" s="3"/>
    </row>
    <row r="39" spans="1:11" x14ac:dyDescent="0.2">
      <c r="A39" s="21" t="s">
        <v>35</v>
      </c>
      <c r="B39" s="29">
        <f>SUM(B29:B37)</f>
        <v>3315668.5015408434</v>
      </c>
      <c r="C39" s="29">
        <f>SUM(C29:C37)</f>
        <v>509758.88111957075</v>
      </c>
      <c r="D39" s="29">
        <f>SUM(D29:D37)</f>
        <v>1013862.184316129</v>
      </c>
      <c r="E39" s="29">
        <f>SUM(E29:E37)</f>
        <v>4839289.5669765417</v>
      </c>
      <c r="I39" s="3">
        <f>SUM(I29:I37)</f>
        <v>3315668.5015408434</v>
      </c>
      <c r="J39" s="3">
        <f>SUM(J29:J37)</f>
        <v>4839289.5669765417</v>
      </c>
      <c r="K39" s="57" t="s">
        <v>20</v>
      </c>
    </row>
    <row r="40" spans="1:11" x14ac:dyDescent="0.2">
      <c r="B40" s="29"/>
      <c r="C40" s="29"/>
      <c r="D40" s="29"/>
      <c r="E40" s="29"/>
      <c r="I40" s="3"/>
      <c r="J40" s="3"/>
    </row>
    <row r="41" spans="1:11" x14ac:dyDescent="0.2">
      <c r="A41" s="4" t="s">
        <v>97</v>
      </c>
      <c r="B41" s="60">
        <f>SUM(B20,B39)</f>
        <v>6942322.4805075377</v>
      </c>
      <c r="C41" s="60">
        <f>SUM(C20,C39)</f>
        <v>3049063.4838054939</v>
      </c>
      <c r="D41" s="60">
        <f>SUM(D20,D39)</f>
        <v>1437717.7296499582</v>
      </c>
      <c r="E41" s="60">
        <f>SUM(E20,E39)</f>
        <v>11429103.693962989</v>
      </c>
    </row>
    <row r="42" spans="1:11" x14ac:dyDescent="0.2">
      <c r="C42" s="3"/>
      <c r="D42" s="3"/>
    </row>
    <row r="44" spans="1:11" x14ac:dyDescent="0.2">
      <c r="A44" s="21" t="s">
        <v>130</v>
      </c>
      <c r="B44" s="21"/>
      <c r="C44" s="21"/>
      <c r="D44" s="21"/>
      <c r="E44" s="21"/>
    </row>
    <row r="45" spans="1:11" x14ac:dyDescent="0.2">
      <c r="A45" s="21" t="s">
        <v>157</v>
      </c>
    </row>
    <row r="46" spans="1:11" x14ac:dyDescent="0.2">
      <c r="A46" s="21" t="s">
        <v>159</v>
      </c>
    </row>
    <row r="47" spans="1:11" x14ac:dyDescent="0.2">
      <c r="A47" s="21"/>
    </row>
    <row r="48" spans="1:11" x14ac:dyDescent="0.2">
      <c r="A48" s="21"/>
    </row>
  </sheetData>
  <mergeCells count="4">
    <mergeCell ref="G8:H8"/>
    <mergeCell ref="G26:H26"/>
    <mergeCell ref="J8:K8"/>
    <mergeCell ref="J26:K26"/>
  </mergeCells>
  <phoneticPr fontId="5" type="noConversion"/>
  <pageMargins left="0.43" right="0.34" top="1" bottom="1" header="0.5" footer="0.5"/>
  <pageSetup scale="46" orientation="landscape" r:id="rId1"/>
  <headerFooter alignWithMargins="0">
    <oddHeader>&amp;R&amp;"Times New Roman,Bold"KyPSC Case No. 2014-00388
STAFF-DR-03-005 Page 1 w Act Page 2 w Proj
&amp;P of &amp;N</oddHeader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view="pageLayout" zoomScaleNormal="80" workbookViewId="0">
      <selection activeCell="N2" sqref="N2"/>
    </sheetView>
  </sheetViews>
  <sheetFormatPr defaultColWidth="9.140625" defaultRowHeight="12.75" x14ac:dyDescent="0.2"/>
  <cols>
    <col min="1" max="1" width="9.140625" style="4"/>
    <col min="2" max="2" width="28.5703125" style="4" customWidth="1"/>
    <col min="3" max="3" width="17.5703125" style="4" customWidth="1"/>
    <col min="4" max="5" width="14.140625" style="4" customWidth="1"/>
    <col min="6" max="7" width="9.140625" style="4"/>
    <col min="8" max="8" width="10.28515625" style="4" customWidth="1"/>
    <col min="9" max="11" width="9.140625" style="4"/>
    <col min="12" max="12" width="10.7109375" style="4" customWidth="1"/>
    <col min="13" max="13" width="9.140625" style="4"/>
    <col min="14" max="14" width="11.28515625" style="4" bestFit="1" customWidth="1"/>
    <col min="15" max="16384" width="9.140625" style="4"/>
  </cols>
  <sheetData>
    <row r="1" spans="2:14" x14ac:dyDescent="0.2">
      <c r="B1" s="4" t="str">
        <f>'Page 1'!E3</f>
        <v xml:space="preserve">                      Kentucky DSM Rider</v>
      </c>
      <c r="D1" s="39"/>
    </row>
    <row r="3" spans="2:14" x14ac:dyDescent="0.2">
      <c r="B3" s="4" t="s">
        <v>90</v>
      </c>
    </row>
    <row r="4" spans="2:14" x14ac:dyDescent="0.2">
      <c r="B4" s="21" t="s">
        <v>79</v>
      </c>
    </row>
    <row r="5" spans="2:14" x14ac:dyDescent="0.2">
      <c r="B5" s="4" t="s">
        <v>104</v>
      </c>
    </row>
    <row r="7" spans="2:14" x14ac:dyDescent="0.2">
      <c r="B7" s="21" t="s">
        <v>148</v>
      </c>
    </row>
    <row r="10" spans="2:14" x14ac:dyDescent="0.2">
      <c r="D10" s="4" t="s">
        <v>37</v>
      </c>
    </row>
    <row r="11" spans="2:14" x14ac:dyDescent="0.2">
      <c r="D11" s="4" t="s">
        <v>38</v>
      </c>
    </row>
    <row r="12" spans="2:14" x14ac:dyDescent="0.2">
      <c r="B12" s="34" t="s">
        <v>39</v>
      </c>
    </row>
    <row r="14" spans="2:14" x14ac:dyDescent="0.2">
      <c r="B14" s="4" t="s">
        <v>40</v>
      </c>
      <c r="D14" s="23">
        <f>'Page 2'!J20</f>
        <v>5969070.5990280025</v>
      </c>
    </row>
    <row r="15" spans="2:14" x14ac:dyDescent="0.2">
      <c r="D15" s="2"/>
    </row>
    <row r="16" spans="2:14" x14ac:dyDescent="0.2">
      <c r="B16" s="4" t="s">
        <v>93</v>
      </c>
      <c r="D16" s="2"/>
      <c r="H16" s="6"/>
      <c r="I16" s="6"/>
      <c r="J16" s="6"/>
      <c r="K16" s="6"/>
      <c r="L16" s="7"/>
      <c r="N16" s="6"/>
    </row>
    <row r="17" spans="2:14" x14ac:dyDescent="0.2">
      <c r="B17" s="4" t="s">
        <v>41</v>
      </c>
      <c r="D17" s="2">
        <f>'Page 2'!J39-'Page 2'!J37</f>
        <v>3747668.8051019888</v>
      </c>
      <c r="N17" s="7"/>
    </row>
    <row r="18" spans="2:14" x14ac:dyDescent="0.2">
      <c r="D18" s="2"/>
    </row>
    <row r="19" spans="2:14" x14ac:dyDescent="0.2">
      <c r="B19" s="4" t="s">
        <v>95</v>
      </c>
      <c r="D19" s="2"/>
      <c r="H19" s="6"/>
    </row>
    <row r="20" spans="2:14" x14ac:dyDescent="0.2">
      <c r="B20" s="4" t="s">
        <v>94</v>
      </c>
      <c r="D20" s="2">
        <f>'Page 2'!J37</f>
        <v>1091620.7618745528</v>
      </c>
    </row>
    <row r="21" spans="2:14" x14ac:dyDescent="0.2">
      <c r="D21" s="2"/>
    </row>
    <row r="22" spans="2:14" x14ac:dyDescent="0.2">
      <c r="B22" s="34" t="s">
        <v>42</v>
      </c>
      <c r="D22" s="2"/>
    </row>
    <row r="23" spans="2:14" x14ac:dyDescent="0.2">
      <c r="B23" s="4" t="s">
        <v>40</v>
      </c>
      <c r="D23" s="2">
        <f>'Page 2'!K20</f>
        <v>620743.52795844409</v>
      </c>
    </row>
    <row r="26" spans="2:14" x14ac:dyDescent="0.2">
      <c r="B26" s="21" t="s">
        <v>151</v>
      </c>
    </row>
  </sheetData>
  <phoneticPr fontId="5" type="noConversion"/>
  <pageMargins left="0.43" right="0.34" top="1" bottom="1" header="0.5" footer="0.5"/>
  <pageSetup scale="46" orientation="landscape" r:id="rId1"/>
  <headerFooter alignWithMargins="0">
    <oddHeader>&amp;R&amp;"Times New Roman,Bold"KyPSC Case No. 2014-00388
STAFF-DR-03-005 Page 1 w Act Page 2 w Proj
&amp;P of &amp;N</oddHeader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tabSelected="1" view="pageLayout" zoomScaleNormal="80" workbookViewId="0">
      <selection activeCell="N2" sqref="N2"/>
    </sheetView>
  </sheetViews>
  <sheetFormatPr defaultColWidth="9.140625" defaultRowHeight="12.75" x14ac:dyDescent="0.2"/>
  <cols>
    <col min="1" max="1" width="9.140625" style="4"/>
    <col min="2" max="2" width="30.85546875" style="4" customWidth="1"/>
    <col min="3" max="3" width="16.28515625" style="4" customWidth="1"/>
    <col min="4" max="5" width="12.85546875" style="4" bestFit="1" customWidth="1"/>
    <col min="6" max="6" width="10.42578125" style="4" customWidth="1"/>
    <col min="7" max="7" width="11.42578125" style="4" customWidth="1"/>
    <col min="8" max="10" width="9.140625" style="4"/>
    <col min="11" max="11" width="11.28515625" style="4" customWidth="1"/>
    <col min="12" max="16384" width="9.140625" style="4"/>
  </cols>
  <sheetData>
    <row r="1" spans="2:13" x14ac:dyDescent="0.2">
      <c r="B1" s="4" t="str">
        <f>'Page 1'!E3</f>
        <v xml:space="preserve">                      Kentucky DSM Rider</v>
      </c>
      <c r="C1" s="39"/>
    </row>
    <row r="3" spans="2:13" x14ac:dyDescent="0.2">
      <c r="B3" s="4" t="str">
        <f>'Page 3'!B3</f>
        <v>Duke Energy Kentucky</v>
      </c>
    </row>
    <row r="4" spans="2:13" x14ac:dyDescent="0.2">
      <c r="B4" s="21" t="s">
        <v>79</v>
      </c>
    </row>
    <row r="5" spans="2:13" x14ac:dyDescent="0.2">
      <c r="B5" s="4" t="s">
        <v>43</v>
      </c>
    </row>
    <row r="8" spans="2:13" x14ac:dyDescent="0.2">
      <c r="B8" s="4" t="s">
        <v>44</v>
      </c>
      <c r="C8" s="4">
        <v>2015</v>
      </c>
      <c r="E8" s="21"/>
    </row>
    <row r="9" spans="2:13" x14ac:dyDescent="0.2">
      <c r="E9" s="21"/>
    </row>
    <row r="10" spans="2:13" x14ac:dyDescent="0.2">
      <c r="B10" s="4" t="s">
        <v>99</v>
      </c>
    </row>
    <row r="12" spans="2:13" x14ac:dyDescent="0.2">
      <c r="B12" s="4" t="s">
        <v>45</v>
      </c>
      <c r="C12" s="6">
        <v>1500287137.4865263</v>
      </c>
      <c r="E12" s="6"/>
      <c r="F12" s="21"/>
      <c r="G12" s="6"/>
      <c r="H12" s="6"/>
      <c r="I12" s="6"/>
      <c r="J12" s="6"/>
      <c r="K12" s="7"/>
      <c r="M12" s="6"/>
    </row>
    <row r="13" spans="2:13" x14ac:dyDescent="0.2">
      <c r="C13" s="6"/>
      <c r="M13" s="7"/>
    </row>
    <row r="14" spans="2:13" x14ac:dyDescent="0.2">
      <c r="B14" s="4" t="s">
        <v>46</v>
      </c>
      <c r="C14" s="6"/>
    </row>
    <row r="15" spans="2:13" x14ac:dyDescent="0.2">
      <c r="B15" s="4" t="s">
        <v>47</v>
      </c>
      <c r="C15" s="7">
        <v>2403218076.8822436</v>
      </c>
      <c r="F15" s="21"/>
      <c r="G15" s="6"/>
    </row>
    <row r="16" spans="2:13" x14ac:dyDescent="0.2">
      <c r="C16" s="7"/>
    </row>
    <row r="17" spans="2:6" x14ac:dyDescent="0.2">
      <c r="B17" s="4" t="s">
        <v>46</v>
      </c>
      <c r="C17" s="7"/>
      <c r="F17" s="7"/>
    </row>
    <row r="18" spans="2:6" x14ac:dyDescent="0.2">
      <c r="B18" s="4" t="s">
        <v>91</v>
      </c>
      <c r="C18" s="7">
        <v>2643552076.8822436</v>
      </c>
      <c r="F18" s="7"/>
    </row>
    <row r="19" spans="2:6" x14ac:dyDescent="0.2">
      <c r="C19" s="6"/>
      <c r="D19" s="35"/>
    </row>
    <row r="20" spans="2:6" x14ac:dyDescent="0.2">
      <c r="B20" s="4" t="s">
        <v>100</v>
      </c>
      <c r="C20" s="6"/>
    </row>
    <row r="21" spans="2:6" x14ac:dyDescent="0.2">
      <c r="C21" s="6"/>
    </row>
    <row r="22" spans="2:6" x14ac:dyDescent="0.2">
      <c r="B22" s="4" t="s">
        <v>48</v>
      </c>
      <c r="C22" s="6">
        <v>63667722.58170259</v>
      </c>
      <c r="E22" s="6"/>
      <c r="F22" s="21"/>
    </row>
  </sheetData>
  <phoneticPr fontId="5" type="noConversion"/>
  <pageMargins left="0.43" right="0.34" top="1" bottom="1" header="0.5" footer="0.5"/>
  <pageSetup scale="46" orientation="landscape" r:id="rId1"/>
  <headerFooter alignWithMargins="0">
    <oddHeader>&amp;R&amp;"Times New Roman,Bold"KyPSC Case No. 2014-00388
STAFF-DR-03-005 Page 1 w Act Page 2 w Proj
&amp;P of &amp;N</oddHeader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tabSelected="1" view="pageLayout" zoomScaleNormal="80" workbookViewId="0">
      <selection activeCell="N2" sqref="N2"/>
    </sheetView>
  </sheetViews>
  <sheetFormatPr defaultColWidth="9.140625" defaultRowHeight="12.75" x14ac:dyDescent="0.2"/>
  <cols>
    <col min="1" max="1" width="13.5703125" style="4" customWidth="1"/>
    <col min="2" max="2" width="11.7109375" style="4" customWidth="1"/>
    <col min="3" max="3" width="16.7109375" style="4" customWidth="1"/>
    <col min="4" max="4" width="15.85546875" style="4" customWidth="1"/>
    <col min="5" max="5" width="1.28515625" style="4" customWidth="1"/>
    <col min="6" max="6" width="13.5703125" style="4" customWidth="1"/>
    <col min="7" max="7" width="13.140625" style="4" customWidth="1"/>
    <col min="8" max="8" width="18.28515625" style="4" customWidth="1"/>
    <col min="9" max="9" width="14.5703125" style="4" customWidth="1"/>
    <col min="10" max="10" width="6.140625" style="4" customWidth="1"/>
    <col min="11" max="11" width="22" style="4" customWidth="1"/>
    <col min="12" max="12" width="8.5703125" style="4" bestFit="1" customWidth="1"/>
    <col min="13" max="13" width="12.140625" style="4" customWidth="1"/>
    <col min="14" max="14" width="15" style="4" customWidth="1"/>
    <col min="15" max="15" width="9.140625" style="4"/>
    <col min="16" max="16" width="25" style="4" customWidth="1"/>
    <col min="17" max="17" width="9.28515625" style="4" bestFit="1" customWidth="1"/>
    <col min="18" max="16384" width="9.140625" style="4"/>
  </cols>
  <sheetData>
    <row r="1" spans="2:14" x14ac:dyDescent="0.2">
      <c r="B1" s="4" t="str">
        <f>'Page 1'!E3</f>
        <v xml:space="preserve">                      Kentucky DSM Rider</v>
      </c>
      <c r="M1" s="30"/>
    </row>
    <row r="3" spans="2:14" x14ac:dyDescent="0.2">
      <c r="B3" s="4" t="str">
        <f>'Page 4'!B3</f>
        <v>Duke Energy Kentucky</v>
      </c>
    </row>
    <row r="4" spans="2:14" x14ac:dyDescent="0.2">
      <c r="B4" s="21" t="s">
        <v>79</v>
      </c>
    </row>
    <row r="5" spans="2:14" x14ac:dyDescent="0.2">
      <c r="B5" s="4" t="s">
        <v>49</v>
      </c>
    </row>
    <row r="7" spans="2:14" x14ac:dyDescent="0.2">
      <c r="B7" s="21" t="s">
        <v>124</v>
      </c>
    </row>
    <row r="9" spans="2:14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1" spans="2:14" x14ac:dyDescent="0.2">
      <c r="G11" s="40" t="s">
        <v>50</v>
      </c>
      <c r="H11" s="40" t="s">
        <v>51</v>
      </c>
      <c r="I11" s="40" t="s">
        <v>52</v>
      </c>
    </row>
    <row r="12" spans="2:14" x14ac:dyDescent="0.2">
      <c r="B12" s="4" t="s">
        <v>53</v>
      </c>
      <c r="F12" s="40" t="s">
        <v>54</v>
      </c>
      <c r="G12" s="40" t="s">
        <v>37</v>
      </c>
      <c r="H12" s="40" t="s">
        <v>55</v>
      </c>
      <c r="I12" s="40" t="s">
        <v>56</v>
      </c>
      <c r="K12" s="4" t="s">
        <v>57</v>
      </c>
    </row>
    <row r="13" spans="2:14" x14ac:dyDescent="0.2">
      <c r="B13" s="4" t="s">
        <v>87</v>
      </c>
      <c r="F13" s="40" t="s">
        <v>61</v>
      </c>
      <c r="G13" s="40" t="s">
        <v>62</v>
      </c>
      <c r="H13" s="40" t="s">
        <v>58</v>
      </c>
      <c r="I13" s="40" t="s">
        <v>63</v>
      </c>
      <c r="K13" s="4" t="s">
        <v>80</v>
      </c>
    </row>
    <row r="14" spans="2:14" x14ac:dyDescent="0.2">
      <c r="B14" s="34" t="s">
        <v>39</v>
      </c>
      <c r="C14" s="34"/>
    </row>
    <row r="15" spans="2:14" x14ac:dyDescent="0.2">
      <c r="B15" s="4" t="s">
        <v>40</v>
      </c>
      <c r="D15" s="24"/>
      <c r="F15" s="2">
        <f>'Page 1'!O21*Q43</f>
        <v>2948067.8076820807</v>
      </c>
      <c r="G15" s="23">
        <f>'Page 2'!J20</f>
        <v>5969070.5990280025</v>
      </c>
      <c r="H15" s="3">
        <f>SUM(D15:G15)</f>
        <v>8917138.4067100827</v>
      </c>
      <c r="I15" s="6">
        <f>'Page 4'!C12</f>
        <v>1500287137.4865263</v>
      </c>
      <c r="J15" s="24" t="s">
        <v>101</v>
      </c>
      <c r="K15" s="25">
        <f>H15/(I15)</f>
        <v>5.9436211801756952E-3</v>
      </c>
      <c r="L15" s="4" t="s">
        <v>59</v>
      </c>
      <c r="N15" s="26"/>
    </row>
    <row r="16" spans="2:14" x14ac:dyDescent="0.2">
      <c r="F16" s="6"/>
      <c r="J16" s="24"/>
      <c r="N16" s="24"/>
    </row>
    <row r="17" spans="2:14" x14ac:dyDescent="0.2">
      <c r="B17" s="4" t="s">
        <v>93</v>
      </c>
      <c r="F17" s="6"/>
      <c r="J17" s="24"/>
      <c r="N17" s="24"/>
    </row>
    <row r="18" spans="2:14" x14ac:dyDescent="0.2">
      <c r="B18" s="4" t="s">
        <v>41</v>
      </c>
      <c r="D18" s="2"/>
      <c r="F18" s="23">
        <f>'Page 1'!J44*Q43</f>
        <v>-160434.57411666922</v>
      </c>
      <c r="G18" s="2">
        <f>'Page 2'!J39-'Page 2'!J37</f>
        <v>3747668.8051019888</v>
      </c>
      <c r="H18" s="3">
        <f>SUM(D18:G18)</f>
        <v>3587234.2309853197</v>
      </c>
      <c r="I18" s="6">
        <f>'Page 4'!C15</f>
        <v>2403218076.8822436</v>
      </c>
      <c r="J18" s="24" t="s">
        <v>101</v>
      </c>
      <c r="K18" s="26">
        <f>H18/(I18)</f>
        <v>1.4926794474012656E-3</v>
      </c>
      <c r="L18" s="4" t="s">
        <v>59</v>
      </c>
      <c r="N18" s="24"/>
    </row>
    <row r="19" spans="2:14" x14ac:dyDescent="0.2">
      <c r="D19" s="2"/>
      <c r="F19" s="2"/>
      <c r="G19" s="2"/>
      <c r="H19" s="3"/>
      <c r="I19" s="6"/>
      <c r="J19" s="24"/>
      <c r="K19" s="24"/>
      <c r="N19" s="24"/>
    </row>
    <row r="20" spans="2:14" x14ac:dyDescent="0.2">
      <c r="B20" s="4" t="s">
        <v>95</v>
      </c>
      <c r="G20" s="2"/>
      <c r="H20" s="3"/>
      <c r="I20" s="6"/>
      <c r="J20" s="24"/>
      <c r="K20" s="24"/>
      <c r="N20" s="24"/>
    </row>
    <row r="21" spans="2:14" x14ac:dyDescent="0.2">
      <c r="B21" s="4" t="s">
        <v>94</v>
      </c>
      <c r="F21" s="2"/>
      <c r="G21" s="2"/>
      <c r="H21" s="3"/>
      <c r="I21" s="6"/>
      <c r="J21" s="24"/>
      <c r="K21" s="24"/>
      <c r="N21" s="24"/>
    </row>
    <row r="22" spans="2:14" x14ac:dyDescent="0.2">
      <c r="B22" s="4" t="s">
        <v>92</v>
      </c>
      <c r="D22" s="2"/>
      <c r="F22" s="23">
        <f>'Page 1'!J46*Q43</f>
        <v>-664793.25683530746</v>
      </c>
      <c r="G22" s="2">
        <f>'Page 2'!J37</f>
        <v>1091620.7618745528</v>
      </c>
      <c r="H22" s="3">
        <f>SUM(D22:G22)</f>
        <v>426827.50503924536</v>
      </c>
      <c r="I22" s="6">
        <f>'Page 4'!C18</f>
        <v>2643552076.8822436</v>
      </c>
      <c r="J22" s="24" t="s">
        <v>101</v>
      </c>
      <c r="K22" s="26">
        <f>H22/(I22)</f>
        <v>1.6145984365953473E-4</v>
      </c>
      <c r="L22" s="4" t="s">
        <v>59</v>
      </c>
      <c r="N22" s="24"/>
    </row>
    <row r="23" spans="2:14" x14ac:dyDescent="0.2">
      <c r="D23" s="2"/>
      <c r="F23" s="2"/>
      <c r="G23" s="2"/>
      <c r="H23" s="3"/>
      <c r="I23" s="6"/>
      <c r="J23" s="24"/>
      <c r="K23" s="24"/>
      <c r="N23" s="24"/>
    </row>
    <row r="24" spans="2:14" x14ac:dyDescent="0.2">
      <c r="B24" s="4" t="s">
        <v>96</v>
      </c>
      <c r="D24" s="2"/>
      <c r="F24" s="2"/>
      <c r="G24" s="2"/>
      <c r="H24" s="3"/>
      <c r="I24" s="6"/>
      <c r="J24" s="24"/>
      <c r="K24" s="24"/>
      <c r="N24" s="24"/>
    </row>
    <row r="25" spans="2:14" x14ac:dyDescent="0.2">
      <c r="B25" s="4" t="s">
        <v>41</v>
      </c>
      <c r="D25" s="2"/>
      <c r="F25" s="2"/>
      <c r="G25" s="2"/>
      <c r="H25" s="3"/>
      <c r="I25" s="6"/>
      <c r="J25" s="24"/>
      <c r="K25" s="26">
        <f>K18+K22</f>
        <v>1.6541392910608002E-3</v>
      </c>
      <c r="L25" s="4" t="str">
        <f>L22</f>
        <v>$/kWh</v>
      </c>
      <c r="N25" s="24"/>
    </row>
    <row r="26" spans="2:14" x14ac:dyDescent="0.2">
      <c r="F26" s="6"/>
      <c r="N26" s="24"/>
    </row>
    <row r="27" spans="2:14" x14ac:dyDescent="0.2">
      <c r="B27" s="34" t="s">
        <v>42</v>
      </c>
      <c r="F27" s="6"/>
      <c r="N27" s="24"/>
    </row>
    <row r="28" spans="2:14" x14ac:dyDescent="0.2">
      <c r="B28" s="4" t="s">
        <v>40</v>
      </c>
      <c r="D28" s="24"/>
      <c r="F28" s="2">
        <f>'Page 1'!N21*Q43</f>
        <v>4558747.8413762664</v>
      </c>
      <c r="G28" s="2">
        <f>'Page 2'!K20</f>
        <v>620743.52795844409</v>
      </c>
      <c r="H28" s="3">
        <f>SUM(D28:G28)</f>
        <v>5179491.3693347108</v>
      </c>
      <c r="I28" s="6">
        <f>'Page 4'!C22</f>
        <v>63667722.58170259</v>
      </c>
      <c r="J28" s="24" t="s">
        <v>102</v>
      </c>
      <c r="K28" s="24">
        <f>H28/(I28)</f>
        <v>8.135191835530238E-2</v>
      </c>
      <c r="L28" s="4" t="s">
        <v>103</v>
      </c>
      <c r="N28" s="24"/>
    </row>
    <row r="30" spans="2:14" x14ac:dyDescent="0.2">
      <c r="C30" s="4" t="s">
        <v>82</v>
      </c>
      <c r="H30" s="3">
        <f>SUM(H15:H29)</f>
        <v>18110691.512069359</v>
      </c>
    </row>
    <row r="31" spans="2:14" x14ac:dyDescent="0.2">
      <c r="H31" s="3"/>
    </row>
    <row r="32" spans="2:14" x14ac:dyDescent="0.2">
      <c r="B32" s="4" t="s">
        <v>98</v>
      </c>
      <c r="H32" s="3"/>
    </row>
    <row r="33" spans="2:17" x14ac:dyDescent="0.2">
      <c r="B33" s="36" t="s">
        <v>83</v>
      </c>
      <c r="H33" s="3" t="s">
        <v>86</v>
      </c>
      <c r="I33" s="4" t="s">
        <v>85</v>
      </c>
      <c r="K33" s="4" t="s">
        <v>89</v>
      </c>
    </row>
    <row r="34" spans="2:17" x14ac:dyDescent="0.2">
      <c r="B34" s="4" t="s">
        <v>40</v>
      </c>
      <c r="G34" s="2"/>
      <c r="H34" s="3">
        <f>I34*K34*12</f>
        <v>146416.80000000002</v>
      </c>
      <c r="I34" s="52">
        <v>122014</v>
      </c>
      <c r="K34" s="27">
        <v>0.1</v>
      </c>
    </row>
    <row r="35" spans="2:17" x14ac:dyDescent="0.2">
      <c r="H35" s="3"/>
      <c r="I35" s="52"/>
    </row>
    <row r="36" spans="2:17" x14ac:dyDescent="0.2">
      <c r="B36" s="36" t="s">
        <v>84</v>
      </c>
      <c r="C36" s="36"/>
      <c r="H36" s="3"/>
      <c r="I36" s="52"/>
    </row>
    <row r="37" spans="2:17" x14ac:dyDescent="0.2">
      <c r="B37" s="4" t="s">
        <v>40</v>
      </c>
      <c r="G37" s="2"/>
      <c r="H37" s="3">
        <f>I37*K37*12</f>
        <v>105819.6</v>
      </c>
      <c r="I37" s="52">
        <v>88183</v>
      </c>
      <c r="K37" s="27">
        <v>0.1</v>
      </c>
    </row>
    <row r="39" spans="2:17" x14ac:dyDescent="0.2">
      <c r="C39" s="4" t="s">
        <v>88</v>
      </c>
      <c r="H39" s="3">
        <f>H34+H37</f>
        <v>252236.40000000002</v>
      </c>
    </row>
    <row r="41" spans="2:17" x14ac:dyDescent="0.2">
      <c r="B41" s="4" t="s">
        <v>60</v>
      </c>
      <c r="H41" s="3">
        <f>H30+H39</f>
        <v>18362927.912069358</v>
      </c>
    </row>
    <row r="43" spans="2:17" x14ac:dyDescent="0.2">
      <c r="B43" s="37" t="s">
        <v>123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8"/>
      <c r="Q43" s="62">
        <v>1.0009999999999999</v>
      </c>
    </row>
    <row r="44" spans="2:17" x14ac:dyDescent="0.2">
      <c r="B44" s="21" t="s">
        <v>105</v>
      </c>
    </row>
    <row r="45" spans="2:17" x14ac:dyDescent="0.2">
      <c r="B45" s="21" t="s">
        <v>106</v>
      </c>
    </row>
  </sheetData>
  <phoneticPr fontId="5" type="noConversion"/>
  <pageMargins left="0.43" right="0.34" top="1" bottom="1" header="0.5" footer="0.5"/>
  <pageSetup scale="46" orientation="landscape" r:id="rId1"/>
  <headerFooter alignWithMargins="0">
    <oddHeader>&amp;R&amp;"Times New Roman,Bold"KyPSC Case No. 2014-00388
STAFF-DR-03-005 Page 1 w Act Page 2 w Proj
&amp;P of &amp;N</oddHeader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Layout" zoomScaleNormal="100" workbookViewId="0">
      <selection activeCell="N2" sqref="N2"/>
    </sheetView>
  </sheetViews>
  <sheetFormatPr defaultColWidth="9.140625" defaultRowHeight="12.75" x14ac:dyDescent="0.2"/>
  <cols>
    <col min="1" max="1" width="44.28515625" style="96" bestFit="1" customWidth="1"/>
    <col min="2" max="2" width="14.42578125" style="96" customWidth="1"/>
    <col min="3" max="3" width="14.7109375" style="96" customWidth="1"/>
    <col min="4" max="4" width="12.28515625" style="96" customWidth="1"/>
    <col min="5" max="5" width="13" style="96" customWidth="1"/>
    <col min="6" max="6" width="12.7109375" style="96" customWidth="1"/>
    <col min="7" max="8" width="23.42578125" style="96" customWidth="1"/>
    <col min="9" max="9" width="9.42578125" style="96" customWidth="1"/>
    <col min="10" max="16384" width="9.140625" style="96"/>
  </cols>
  <sheetData>
    <row r="1" spans="1:8" x14ac:dyDescent="0.2">
      <c r="A1" s="95" t="s">
        <v>173</v>
      </c>
    </row>
    <row r="3" spans="1:8" ht="15" x14ac:dyDescent="0.25">
      <c r="A3" s="115" t="s">
        <v>174</v>
      </c>
      <c r="B3" s="115"/>
      <c r="C3" s="115"/>
      <c r="D3" s="115"/>
      <c r="E3" s="115"/>
      <c r="F3" s="115"/>
      <c r="G3" s="115"/>
    </row>
    <row r="4" spans="1:8" ht="15.75" thickBot="1" x14ac:dyDescent="0.3">
      <c r="A4" s="97"/>
      <c r="B4" s="98"/>
      <c r="C4" s="98"/>
      <c r="D4" s="98"/>
      <c r="E4" s="98"/>
      <c r="F4" s="97"/>
    </row>
    <row r="5" spans="1:8" ht="15.75" thickBot="1" x14ac:dyDescent="0.3">
      <c r="A5" s="99"/>
      <c r="B5" s="100" t="s">
        <v>160</v>
      </c>
      <c r="C5" s="101"/>
      <c r="D5" s="101"/>
      <c r="E5" s="101"/>
      <c r="G5" s="116" t="s">
        <v>175</v>
      </c>
      <c r="H5" s="117"/>
    </row>
    <row r="6" spans="1:8" ht="30" x14ac:dyDescent="0.25">
      <c r="A6" s="99" t="s">
        <v>22</v>
      </c>
      <c r="B6" s="102" t="s">
        <v>101</v>
      </c>
      <c r="C6" s="103" t="s">
        <v>165</v>
      </c>
      <c r="D6" s="104" t="s">
        <v>161</v>
      </c>
      <c r="E6" s="103" t="s">
        <v>165</v>
      </c>
      <c r="G6" s="105" t="s">
        <v>167</v>
      </c>
      <c r="H6" s="105" t="s">
        <v>168</v>
      </c>
    </row>
    <row r="7" spans="1:8" ht="15" x14ac:dyDescent="0.25">
      <c r="A7" s="97" t="s">
        <v>109</v>
      </c>
      <c r="B7" s="71">
        <v>657793.23</v>
      </c>
      <c r="C7" s="73">
        <f>B7/B$17</f>
        <v>4.3262271639659457E-4</v>
      </c>
      <c r="D7" s="106">
        <v>0</v>
      </c>
      <c r="E7" s="73">
        <f t="shared" ref="E7:E15" si="0">D7/D$17</f>
        <v>0</v>
      </c>
      <c r="G7" s="107">
        <f t="shared" ref="G7:G13" si="1">C7/SUM($C7,$E7)</f>
        <v>1</v>
      </c>
      <c r="H7" s="107">
        <f>1-G7</f>
        <v>0</v>
      </c>
    </row>
    <row r="8" spans="1:8" ht="15" x14ac:dyDescent="0.25">
      <c r="A8" s="97" t="s">
        <v>110</v>
      </c>
      <c r="B8" s="71">
        <v>225486.31</v>
      </c>
      <c r="C8" s="73">
        <f t="shared" ref="C8:C17" si="2">B8/B$17</f>
        <v>1.482996411234646E-4</v>
      </c>
      <c r="D8" s="106">
        <v>7368.1999999999389</v>
      </c>
      <c r="E8" s="73">
        <f t="shared" si="0"/>
        <v>1.025041182081901E-4</v>
      </c>
      <c r="G8" s="107">
        <f t="shared" si="1"/>
        <v>0.5912975208930501</v>
      </c>
      <c r="H8" s="107">
        <f t="shared" ref="H8:H14" si="3">1-G8</f>
        <v>0.4087024791069499</v>
      </c>
    </row>
    <row r="9" spans="1:8" ht="15" x14ac:dyDescent="0.25">
      <c r="A9" s="97" t="s">
        <v>112</v>
      </c>
      <c r="B9" s="71">
        <v>634158</v>
      </c>
      <c r="C9" s="73">
        <f t="shared" si="2"/>
        <v>4.1707810915693315E-4</v>
      </c>
      <c r="D9" s="106">
        <v>0</v>
      </c>
      <c r="E9" s="73">
        <f t="shared" si="0"/>
        <v>0</v>
      </c>
      <c r="G9" s="107">
        <f t="shared" si="1"/>
        <v>1</v>
      </c>
      <c r="H9" s="107">
        <f t="shared" si="3"/>
        <v>0</v>
      </c>
    </row>
    <row r="10" spans="1:8" ht="15" x14ac:dyDescent="0.25">
      <c r="A10" s="97" t="s">
        <v>113</v>
      </c>
      <c r="B10" s="71">
        <v>251243.25348331593</v>
      </c>
      <c r="C10" s="73">
        <f t="shared" si="2"/>
        <v>1.6523967386874793E-4</v>
      </c>
      <c r="D10" s="106">
        <v>7770.5013333333281</v>
      </c>
      <c r="E10" s="73">
        <f t="shared" si="0"/>
        <v>1.0810080985979003E-4</v>
      </c>
      <c r="G10" s="107">
        <f t="shared" si="1"/>
        <v>0.60451957798118205</v>
      </c>
      <c r="H10" s="107">
        <f t="shared" si="3"/>
        <v>0.39548042201881795</v>
      </c>
    </row>
    <row r="11" spans="1:8" ht="15" x14ac:dyDescent="0.25">
      <c r="A11" s="97" t="s">
        <v>111</v>
      </c>
      <c r="B11" s="71">
        <v>11325468</v>
      </c>
      <c r="C11" s="73">
        <f t="shared" si="2"/>
        <v>7.4486244417910881E-3</v>
      </c>
      <c r="D11" s="106">
        <v>0</v>
      </c>
      <c r="E11" s="73">
        <f t="shared" si="0"/>
        <v>0</v>
      </c>
      <c r="G11" s="107">
        <f t="shared" si="1"/>
        <v>1</v>
      </c>
      <c r="H11" s="107">
        <f t="shared" si="3"/>
        <v>0</v>
      </c>
    </row>
    <row r="12" spans="1:8" ht="15" x14ac:dyDescent="0.25">
      <c r="A12" s="97" t="s">
        <v>114</v>
      </c>
      <c r="B12" s="71">
        <v>411488.78399999993</v>
      </c>
      <c r="C12" s="73">
        <f t="shared" si="2"/>
        <v>2.7063123696303705E-4</v>
      </c>
      <c r="D12" s="106">
        <v>10865.955999999975</v>
      </c>
      <c r="E12" s="73">
        <f t="shared" si="0"/>
        <v>1.5116381725102456E-4</v>
      </c>
      <c r="G12" s="107">
        <f t="shared" si="1"/>
        <v>0.64161785269699079</v>
      </c>
      <c r="H12" s="107">
        <f t="shared" si="3"/>
        <v>0.35838214730300921</v>
      </c>
    </row>
    <row r="13" spans="1:8" ht="15" x14ac:dyDescent="0.25">
      <c r="A13" s="97" t="s">
        <v>108</v>
      </c>
      <c r="B13" s="71">
        <v>13428090.533929106</v>
      </c>
      <c r="C13" s="73">
        <f t="shared" si="2"/>
        <v>8.831494059018832E-3</v>
      </c>
      <c r="D13" s="106">
        <v>39.549999999999976</v>
      </c>
      <c r="E13" s="73">
        <f t="shared" si="0"/>
        <v>5.5020736070328569E-7</v>
      </c>
      <c r="G13" s="107">
        <f t="shared" si="1"/>
        <v>0.99993770328316878</v>
      </c>
      <c r="H13" s="107">
        <f t="shared" si="3"/>
        <v>6.2296716831222732E-5</v>
      </c>
    </row>
    <row r="14" spans="1:8" ht="15" x14ac:dyDescent="0.25">
      <c r="A14" s="97" t="s">
        <v>21</v>
      </c>
      <c r="B14" s="71">
        <v>0</v>
      </c>
      <c r="C14" s="73">
        <f t="shared" si="2"/>
        <v>0</v>
      </c>
      <c r="D14" s="106">
        <v>0</v>
      </c>
      <c r="E14" s="73">
        <f t="shared" si="0"/>
        <v>0</v>
      </c>
      <c r="G14" s="107">
        <v>1</v>
      </c>
      <c r="H14" s="107">
        <f t="shared" si="3"/>
        <v>0</v>
      </c>
    </row>
    <row r="15" spans="1:8" ht="15" x14ac:dyDescent="0.25">
      <c r="A15" s="108" t="s">
        <v>164</v>
      </c>
      <c r="B15" s="109">
        <v>26933728.111412421</v>
      </c>
      <c r="C15" s="74">
        <f t="shared" si="2"/>
        <v>1.7713989878318695E-2</v>
      </c>
      <c r="D15" s="109">
        <v>26044.207333333241</v>
      </c>
      <c r="E15" s="74">
        <f t="shared" si="0"/>
        <v>3.6231895267970794E-4</v>
      </c>
    </row>
    <row r="16" spans="1:8" ht="15" x14ac:dyDescent="0.25">
      <c r="A16" s="110"/>
      <c r="B16" s="111"/>
      <c r="C16" s="77"/>
      <c r="D16" s="111"/>
    </row>
    <row r="17" spans="1:5" ht="15" x14ac:dyDescent="0.25">
      <c r="A17" s="110" t="s">
        <v>166</v>
      </c>
      <c r="B17" s="111">
        <v>1520477786</v>
      </c>
      <c r="C17" s="77">
        <f t="shared" si="2"/>
        <v>1</v>
      </c>
      <c r="D17" s="111">
        <v>71881990</v>
      </c>
      <c r="E17" s="77">
        <f t="shared" ref="E17" si="4">D17/D$17</f>
        <v>1</v>
      </c>
    </row>
    <row r="18" spans="1:5" ht="15" x14ac:dyDescent="0.25">
      <c r="A18" s="99" t="s">
        <v>176</v>
      </c>
      <c r="B18" s="98"/>
      <c r="C18" s="98"/>
      <c r="D18" s="98"/>
      <c r="E18" s="97"/>
    </row>
    <row r="21" spans="1:5" x14ac:dyDescent="0.2">
      <c r="A21" s="95"/>
    </row>
  </sheetData>
  <mergeCells count="2">
    <mergeCell ref="A3:G3"/>
    <mergeCell ref="G5:H5"/>
  </mergeCells>
  <pageMargins left="0.43" right="0.34" top="1" bottom="1" header="0.5" footer="0.5"/>
  <pageSetup scale="46" orientation="landscape" r:id="rId1"/>
  <headerFooter alignWithMargins="0">
    <oddHeader>&amp;R&amp;"Times New Roman,Bold"KyPSC Case No. 2014-00388
STAFF-DR-03-005 Page 1 w Act Page 2 w Proj
&amp;P of &amp;N</oddHeader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Layout" zoomScaleNormal="100" workbookViewId="0">
      <selection activeCell="N2" sqref="N2"/>
    </sheetView>
  </sheetViews>
  <sheetFormatPr defaultRowHeight="12.75" x14ac:dyDescent="0.2"/>
  <cols>
    <col min="1" max="1" width="44.28515625" bestFit="1" customWidth="1"/>
    <col min="2" max="2" width="14.140625" customWidth="1"/>
    <col min="3" max="3" width="12.7109375" customWidth="1"/>
    <col min="4" max="4" width="12" customWidth="1"/>
    <col min="5" max="5" width="12.28515625" customWidth="1"/>
    <col min="6" max="6" width="12.7109375" customWidth="1"/>
    <col min="7" max="8" width="21.28515625" customWidth="1"/>
    <col min="9" max="9" width="23.42578125" bestFit="1" customWidth="1"/>
    <col min="10" max="10" width="23.140625" bestFit="1" customWidth="1"/>
    <col min="12" max="12" width="16.28515625" bestFit="1" customWidth="1"/>
    <col min="13" max="13" width="17.85546875" bestFit="1" customWidth="1"/>
  </cols>
  <sheetData>
    <row r="1" spans="1:8" x14ac:dyDescent="0.2">
      <c r="A1" s="78" t="s">
        <v>169</v>
      </c>
    </row>
    <row r="3" spans="1:8" ht="15" x14ac:dyDescent="0.25">
      <c r="A3" s="122" t="s">
        <v>172</v>
      </c>
      <c r="B3" s="122"/>
      <c r="C3" s="122"/>
      <c r="D3" s="122"/>
      <c r="E3" s="122"/>
      <c r="F3" s="81"/>
      <c r="G3" s="81"/>
    </row>
    <row r="4" spans="1:8" ht="15.75" thickBot="1" x14ac:dyDescent="0.3">
      <c r="A4" s="68"/>
      <c r="B4" s="69"/>
      <c r="C4" s="69"/>
      <c r="D4" s="69"/>
      <c r="E4" s="68"/>
    </row>
    <row r="5" spans="1:8" ht="15.75" thickBot="1" x14ac:dyDescent="0.3">
      <c r="A5" s="70"/>
      <c r="B5" s="120" t="s">
        <v>160</v>
      </c>
      <c r="C5" s="121"/>
      <c r="D5" s="121"/>
      <c r="E5" s="121"/>
      <c r="G5" s="118" t="s">
        <v>171</v>
      </c>
      <c r="H5" s="119"/>
    </row>
    <row r="6" spans="1:8" ht="30" x14ac:dyDescent="0.25">
      <c r="A6" s="83" t="s">
        <v>22</v>
      </c>
      <c r="B6" s="84" t="s">
        <v>101</v>
      </c>
      <c r="C6" s="82" t="s">
        <v>165</v>
      </c>
      <c r="D6" s="92" t="s">
        <v>161</v>
      </c>
      <c r="E6" s="84" t="s">
        <v>165</v>
      </c>
      <c r="F6" s="85"/>
      <c r="G6" s="86" t="s">
        <v>167</v>
      </c>
      <c r="H6" s="86" t="s">
        <v>168</v>
      </c>
    </row>
    <row r="7" spans="1:8" ht="15" x14ac:dyDescent="0.25">
      <c r="A7" s="87" t="s">
        <v>109</v>
      </c>
      <c r="B7" s="71">
        <v>225425.51121838993</v>
      </c>
      <c r="C7" s="73">
        <v>1.5025491160048984E-4</v>
      </c>
      <c r="D7" s="93">
        <v>0</v>
      </c>
      <c r="E7" s="73">
        <v>0</v>
      </c>
      <c r="F7" s="85"/>
      <c r="G7" s="79">
        <f t="shared" ref="G7:G13" si="0">C7/SUM($C7,$E7)</f>
        <v>1</v>
      </c>
      <c r="H7" s="79">
        <f t="shared" ref="H7:H13" si="1">E7/SUM($C7,$E7)</f>
        <v>0</v>
      </c>
    </row>
    <row r="8" spans="1:8" ht="15" x14ac:dyDescent="0.25">
      <c r="A8" s="87" t="s">
        <v>110</v>
      </c>
      <c r="B8" s="71">
        <v>325144.99999999965</v>
      </c>
      <c r="C8" s="73">
        <v>2.1672184735564975E-4</v>
      </c>
      <c r="D8" s="93">
        <v>11399.999999999907</v>
      </c>
      <c r="E8" s="73">
        <v>1.7905462199265383E-4</v>
      </c>
      <c r="F8" s="85"/>
      <c r="G8" s="79">
        <f t="shared" si="0"/>
        <v>0.54758648919302833</v>
      </c>
      <c r="H8" s="79">
        <f t="shared" si="1"/>
        <v>0.45241351080697167</v>
      </c>
    </row>
    <row r="9" spans="1:8" ht="15" x14ac:dyDescent="0.25">
      <c r="A9" s="87" t="s">
        <v>112</v>
      </c>
      <c r="B9" s="71">
        <v>529199.99999999977</v>
      </c>
      <c r="C9" s="73">
        <v>3.5273247818853101E-4</v>
      </c>
      <c r="D9" s="93">
        <v>0</v>
      </c>
      <c r="E9" s="73">
        <v>0</v>
      </c>
      <c r="F9" s="85"/>
      <c r="G9" s="79">
        <f t="shared" si="0"/>
        <v>1</v>
      </c>
      <c r="H9" s="79">
        <f t="shared" si="1"/>
        <v>0</v>
      </c>
    </row>
    <row r="10" spans="1:8" ht="15" x14ac:dyDescent="0.25">
      <c r="A10" s="87" t="s">
        <v>113</v>
      </c>
      <c r="B10" s="71">
        <v>346183.00000000006</v>
      </c>
      <c r="C10" s="73">
        <v>2.3074449640351534E-4</v>
      </c>
      <c r="D10" s="93">
        <v>19112.926666666655</v>
      </c>
      <c r="E10" s="73">
        <v>3.0019805784853851E-4</v>
      </c>
      <c r="F10" s="85"/>
      <c r="G10" s="79">
        <f t="shared" si="0"/>
        <v>0.43459409036928359</v>
      </c>
      <c r="H10" s="79">
        <f t="shared" si="1"/>
        <v>0.56540590963071646</v>
      </c>
    </row>
    <row r="11" spans="1:8" ht="15" x14ac:dyDescent="0.25">
      <c r="A11" s="87" t="s">
        <v>162</v>
      </c>
      <c r="B11" s="71">
        <v>10914000.000000017</v>
      </c>
      <c r="C11" s="73">
        <v>7.2746074583326442E-3</v>
      </c>
      <c r="D11" s="93">
        <v>0</v>
      </c>
      <c r="E11" s="73">
        <v>0</v>
      </c>
      <c r="F11" s="85"/>
      <c r="G11" s="79">
        <f t="shared" si="0"/>
        <v>1</v>
      </c>
      <c r="H11" s="79">
        <f t="shared" si="1"/>
        <v>0</v>
      </c>
    </row>
    <row r="12" spans="1:8" ht="15" x14ac:dyDescent="0.25">
      <c r="A12" s="87" t="s">
        <v>114</v>
      </c>
      <c r="B12" s="71">
        <v>444849.99999999977</v>
      </c>
      <c r="C12" s="73">
        <v>2.9650990726033259E-4</v>
      </c>
      <c r="D12" s="93">
        <v>22395.183999999947</v>
      </c>
      <c r="E12" s="73">
        <v>3.5175098294525894E-4</v>
      </c>
      <c r="F12" s="85"/>
      <c r="G12" s="79">
        <f t="shared" si="0"/>
        <v>0.45739286719317046</v>
      </c>
      <c r="H12" s="79">
        <f t="shared" si="1"/>
        <v>0.54260713280682948</v>
      </c>
    </row>
    <row r="13" spans="1:8" ht="15" x14ac:dyDescent="0.25">
      <c r="A13" s="87" t="s">
        <v>108</v>
      </c>
      <c r="B13" s="71">
        <v>2384107.550632698</v>
      </c>
      <c r="C13" s="73">
        <v>1.5891008401410821E-3</v>
      </c>
      <c r="D13" s="93">
        <v>2915.8479999999981</v>
      </c>
      <c r="E13" s="73">
        <v>4.5797900125266629E-5</v>
      </c>
      <c r="F13" s="85"/>
      <c r="G13" s="79">
        <f t="shared" si="0"/>
        <v>0.97198731701401553</v>
      </c>
      <c r="H13" s="79">
        <f t="shared" si="1"/>
        <v>2.8012682985984493E-2</v>
      </c>
    </row>
    <row r="14" spans="1:8" ht="15" x14ac:dyDescent="0.25">
      <c r="A14" s="87" t="s">
        <v>163</v>
      </c>
      <c r="B14" s="71">
        <v>0</v>
      </c>
      <c r="C14" s="73">
        <v>0</v>
      </c>
      <c r="D14" s="93">
        <v>0</v>
      </c>
      <c r="E14" s="73">
        <v>0</v>
      </c>
      <c r="F14" s="85"/>
      <c r="G14" s="79">
        <v>1</v>
      </c>
      <c r="H14" s="79">
        <v>0</v>
      </c>
    </row>
    <row r="15" spans="1:8" ht="15" x14ac:dyDescent="0.25">
      <c r="A15" s="88" t="s">
        <v>164</v>
      </c>
      <c r="B15" s="72">
        <v>15168911.061851105</v>
      </c>
      <c r="C15" s="74">
        <v>1.0110671939282246E-2</v>
      </c>
      <c r="D15" s="94">
        <v>55823.958666666513</v>
      </c>
      <c r="E15" s="74">
        <v>8.7680156291171786E-4</v>
      </c>
      <c r="F15" s="85"/>
      <c r="G15" s="85"/>
    </row>
    <row r="16" spans="1:8" ht="15" x14ac:dyDescent="0.25">
      <c r="A16" s="89"/>
      <c r="B16" s="76"/>
      <c r="C16" s="77"/>
      <c r="D16" s="76"/>
      <c r="E16" s="85"/>
      <c r="F16" s="85"/>
      <c r="G16" s="85"/>
    </row>
    <row r="17" spans="1:7" ht="15" x14ac:dyDescent="0.25">
      <c r="A17" s="89" t="s">
        <v>166</v>
      </c>
      <c r="B17" s="76">
        <v>1500287137.4865263</v>
      </c>
      <c r="C17" s="77">
        <v>1</v>
      </c>
      <c r="D17" s="76">
        <v>63667722.58170259</v>
      </c>
      <c r="E17" s="77">
        <v>1</v>
      </c>
      <c r="F17" s="85"/>
      <c r="G17" s="85"/>
    </row>
    <row r="18" spans="1:7" ht="15" x14ac:dyDescent="0.25">
      <c r="A18" s="75" t="s">
        <v>170</v>
      </c>
      <c r="B18" s="90"/>
      <c r="C18" s="90"/>
      <c r="D18" s="91"/>
      <c r="E18" s="85"/>
      <c r="F18" s="85"/>
      <c r="G18" s="85"/>
    </row>
    <row r="21" spans="1:7" x14ac:dyDescent="0.2">
      <c r="A21" s="78"/>
    </row>
  </sheetData>
  <mergeCells count="3">
    <mergeCell ref="G5:H5"/>
    <mergeCell ref="B5:E5"/>
    <mergeCell ref="A3:E3"/>
  </mergeCells>
  <pageMargins left="0.43" right="0.34" top="1" bottom="1" header="0.5" footer="0.5"/>
  <pageSetup scale="46" orientation="landscape" r:id="rId1"/>
  <headerFooter alignWithMargins="0">
    <oddHeader>&amp;R&amp;"Times New Roman,Bold"KyPSC Case No. 2014-00388
STAFF-DR-03-005 Page 1 w Act Page 2 w Proj
&amp;P of &amp;N</oddHeader>
    <oddFooter>&amp;L&amp;D &amp;T&amp;C&amp;F&amp;R&amp;A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>
    <Witness xmlns="2612a682-5ffb-4b9c-9555-017618935178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B7F93A963C34429A8E6380E003E780" ma:contentTypeVersion="3" ma:contentTypeDescription="Create a new document." ma:contentTypeScope="" ma:versionID="e1d28c2767193536eeb47c6a3cb97d24">
  <xsd:schema xmlns:xsd="http://www.w3.org/2001/XMLSchema" xmlns:xs="http://www.w3.org/2001/XMLSchema" xmlns:p="http://schemas.microsoft.com/office/2006/metadata/properties" xmlns:ns2="2612a682-5ffb-4b9c-9555-017618935178" targetNamespace="http://schemas.microsoft.com/office/2006/metadata/properties" ma:root="true" ma:fieldsID="2c1595c5893a7ebd09af7663f216d573" ns2:_="">
    <xsd:import namespace="2612a682-5ffb-4b9c-9555-017618935178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97EA35-CC74-466D-BED0-57A139F2AA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56FA78-8CAC-46E4-A06E-6CC39F53FDD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A561FF7-B48A-4EED-992B-6ABF9003439B}">
  <ds:schemaRefs>
    <ds:schemaRef ds:uri="http://schemas.openxmlformats.org/package/2006/metadata/core-properties"/>
    <ds:schemaRef ds:uri="2612a682-5ffb-4b9c-9555-017618935178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8E2CBF3-AF16-43B9-9FCD-EA1FD8F06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Page 1</vt:lpstr>
      <vt:lpstr>Page 2</vt:lpstr>
      <vt:lpstr>Page 3</vt:lpstr>
      <vt:lpstr>Page 4</vt:lpstr>
      <vt:lpstr>Page 5</vt:lpstr>
      <vt:lpstr>Allocation Factors - Page 1</vt:lpstr>
      <vt:lpstr>Allocation Factors - Page 2</vt:lpstr>
    </vt:vector>
  </TitlesOfParts>
  <Company>Cinergy Corp.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B</dc:title>
  <dc:creator>Cinergy</dc:creator>
  <cp:lastModifiedBy>Ryan, Kristen J</cp:lastModifiedBy>
  <cp:lastPrinted>2015-04-08T19:40:09Z</cp:lastPrinted>
  <dcterms:created xsi:type="dcterms:W3CDTF">2004-08-25T01:49:36Z</dcterms:created>
  <dcterms:modified xsi:type="dcterms:W3CDTF">2015-04-15T13:49:42Z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0x0101008BB7F93A963C34429A8E6380E003E780</vt:lpwstr>
  </property>
</Properties>
</file>