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0" yWindow="510" windowWidth="9900" windowHeight="8865" activeTab="4"/>
  </bookViews>
  <sheets>
    <sheet name="Page 1" sheetId="1" r:id="rId1"/>
    <sheet name="Page 2" sheetId="2" r:id="rId2"/>
    <sheet name="Page 3" sheetId="5" r:id="rId3"/>
    <sheet name="Page 4" sheetId="4" r:id="rId4"/>
    <sheet name="Page 5" sheetId="3" r:id="rId5"/>
  </sheets>
  <calcPr calcId="145621" calcMode="manual"/>
</workbook>
</file>

<file path=xl/calcChain.xml><?xml version="1.0" encoding="utf-8"?>
<calcChain xmlns="http://schemas.openxmlformats.org/spreadsheetml/2006/main">
  <c r="C43" i="1" l="1"/>
  <c r="D43" i="1"/>
  <c r="M21" i="1"/>
  <c r="L21" i="1"/>
  <c r="C21" i="1" l="1"/>
  <c r="D21" i="1"/>
  <c r="E21" i="1"/>
  <c r="H21" i="1"/>
  <c r="I21" i="1"/>
  <c r="B21" i="1"/>
  <c r="F18" i="1"/>
  <c r="G18" i="1" s="1"/>
  <c r="F16" i="1"/>
  <c r="F15" i="1"/>
  <c r="F13" i="1"/>
  <c r="F11" i="1"/>
  <c r="F21" i="1" s="1"/>
  <c r="E36" i="2" l="1"/>
  <c r="C21" i="2"/>
  <c r="D21" i="2"/>
  <c r="B21" i="2"/>
  <c r="E19" i="2"/>
  <c r="K19" i="2"/>
  <c r="G19" i="2"/>
  <c r="I19" i="2" s="1"/>
  <c r="J19" i="2" s="1"/>
  <c r="I36" i="2" l="1"/>
  <c r="J36" i="2" s="1"/>
  <c r="J45" i="1" l="1"/>
  <c r="F22" i="3" l="1"/>
  <c r="E43" i="1"/>
  <c r="F43" i="1"/>
  <c r="G43" i="1"/>
  <c r="B43" i="1"/>
  <c r="C39" i="2" l="1"/>
  <c r="D39" i="2"/>
  <c r="B39" i="2"/>
  <c r="B1" i="3" l="1"/>
  <c r="B1" i="4"/>
  <c r="B1" i="5"/>
  <c r="B1" i="2"/>
  <c r="G11" i="1"/>
  <c r="I33" i="2"/>
  <c r="J33" i="2" s="1"/>
  <c r="I34" i="2"/>
  <c r="J34" i="2" s="1"/>
  <c r="I35" i="2"/>
  <c r="J35" i="2" s="1"/>
  <c r="I37" i="2"/>
  <c r="J37" i="2" s="1"/>
  <c r="D20" i="5" s="1"/>
  <c r="E31" i="2"/>
  <c r="E32" i="2"/>
  <c r="E33" i="2"/>
  <c r="E34" i="2"/>
  <c r="E35" i="2"/>
  <c r="E37" i="2"/>
  <c r="E30" i="2"/>
  <c r="E12" i="2"/>
  <c r="E15" i="2"/>
  <c r="E13" i="2"/>
  <c r="E14" i="2"/>
  <c r="E16" i="2"/>
  <c r="E17" i="2"/>
  <c r="E18" i="2"/>
  <c r="E11" i="2"/>
  <c r="G16" i="2"/>
  <c r="I16" i="2" s="1"/>
  <c r="J16" i="2" s="1"/>
  <c r="G13" i="2"/>
  <c r="I13" i="2" s="1"/>
  <c r="J13" i="2" s="1"/>
  <c r="G15" i="2"/>
  <c r="G11" i="2"/>
  <c r="I11" i="2" s="1"/>
  <c r="G12" i="2"/>
  <c r="I12" i="2" s="1"/>
  <c r="J12" i="2" s="1"/>
  <c r="G18" i="2"/>
  <c r="K18" i="2"/>
  <c r="I18" i="2"/>
  <c r="J18" i="2" s="1"/>
  <c r="K11" i="2"/>
  <c r="K15" i="2"/>
  <c r="K13" i="2"/>
  <c r="K14" i="2"/>
  <c r="K17" i="2"/>
  <c r="K12" i="2"/>
  <c r="K16" i="2"/>
  <c r="I15" i="2"/>
  <c r="J15" i="2" s="1"/>
  <c r="G14" i="2"/>
  <c r="I14" i="2" s="1"/>
  <c r="G17" i="2"/>
  <c r="I17" i="2" s="1"/>
  <c r="J17" i="2" s="1"/>
  <c r="D41" i="2"/>
  <c r="C41" i="2"/>
  <c r="B41" i="2"/>
  <c r="G30" i="2"/>
  <c r="I30" i="2" s="1"/>
  <c r="J30" i="2" s="1"/>
  <c r="G31" i="2"/>
  <c r="I31" i="2" s="1"/>
  <c r="J31" i="2" s="1"/>
  <c r="G32" i="2"/>
  <c r="I32" i="2" s="1"/>
  <c r="J32" i="2" s="1"/>
  <c r="G17" i="1"/>
  <c r="I22" i="3"/>
  <c r="I18" i="3"/>
  <c r="I15" i="3"/>
  <c r="G16" i="1"/>
  <c r="G15" i="1"/>
  <c r="G13" i="1"/>
  <c r="G12" i="1"/>
  <c r="G10" i="1"/>
  <c r="A47" i="1"/>
  <c r="L25" i="3"/>
  <c r="B3" i="4"/>
  <c r="B3" i="3" s="1"/>
  <c r="E36" i="1"/>
  <c r="F36" i="1" s="1"/>
  <c r="G36" i="1" s="1"/>
  <c r="B36" i="1"/>
  <c r="C36" i="1" s="1"/>
  <c r="D36" i="1" s="1"/>
  <c r="H9" i="1"/>
  <c r="I9" i="1" s="1"/>
  <c r="A48" i="1"/>
  <c r="C9" i="1"/>
  <c r="D9" i="1" s="1"/>
  <c r="H37" i="3"/>
  <c r="K23" i="2" s="1"/>
  <c r="H34" i="3"/>
  <c r="J23" i="2" s="1"/>
  <c r="J27" i="2"/>
  <c r="I28" i="2"/>
  <c r="I28" i="3"/>
  <c r="G21" i="1" l="1"/>
  <c r="G22" i="3"/>
  <c r="K21" i="2"/>
  <c r="J14" i="2"/>
  <c r="I21" i="2"/>
  <c r="H39" i="3"/>
  <c r="B23" i="2" s="1"/>
  <c r="E21" i="2"/>
  <c r="E39" i="2"/>
  <c r="N21" i="1"/>
  <c r="J11" i="2"/>
  <c r="J21" i="2" s="1"/>
  <c r="I39" i="2"/>
  <c r="G28" i="3"/>
  <c r="J39" i="2"/>
  <c r="D23" i="5"/>
  <c r="G14" i="1"/>
  <c r="O21" i="1" l="1"/>
  <c r="F15" i="3" s="1"/>
  <c r="E41" i="2"/>
  <c r="F28" i="3"/>
  <c r="H28" i="3" s="1"/>
  <c r="K28" i="3" s="1"/>
  <c r="G18" i="3"/>
  <c r="D17" i="5"/>
  <c r="D14" i="5"/>
  <c r="G15" i="3"/>
  <c r="H15" i="3" l="1"/>
  <c r="K15" i="3" s="1"/>
  <c r="J43" i="1"/>
  <c r="F18" i="3" s="1"/>
  <c r="H18" i="3" s="1"/>
  <c r="K18" i="3" l="1"/>
  <c r="H22" i="3"/>
  <c r="K22" i="3" s="1"/>
  <c r="H30" i="3" l="1"/>
  <c r="H41" i="3" s="1"/>
  <c r="K25" i="3"/>
</calcChain>
</file>

<file path=xl/sharedStrings.xml><?xml version="1.0" encoding="utf-8"?>
<sst xmlns="http://schemas.openxmlformats.org/spreadsheetml/2006/main" count="230" uniqueCount="156">
  <si>
    <t xml:space="preserve">                      Kentucky DSM Rider</t>
  </si>
  <si>
    <t>Comparison of Revenue Requirement to Rider Recovery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</si>
  <si>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</si>
  <si>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</si>
  <si>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</si>
  <si>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</si>
  <si>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</si>
  <si>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</si>
  <si>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</si>
  <si>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</si>
  <si>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</si>
  <si>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</si>
  <si>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Projected Program Costs</t>
  </si>
  <si>
    <t>Program Expenditures</t>
  </si>
  <si>
    <t xml:space="preserve">         Rider Collection (F)</t>
  </si>
  <si>
    <t>(Over)/Under Collection</t>
  </si>
  <si>
    <t>Gas</t>
  </si>
  <si>
    <t>Electric</t>
  </si>
  <si>
    <t>Gas (G)</t>
  </si>
  <si>
    <t>Electric (H)</t>
  </si>
  <si>
    <t>NA</t>
  </si>
  <si>
    <t>Power Manager</t>
  </si>
  <si>
    <t>Residential Programs</t>
  </si>
  <si>
    <t>Gas (D)</t>
  </si>
  <si>
    <t>Electric (E)</t>
  </si>
  <si>
    <t>Commercial Programs</t>
  </si>
  <si>
    <t>Rider</t>
  </si>
  <si>
    <t>Reconciliation (C)</t>
  </si>
  <si>
    <t>Collection (D)</t>
  </si>
  <si>
    <t>Lost</t>
  </si>
  <si>
    <t>Shared</t>
  </si>
  <si>
    <t>Costs</t>
  </si>
  <si>
    <t>Revenues</t>
  </si>
  <si>
    <t>Savings</t>
  </si>
  <si>
    <t>Total</t>
  </si>
  <si>
    <t>Total Costs, Net Lost Revenues, Shared Savings</t>
  </si>
  <si>
    <t>Allocations</t>
  </si>
  <si>
    <t>Program</t>
  </si>
  <si>
    <t>Costs (A)</t>
  </si>
  <si>
    <t>Electric Rider DSM</t>
  </si>
  <si>
    <t>Residential Rate RS</t>
  </si>
  <si>
    <t>DS, DP, DT, GS-FL, EH &amp; SP</t>
  </si>
  <si>
    <t>Gas Rider DSM</t>
  </si>
  <si>
    <t>Summary of Billing Determinants</t>
  </si>
  <si>
    <t xml:space="preserve">Year </t>
  </si>
  <si>
    <t>Rates RS</t>
  </si>
  <si>
    <t>Rates DS, DP, DT,</t>
  </si>
  <si>
    <t>GS-FL, EH, &amp; SP</t>
  </si>
  <si>
    <t>Rate RS</t>
  </si>
  <si>
    <t>Summary of Calculations</t>
  </si>
  <si>
    <t>Expected</t>
  </si>
  <si>
    <t>Total DSM</t>
  </si>
  <si>
    <t>Estimated</t>
  </si>
  <si>
    <t>Rate Schedule</t>
  </si>
  <si>
    <t>True-Up</t>
  </si>
  <si>
    <t>Revenue</t>
  </si>
  <si>
    <t>Billing</t>
  </si>
  <si>
    <t>DSM Cost</t>
  </si>
  <si>
    <t>Requirements</t>
  </si>
  <si>
    <t>$/kWh</t>
  </si>
  <si>
    <t>Total Recovery</t>
  </si>
  <si>
    <t>Amount (A)</t>
  </si>
  <si>
    <t>Costs (B)</t>
  </si>
  <si>
    <t>Determinants (C)</t>
  </si>
  <si>
    <t>Allocation of Costs</t>
  </si>
  <si>
    <t>Electric Costs</t>
  </si>
  <si>
    <t>Gas Costs</t>
  </si>
  <si>
    <t>Projected Lost Revenues</t>
  </si>
  <si>
    <t>Projected Shared Savings</t>
  </si>
  <si>
    <t>Lost Revenues</t>
  </si>
  <si>
    <t>Shared Savings</t>
  </si>
  <si>
    <t>(11)</t>
  </si>
  <si>
    <t>(12)</t>
  </si>
  <si>
    <t>(13)</t>
  </si>
  <si>
    <t>(14)</t>
  </si>
  <si>
    <t>(G) Column (5) + Column (9) - Column(11).</t>
  </si>
  <si>
    <t>(H) Column (6) + Column (7) + Column (8) + Column (10) - Column(12).</t>
  </si>
  <si>
    <t>Collection (E)</t>
  </si>
  <si>
    <t>(E) Column (4) + Column (5) + Column (6) + Column (7) - Column (8)</t>
  </si>
  <si>
    <t>Demand Side Management Cost Recovery Rider (DSMR)</t>
  </si>
  <si>
    <t>Recovery Rider (DSMR)</t>
  </si>
  <si>
    <t>Budget (Costs, Lost Revenues, &amp; Shared Savings)</t>
  </si>
  <si>
    <t>Total Rider Recovery</t>
  </si>
  <si>
    <t>Electric No.4</t>
  </si>
  <si>
    <t>Gas No. 5</t>
  </si>
  <si>
    <t>Number of Customers</t>
  </si>
  <si>
    <t>Annual Revenues</t>
  </si>
  <si>
    <t>Riders</t>
  </si>
  <si>
    <t>Total Customer Charge Revenues</t>
  </si>
  <si>
    <t>Monthly Customer Charge</t>
  </si>
  <si>
    <t>Duke Energy Kentucky</t>
  </si>
  <si>
    <t>GS-FL, EH, SP, &amp; TT</t>
  </si>
  <si>
    <t>TT</t>
  </si>
  <si>
    <t>Distribution Level Rates Part A</t>
  </si>
  <si>
    <t>Distribution Level Rates Part B</t>
  </si>
  <si>
    <t>Transmission Level Rates &amp;</t>
  </si>
  <si>
    <t>Distribution Level Rates Total</t>
  </si>
  <si>
    <t>Total Program</t>
  </si>
  <si>
    <t>Customer Charge for HEA Program</t>
  </si>
  <si>
    <t>Projected Annual Electric Sales kWH</t>
  </si>
  <si>
    <t>Projected Annual Gas Sales CCF</t>
  </si>
  <si>
    <t>kWh</t>
  </si>
  <si>
    <t>CCF</t>
  </si>
  <si>
    <t>$/CCF</t>
  </si>
  <si>
    <t>Summary of Calculations for Programs</t>
  </si>
  <si>
    <t>(B) Appendix B, page 2.</t>
  </si>
  <si>
    <t>(C) Appendix B, page 4.</t>
  </si>
  <si>
    <t>(A) See Appendix B, page 2 of 6.</t>
  </si>
  <si>
    <t xml:space="preserve">                 Program Expenditures (C)</t>
  </si>
  <si>
    <t>Residential Smart $aver®</t>
  </si>
  <si>
    <t>Appliance Recycling Program</t>
  </si>
  <si>
    <t>Energy Efficiency Education Program for Schools</t>
  </si>
  <si>
    <t>My Home Energy Report</t>
  </si>
  <si>
    <t>Low Income Neighborhood</t>
  </si>
  <si>
    <t>Low Income Services</t>
  </si>
  <si>
    <t>Residential Energy Assessments</t>
  </si>
  <si>
    <t>Smart $aver® Custom</t>
  </si>
  <si>
    <t>Smart $aver® Prescriptive - Energy Star Food Service Products</t>
  </si>
  <si>
    <t>Smart $aver® Prescriptive - HVAC</t>
  </si>
  <si>
    <t>Smart $aver® Prescriptive - Lighting</t>
  </si>
  <si>
    <t>Smart $aver® Prescriptive - Motors/Pumps/VFD</t>
  </si>
  <si>
    <t>Smart $aver® Prescriptive - Process Equipment</t>
  </si>
  <si>
    <t>Power Share®</t>
  </si>
  <si>
    <t>7/2012 to 6/2013 (A)</t>
  </si>
  <si>
    <t>7/2012 to 6/2013 (B)</t>
  </si>
  <si>
    <t>(F) Revenues collected through the DSM Rider between July 1, 2012 and June 30, 2013.</t>
  </si>
  <si>
    <t>(D) Revenues collected through the DSM Rider between July 1, 2012 and June 30, 2013.</t>
  </si>
  <si>
    <t xml:space="preserve">          2012 Reconciliation</t>
  </si>
  <si>
    <t>(Over)/Under</t>
  </si>
  <si>
    <t>Smart $aver® Custom (F)</t>
  </si>
  <si>
    <t>(A) (Over)/Under of Appendix B page 1 multiplied by the average three-month commercial paper rate for 2013 to include interest on over or under-recovery in accordance with the Commission's order in Case No. 95-312. Value is:</t>
  </si>
  <si>
    <t>Personalized Energy Report Program</t>
  </si>
  <si>
    <t>July 2014 to June 2015</t>
  </si>
  <si>
    <t>(C) Allocation of program expenditures to gas and electric.  Uses 63.5% gas based upon saturation of gas space heating.</t>
  </si>
  <si>
    <t>(B) Actual program expenditures, lost revenues (for this period and from prior period DSM measure installations), and shared savings for the period July 1, 2012 through June 30, 2013.</t>
  </si>
  <si>
    <t>Personal Energy Report Program (I)</t>
  </si>
  <si>
    <t>(I) Costs for this program were received after the prior filing period.</t>
  </si>
  <si>
    <t>Home Energy Assistance Pilot Program (J)</t>
  </si>
  <si>
    <t>Revenues collected except for HEA</t>
  </si>
  <si>
    <t>(C) Recovery allowed in accordance with the Commission's Order in Case No. 2012-00495.</t>
  </si>
  <si>
    <t>Home Energy Assistance Pilot Program</t>
  </si>
  <si>
    <t xml:space="preserve">2014-2015 Projected Program Costs, Lost Revenues, and Shared Savings </t>
  </si>
  <si>
    <t>Residential Program Summary (A)</t>
  </si>
  <si>
    <t xml:space="preserve">Residential Smart $aver® (B) </t>
  </si>
  <si>
    <t xml:space="preserve">Smart $aver® Prescriptive - Energy Star Food Service Products (B) </t>
  </si>
  <si>
    <t xml:space="preserve">Smart $aver® Prescriptive - HVAC (B) </t>
  </si>
  <si>
    <t xml:space="preserve">Smart $aver® Prescriptive - Lighting (B) </t>
  </si>
  <si>
    <t xml:space="preserve">Smart $aver® Prescriptive - IT (B) </t>
  </si>
  <si>
    <t>(B) Includes new measures filed in Case No. 2013-313</t>
  </si>
  <si>
    <t>NonResidential Program Summary (A)</t>
  </si>
  <si>
    <t>(J) Revenues and expenses for the Home Energy Assistance Pilot Program.</t>
  </si>
  <si>
    <t>(A) Amounts identified in report filed in Case No. 2012-00085.</t>
  </si>
  <si>
    <t>(D) Recovery allowed in accordance with the Commission's Order in Case No. 2012-00085.</t>
  </si>
  <si>
    <t>(E) Recovery allowed in accordance with the Commission's Order in Case No. 2012-00085.</t>
  </si>
  <si>
    <t>(F) Custom Budget Order (2013-00097) requested additional revenue requirements in March 2013.</t>
  </si>
  <si>
    <t xml:space="preserve">(A) Costs, Lost Revenues (for this period and from prior period DSM measure installations), and Shared Savings for Year 3 of portfolio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</si>
</sst>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0.00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4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1" xfId="0" applyFill="1" applyBorder="1"/>
    <xf numFmtId="164" fontId="0" fillId="0" borderId="0" xfId="2" applyNumberFormat="1" applyFont="1" applyFill="1" applyBorder="1"/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/>
    <xf numFmtId="0" fontId="1" fillId="0" borderId="0" xfId="0" applyFont="1" applyFill="1"/>
    <xf numFmtId="165" fontId="0" fillId="0" borderId="0" xfId="3" applyNumberFormat="1" applyFont="1" applyFill="1"/>
    <xf numFmtId="164" fontId="7" fillId="0" borderId="0" xfId="2" applyNumberFormat="1" applyFont="1" applyFill="1"/>
    <xf numFmtId="167" fontId="0" fillId="0" borderId="0" xfId="2" applyNumberFormat="1" applyFont="1" applyFill="1"/>
    <xf numFmtId="167" fontId="1" fillId="0" borderId="0" xfId="2" applyNumberFormat="1" applyFont="1" applyFill="1"/>
    <xf numFmtId="167" fontId="7" fillId="0" borderId="0" xfId="2" applyNumberFormat="1" applyFont="1" applyFill="1"/>
    <xf numFmtId="44" fontId="0" fillId="0" borderId="0" xfId="2" applyFont="1" applyFill="1"/>
    <xf numFmtId="0" fontId="1" fillId="0" borderId="0" xfId="0" applyFont="1" applyFill="1" applyBorder="1"/>
    <xf numFmtId="164" fontId="1" fillId="0" borderId="0" xfId="2" applyNumberFormat="1" applyFont="1" applyFill="1"/>
    <xf numFmtId="0" fontId="1" fillId="0" borderId="0" xfId="0" applyFont="1" applyFill="1" applyAlignment="1">
      <alignment horizontal="right"/>
    </xf>
    <xf numFmtId="164" fontId="4" fillId="0" borderId="0" xfId="2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4" fillId="0" borderId="0" xfId="2" applyNumberFormat="1" applyFont="1" applyFill="1"/>
    <xf numFmtId="0" fontId="5" fillId="0" borderId="0" xfId="0" applyFont="1" applyFill="1"/>
    <xf numFmtId="43" fontId="0" fillId="0" borderId="0" xfId="0" applyNumberFormat="1" applyFill="1"/>
    <xf numFmtId="165" fontId="7" fillId="0" borderId="0" xfId="3" applyNumberFormat="1" applyFont="1" applyFill="1"/>
    <xf numFmtId="9" fontId="0" fillId="0" borderId="0" xfId="3" applyFon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164" fontId="9" fillId="0" borderId="0" xfId="2" applyNumberFormat="1" applyFont="1" applyFill="1" applyBorder="1"/>
    <xf numFmtId="166" fontId="9" fillId="0" borderId="0" xfId="1" applyNumberFormat="1" applyFont="1" applyFill="1"/>
    <xf numFmtId="0" fontId="1" fillId="0" borderId="3" xfId="0" applyFont="1" applyFill="1" applyBorder="1"/>
    <xf numFmtId="164" fontId="7" fillId="0" borderId="3" xfId="2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6" fontId="1" fillId="0" borderId="0" xfId="1" applyNumberFormat="1" applyFont="1" applyFill="1"/>
    <xf numFmtId="0" fontId="0" fillId="0" borderId="0" xfId="0" applyFill="1" applyAlignment="1">
      <alignment horizontal="center"/>
    </xf>
    <xf numFmtId="0" fontId="9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horizontal="left" indent="2"/>
    </xf>
    <xf numFmtId="0" fontId="10" fillId="0" borderId="0" xfId="0" applyFont="1" applyFill="1"/>
    <xf numFmtId="164" fontId="9" fillId="0" borderId="0" xfId="0" applyNumberFormat="1" applyFont="1" applyFill="1" applyBorder="1"/>
    <xf numFmtId="164" fontId="9" fillId="0" borderId="0" xfId="2" applyNumberFormat="1" applyFont="1" applyFill="1" applyBorder="1" applyAlignment="1">
      <alignment horizontal="left"/>
    </xf>
    <xf numFmtId="164" fontId="1" fillId="0" borderId="3" xfId="0" applyNumberFormat="1" applyFont="1" applyFill="1" applyBorder="1"/>
    <xf numFmtId="164" fontId="1" fillId="0" borderId="3" xfId="2" applyNumberFormat="1" applyFont="1" applyFill="1" applyBorder="1" applyAlignment="1">
      <alignment horizontal="left"/>
    </xf>
    <xf numFmtId="165" fontId="9" fillId="0" borderId="0" xfId="3" applyNumberFormat="1" applyFont="1" applyFill="1" applyBorder="1"/>
    <xf numFmtId="168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/>
    <xf numFmtId="164" fontId="1" fillId="0" borderId="3" xfId="2" applyNumberFormat="1" applyFont="1" applyFill="1" applyBorder="1"/>
    <xf numFmtId="166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164" fontId="1" fillId="0" borderId="0" xfId="2" applyNumberFormat="1" applyFont="1" applyFill="1" applyAlignment="1"/>
    <xf numFmtId="164" fontId="1" fillId="0" borderId="0" xfId="2" applyNumberFormat="1" applyFont="1" applyFill="1" applyBorder="1"/>
    <xf numFmtId="164" fontId="1" fillId="0" borderId="0" xfId="2" applyNumberFormat="1" applyFont="1" applyFill="1" applyBorder="1" applyAlignment="1"/>
    <xf numFmtId="0" fontId="0" fillId="0" borderId="0" xfId="0" applyFill="1" applyAlignment="1">
      <alignment horizontal="center"/>
    </xf>
    <xf numFmtId="164" fontId="1" fillId="0" borderId="0" xfId="2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E7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view="pageLayout" topLeftCell="A4" zoomScale="85" zoomScaleNormal="84" zoomScalePageLayoutView="85" workbookViewId="0">
      <selection activeCell="R4" sqref="R4"/>
    </sheetView>
  </sheetViews>
  <sheetFormatPr defaultColWidth="9.140625" defaultRowHeight="12.75" x14ac:dyDescent="0.2"/>
  <cols>
    <col min="1" max="1" width="53.85546875" style="4" customWidth="1"/>
    <col min="2" max="4" width="22.42578125" style="4" customWidth="1"/>
    <col min="5" max="5" width="18.28515625" style="4" customWidth="1"/>
    <col min="6" max="6" width="17.85546875" style="4" customWidth="1"/>
    <col min="7" max="7" width="17.5703125" style="4" customWidth="1"/>
    <col min="8" max="8" width="18.140625" style="4" customWidth="1"/>
    <col min="9" max="9" width="18.28515625" style="4" customWidth="1"/>
    <col min="10" max="10" width="12.140625" style="4" customWidth="1"/>
    <col min="11" max="11" width="12.42578125" style="4" bestFit="1" customWidth="1"/>
    <col min="12" max="12" width="12.7109375" style="4" customWidth="1"/>
    <col min="13" max="13" width="12.140625" style="4" customWidth="1"/>
    <col min="14" max="14" width="12.28515625" style="4" customWidth="1"/>
    <col min="15" max="15" width="13.28515625" style="4" customWidth="1"/>
    <col min="16" max="16384" width="9.140625" style="4"/>
  </cols>
  <sheetData>
    <row r="1" spans="1:19" x14ac:dyDescent="0.2">
      <c r="S1" s="2"/>
    </row>
    <row r="2" spans="1:19" x14ac:dyDescent="0.2">
      <c r="O2" s="19"/>
    </row>
    <row r="3" spans="1:19" x14ac:dyDescent="0.2">
      <c r="E3" s="4" t="s">
        <v>0</v>
      </c>
    </row>
    <row r="4" spans="1:19" x14ac:dyDescent="0.2">
      <c r="S4" s="2"/>
    </row>
    <row r="5" spans="1:19" x14ac:dyDescent="0.2">
      <c r="E5" s="4" t="s">
        <v>1</v>
      </c>
      <c r="J5" s="19"/>
    </row>
    <row r="6" spans="1:19" x14ac:dyDescent="0.2">
      <c r="S6" s="2"/>
    </row>
    <row r="7" spans="1:19" x14ac:dyDescent="0.2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71</v>
      </c>
      <c r="M7" s="10" t="s">
        <v>72</v>
      </c>
      <c r="N7" s="10" t="s">
        <v>73</v>
      </c>
      <c r="O7" s="10" t="s">
        <v>74</v>
      </c>
    </row>
    <row r="8" spans="1:19" x14ac:dyDescent="0.2">
      <c r="A8" s="4" t="s">
        <v>22</v>
      </c>
      <c r="B8" s="40" t="s">
        <v>12</v>
      </c>
      <c r="C8" s="40" t="s">
        <v>67</v>
      </c>
      <c r="D8" s="40" t="s">
        <v>68</v>
      </c>
      <c r="E8" s="4" t="s">
        <v>13</v>
      </c>
      <c r="F8" s="19" t="s">
        <v>108</v>
      </c>
      <c r="H8" s="67" t="s">
        <v>69</v>
      </c>
      <c r="I8" s="67" t="s">
        <v>70</v>
      </c>
      <c r="J8" s="26" t="s">
        <v>127</v>
      </c>
      <c r="L8" s="4" t="s">
        <v>14</v>
      </c>
      <c r="N8" s="49" t="s">
        <v>15</v>
      </c>
      <c r="O8" s="49"/>
      <c r="S8" s="2"/>
    </row>
    <row r="9" spans="1:19" x14ac:dyDescent="0.2">
      <c r="B9" s="41" t="s">
        <v>123</v>
      </c>
      <c r="C9" s="11" t="str">
        <f>B9</f>
        <v>7/2012 to 6/2013 (A)</v>
      </c>
      <c r="D9" s="11" t="str">
        <f>C9</f>
        <v>7/2012 to 6/2013 (A)</v>
      </c>
      <c r="E9" s="42" t="s">
        <v>124</v>
      </c>
      <c r="F9" s="11" t="s">
        <v>16</v>
      </c>
      <c r="G9" s="11" t="s">
        <v>17</v>
      </c>
      <c r="H9" s="8" t="str">
        <f>E9</f>
        <v>7/2012 to 6/2013 (B)</v>
      </c>
      <c r="I9" s="8" t="str">
        <f>H9</f>
        <v>7/2012 to 6/2013 (B)</v>
      </c>
      <c r="J9" s="12" t="s">
        <v>23</v>
      </c>
      <c r="K9" s="12" t="s">
        <v>24</v>
      </c>
      <c r="L9" s="11" t="s">
        <v>16</v>
      </c>
      <c r="M9" s="11" t="s">
        <v>17</v>
      </c>
      <c r="N9" s="11" t="s">
        <v>18</v>
      </c>
      <c r="O9" s="11" t="s">
        <v>19</v>
      </c>
    </row>
    <row r="10" spans="1:19" x14ac:dyDescent="0.2">
      <c r="A10" s="4" t="s">
        <v>110</v>
      </c>
      <c r="B10" s="27">
        <v>0</v>
      </c>
      <c r="C10" s="27">
        <v>0</v>
      </c>
      <c r="D10" s="27">
        <v>0</v>
      </c>
      <c r="E10" s="27">
        <v>82293.588196233613</v>
      </c>
      <c r="F10" s="27"/>
      <c r="G10" s="68">
        <f>E10-F10</f>
        <v>82293.588196233613</v>
      </c>
      <c r="H10" s="27">
        <v>7960.663218900173</v>
      </c>
      <c r="I10" s="27">
        <v>28801.443794170984</v>
      </c>
      <c r="L10" s="53"/>
      <c r="M10" s="53"/>
      <c r="N10" s="53"/>
      <c r="O10" s="53"/>
      <c r="Q10" s="1"/>
      <c r="S10" s="9"/>
    </row>
    <row r="11" spans="1:19" x14ac:dyDescent="0.2">
      <c r="A11" s="4" t="s">
        <v>111</v>
      </c>
      <c r="B11" s="27">
        <v>179732.39872868921</v>
      </c>
      <c r="C11" s="27">
        <v>4336.3668825000286</v>
      </c>
      <c r="D11" s="27">
        <v>-9542.3771248424637</v>
      </c>
      <c r="E11" s="27">
        <v>144973.60448647605</v>
      </c>
      <c r="F11" s="27">
        <f>TRUNC(0.635*E11,0)</f>
        <v>92058</v>
      </c>
      <c r="G11" s="68">
        <f>E11-F11</f>
        <v>52915.604486476048</v>
      </c>
      <c r="H11" s="27">
        <v>5141.9674855600888</v>
      </c>
      <c r="I11" s="27">
        <v>-7209.1137498746248</v>
      </c>
      <c r="L11" s="53"/>
      <c r="M11" s="53"/>
      <c r="N11" s="53"/>
      <c r="O11" s="53"/>
      <c r="Q11" s="1"/>
      <c r="S11" s="9"/>
    </row>
    <row r="12" spans="1:19" x14ac:dyDescent="0.2">
      <c r="A12" s="4" t="s">
        <v>113</v>
      </c>
      <c r="B12" s="27">
        <v>306877.66669402545</v>
      </c>
      <c r="C12" s="27">
        <v>13155.647399999998</v>
      </c>
      <c r="D12" s="27">
        <v>4438.2267272563477</v>
      </c>
      <c r="E12" s="27">
        <v>69486.327654038221</v>
      </c>
      <c r="F12" s="27"/>
      <c r="G12" s="68">
        <f t="shared" ref="G12:G17" si="0">E12-F12</f>
        <v>69486.327654038221</v>
      </c>
      <c r="H12" s="27">
        <v>803.95623000005412</v>
      </c>
      <c r="I12" s="27">
        <v>-447.49723535804662</v>
      </c>
      <c r="L12" s="53"/>
      <c r="M12" s="53"/>
      <c r="N12" s="53"/>
      <c r="O12" s="53"/>
    </row>
    <row r="13" spans="1:19" x14ac:dyDescent="0.2">
      <c r="A13" s="1" t="s">
        <v>114</v>
      </c>
      <c r="B13" s="27">
        <v>668293.02881511347</v>
      </c>
      <c r="C13" s="27">
        <v>6549.2472399153203</v>
      </c>
      <c r="D13" s="27">
        <v>-31216.914698829132</v>
      </c>
      <c r="E13" s="27">
        <v>628707.54151181027</v>
      </c>
      <c r="F13" s="27">
        <f>TRUNC(0.635*E13,0)</f>
        <v>399229</v>
      </c>
      <c r="G13" s="68">
        <f t="shared" si="0"/>
        <v>229478.54151181027</v>
      </c>
      <c r="H13" s="27">
        <v>32649.531534714009</v>
      </c>
      <c r="I13" s="27">
        <v>-7162.1940918045357</v>
      </c>
      <c r="L13" s="53"/>
      <c r="M13" s="53"/>
      <c r="N13" s="53"/>
      <c r="O13" s="53"/>
    </row>
    <row r="14" spans="1:19" x14ac:dyDescent="0.2">
      <c r="A14" s="4" t="s">
        <v>112</v>
      </c>
      <c r="B14" s="27">
        <v>502601.21982880565</v>
      </c>
      <c r="C14" s="27">
        <v>198348.35711249991</v>
      </c>
      <c r="D14" s="27">
        <v>23735.202376367481</v>
      </c>
      <c r="E14" s="27">
        <v>656918.96513285185</v>
      </c>
      <c r="F14" s="27"/>
      <c r="G14" s="68">
        <f>E14-F14</f>
        <v>656918.96513285185</v>
      </c>
      <c r="H14" s="27">
        <v>395634.04517850012</v>
      </c>
      <c r="I14" s="27">
        <v>15033.857354671311</v>
      </c>
      <c r="L14" s="53"/>
      <c r="M14" s="53"/>
      <c r="N14" s="53"/>
      <c r="O14" s="53"/>
    </row>
    <row r="15" spans="1:19" x14ac:dyDescent="0.2">
      <c r="A15" s="1" t="s">
        <v>115</v>
      </c>
      <c r="B15" s="27">
        <v>164976.36975745313</v>
      </c>
      <c r="C15" s="27">
        <v>4898.9125080000058</v>
      </c>
      <c r="D15" s="27">
        <v>11761.661989981705</v>
      </c>
      <c r="E15" s="27">
        <v>223123.80534714647</v>
      </c>
      <c r="F15" s="27">
        <f>TRUNC(0.635*E15,0)</f>
        <v>141683</v>
      </c>
      <c r="G15" s="68">
        <f t="shared" si="0"/>
        <v>81440.805347146466</v>
      </c>
      <c r="H15" s="27">
        <v>30049.929324072236</v>
      </c>
      <c r="I15" s="27">
        <v>9464.0491192308891</v>
      </c>
      <c r="L15" s="53"/>
      <c r="M15" s="53"/>
      <c r="N15" s="53"/>
      <c r="O15" s="53"/>
    </row>
    <row r="16" spans="1:19" x14ac:dyDescent="0.2">
      <c r="A16" s="4" t="s">
        <v>109</v>
      </c>
      <c r="B16" s="27">
        <v>2669165.1028296696</v>
      </c>
      <c r="C16" s="27">
        <v>615167.12327064248</v>
      </c>
      <c r="D16" s="27">
        <v>818466.96126703476</v>
      </c>
      <c r="E16" s="27">
        <v>1798335.7146672802</v>
      </c>
      <c r="F16" s="27">
        <f>TRUNC(0.635*E16,0)</f>
        <v>1141943</v>
      </c>
      <c r="G16" s="68">
        <f t="shared" si="0"/>
        <v>656392.7146672802</v>
      </c>
      <c r="H16" s="27">
        <v>782163.38088564854</v>
      </c>
      <c r="I16" s="27">
        <v>838129.52728032542</v>
      </c>
      <c r="L16" s="53"/>
      <c r="M16" s="53"/>
      <c r="N16" s="53"/>
      <c r="O16" s="53"/>
    </row>
    <row r="17" spans="1:15" x14ac:dyDescent="0.2">
      <c r="A17" s="4" t="s">
        <v>21</v>
      </c>
      <c r="B17" s="27">
        <v>299456.99727597163</v>
      </c>
      <c r="C17" s="27">
        <v>0</v>
      </c>
      <c r="D17" s="68">
        <v>136981.71634802711</v>
      </c>
      <c r="E17" s="27">
        <v>370122.39659480582</v>
      </c>
      <c r="F17" s="27"/>
      <c r="G17" s="68">
        <f t="shared" si="0"/>
        <v>370122.39659480582</v>
      </c>
      <c r="H17" s="27">
        <v>0</v>
      </c>
      <c r="I17" s="27">
        <v>124135.83952351169</v>
      </c>
      <c r="L17" s="53"/>
      <c r="M17" s="53"/>
      <c r="N17" s="53"/>
      <c r="O17" s="53"/>
    </row>
    <row r="18" spans="1:15" x14ac:dyDescent="0.2">
      <c r="A18" s="4" t="s">
        <v>135</v>
      </c>
      <c r="B18" s="27">
        <v>0</v>
      </c>
      <c r="C18" s="27">
        <v>0</v>
      </c>
      <c r="D18" s="27">
        <v>0</v>
      </c>
      <c r="E18" s="27">
        <v>964.1147404680919</v>
      </c>
      <c r="F18" s="27">
        <f>TRUNC(0.635*E18,0)</f>
        <v>612</v>
      </c>
      <c r="G18" s="68">
        <f t="shared" ref="G18" si="1">E18-F18</f>
        <v>352.1147404680919</v>
      </c>
      <c r="H18" s="27">
        <v>326704.59378460282</v>
      </c>
      <c r="I18" s="27">
        <v>-80.811474046809195</v>
      </c>
      <c r="L18" s="66"/>
      <c r="M18" s="66"/>
      <c r="N18" s="66"/>
      <c r="O18" s="66"/>
    </row>
    <row r="19" spans="1:15" x14ac:dyDescent="0.2">
      <c r="A19" s="4" t="s">
        <v>137</v>
      </c>
      <c r="B19" s="27">
        <v>248064</v>
      </c>
      <c r="C19" s="27">
        <v>0</v>
      </c>
      <c r="D19" s="27">
        <v>0</v>
      </c>
      <c r="E19" s="27">
        <v>228654.15000000002</v>
      </c>
      <c r="F19" s="27">
        <v>91887.475885963053</v>
      </c>
      <c r="G19" s="68">
        <v>136766.67411403696</v>
      </c>
      <c r="H19" s="27">
        <v>0</v>
      </c>
      <c r="I19" s="27">
        <v>0</v>
      </c>
      <c r="L19" s="27">
        <v>97814</v>
      </c>
      <c r="M19" s="27">
        <v>145587.79999999999</v>
      </c>
      <c r="N19" s="76" t="s">
        <v>20</v>
      </c>
      <c r="O19" s="76" t="s">
        <v>20</v>
      </c>
    </row>
    <row r="20" spans="1:15" x14ac:dyDescent="0.2">
      <c r="A20" s="4" t="s">
        <v>138</v>
      </c>
      <c r="B20" s="27"/>
      <c r="C20" s="27"/>
      <c r="D20" s="27"/>
      <c r="E20" s="27"/>
      <c r="F20" s="27"/>
      <c r="G20" s="68"/>
      <c r="H20" s="27"/>
      <c r="I20" s="27"/>
      <c r="L20" s="27">
        <v>-3879937.7000000007</v>
      </c>
      <c r="M20" s="27">
        <v>4130112.5399999996</v>
      </c>
      <c r="N20" s="75"/>
      <c r="O20" s="75"/>
    </row>
    <row r="21" spans="1:15" x14ac:dyDescent="0.2">
      <c r="A21" s="43" t="s">
        <v>34</v>
      </c>
      <c r="B21" s="69">
        <f>SUM(B10:B20)</f>
        <v>5039166.7839297289</v>
      </c>
      <c r="C21" s="69">
        <f t="shared" ref="C21:I21" si="2">SUM(C10:C20)</f>
        <v>842455.65441355773</v>
      </c>
      <c r="D21" s="69">
        <f t="shared" si="2"/>
        <v>954624.47688499582</v>
      </c>
      <c r="E21" s="69">
        <f t="shared" si="2"/>
        <v>4203580.2083311109</v>
      </c>
      <c r="F21" s="69">
        <f t="shared" si="2"/>
        <v>1867412.4758859631</v>
      </c>
      <c r="G21" s="69">
        <f t="shared" si="2"/>
        <v>2336167.7324451474</v>
      </c>
      <c r="H21" s="69">
        <f t="shared" si="2"/>
        <v>1581108.0676419982</v>
      </c>
      <c r="I21" s="69">
        <f t="shared" si="2"/>
        <v>1000665.1005208263</v>
      </c>
      <c r="J21" s="60">
        <v>-3900580.0908024544</v>
      </c>
      <c r="K21" s="60">
        <v>-1456114.7344992599</v>
      </c>
      <c r="L21" s="44">
        <f>L19+L20</f>
        <v>-3782123.7000000007</v>
      </c>
      <c r="M21" s="44">
        <f>M19+M20</f>
        <v>4275700.34</v>
      </c>
      <c r="N21" s="44">
        <f>F21+J21-L21</f>
        <v>1748956.0850835093</v>
      </c>
      <c r="O21" s="44">
        <f>G21+H21+I21+K21-M21</f>
        <v>-813874.17389128823</v>
      </c>
    </row>
    <row r="22" spans="1:15" x14ac:dyDescent="0.2">
      <c r="B22" s="19"/>
      <c r="C22" s="68"/>
      <c r="D22" s="19"/>
      <c r="E22" s="68"/>
      <c r="F22" s="19"/>
      <c r="G22" s="19"/>
      <c r="H22" s="68"/>
      <c r="I22" s="68"/>
    </row>
    <row r="23" spans="1:15" x14ac:dyDescent="0.2">
      <c r="A23" s="19" t="s">
        <v>151</v>
      </c>
      <c r="B23" s="19"/>
      <c r="C23" s="19"/>
      <c r="D23" s="19"/>
      <c r="E23" s="19"/>
      <c r="F23" s="19"/>
      <c r="G23" s="19"/>
      <c r="H23" s="19"/>
      <c r="I23" s="27"/>
    </row>
    <row r="24" spans="1:15" x14ac:dyDescent="0.2">
      <c r="A24" s="19" t="s">
        <v>134</v>
      </c>
      <c r="B24" s="19"/>
      <c r="C24" s="19"/>
      <c r="D24" s="19"/>
      <c r="E24" s="19"/>
      <c r="F24" s="19"/>
      <c r="G24" s="19"/>
      <c r="H24" s="68"/>
      <c r="I24" s="19"/>
      <c r="J24" s="19"/>
    </row>
    <row r="25" spans="1:15" x14ac:dyDescent="0.2">
      <c r="A25" s="19" t="s">
        <v>133</v>
      </c>
      <c r="B25" s="19"/>
      <c r="C25" s="19"/>
      <c r="D25" s="19"/>
      <c r="E25" s="19"/>
      <c r="F25" s="19"/>
      <c r="G25" s="19"/>
      <c r="H25" s="70"/>
      <c r="I25" s="68"/>
      <c r="J25" s="19"/>
    </row>
    <row r="26" spans="1:15" x14ac:dyDescent="0.2">
      <c r="A26" s="19" t="s">
        <v>152</v>
      </c>
      <c r="B26" s="19"/>
      <c r="C26" s="19"/>
      <c r="D26" s="19"/>
      <c r="E26" s="68"/>
      <c r="F26" s="19"/>
      <c r="G26" s="19"/>
      <c r="H26" s="70"/>
      <c r="I26" s="19"/>
    </row>
    <row r="27" spans="1:15" x14ac:dyDescent="0.2">
      <c r="A27" s="19" t="s">
        <v>153</v>
      </c>
      <c r="B27" s="19"/>
      <c r="C27" s="19"/>
      <c r="D27" s="19"/>
      <c r="E27" s="19"/>
      <c r="F27" s="19"/>
      <c r="G27" s="19"/>
      <c r="H27" s="68"/>
      <c r="I27" s="19"/>
    </row>
    <row r="28" spans="1:15" x14ac:dyDescent="0.2">
      <c r="A28" s="19" t="s">
        <v>125</v>
      </c>
      <c r="B28" s="19"/>
      <c r="C28" s="19"/>
      <c r="D28" s="19"/>
      <c r="E28" s="19"/>
      <c r="F28" s="19"/>
      <c r="G28" s="19"/>
      <c r="H28" s="70"/>
      <c r="I28" s="19"/>
    </row>
    <row r="29" spans="1:15" x14ac:dyDescent="0.2">
      <c r="A29" s="4" t="s">
        <v>75</v>
      </c>
      <c r="B29" s="19"/>
      <c r="C29" s="19"/>
      <c r="D29" s="19"/>
      <c r="E29" s="19"/>
      <c r="F29" s="19"/>
      <c r="G29" s="19"/>
      <c r="H29" s="70"/>
      <c r="I29" s="19"/>
    </row>
    <row r="30" spans="1:15" x14ac:dyDescent="0.2">
      <c r="A30" s="4" t="s">
        <v>76</v>
      </c>
      <c r="B30" s="19"/>
      <c r="C30" s="19"/>
      <c r="D30" s="19"/>
      <c r="E30" s="19"/>
      <c r="F30" s="19"/>
      <c r="G30" s="19"/>
      <c r="H30" s="68"/>
      <c r="I30" s="19"/>
    </row>
    <row r="31" spans="1:15" x14ac:dyDescent="0.2">
      <c r="A31" s="4" t="s">
        <v>136</v>
      </c>
      <c r="B31" s="19"/>
      <c r="C31" s="19"/>
      <c r="D31" s="19"/>
      <c r="E31" s="19"/>
      <c r="F31" s="19"/>
      <c r="G31" s="19"/>
      <c r="H31" s="68"/>
      <c r="I31" s="19"/>
    </row>
    <row r="32" spans="1:15" x14ac:dyDescent="0.2">
      <c r="A32" s="19" t="s">
        <v>150</v>
      </c>
      <c r="B32" s="19"/>
      <c r="C32" s="19"/>
      <c r="D32" s="19"/>
      <c r="E32" s="19"/>
      <c r="F32" s="19"/>
      <c r="G32" s="19"/>
      <c r="H32" s="68"/>
      <c r="I32" s="19"/>
    </row>
    <row r="33" spans="1:26" x14ac:dyDescent="0.2">
      <c r="B33" s="19"/>
      <c r="C33" s="19"/>
      <c r="D33" s="19"/>
      <c r="E33" s="15"/>
      <c r="F33" s="15"/>
      <c r="G33" s="15"/>
      <c r="H33" s="15"/>
      <c r="I33" s="15"/>
      <c r="J33" s="14"/>
    </row>
    <row r="34" spans="1:26" x14ac:dyDescent="0.2">
      <c r="B34" s="71" t="s">
        <v>2</v>
      </c>
      <c r="C34" s="71" t="s">
        <v>3</v>
      </c>
      <c r="D34" s="71" t="s">
        <v>4</v>
      </c>
      <c r="E34" s="15" t="s">
        <v>5</v>
      </c>
      <c r="F34" s="15" t="s">
        <v>6</v>
      </c>
      <c r="G34" s="15" t="s">
        <v>7</v>
      </c>
      <c r="H34" s="15" t="s">
        <v>8</v>
      </c>
      <c r="I34" s="15" t="s">
        <v>9</v>
      </c>
      <c r="J34" s="15" t="s">
        <v>10</v>
      </c>
      <c r="Q34" s="10"/>
      <c r="R34" s="10"/>
      <c r="T34" s="10"/>
      <c r="U34" s="10"/>
      <c r="W34" s="10"/>
      <c r="X34" s="10"/>
    </row>
    <row r="35" spans="1:26" x14ac:dyDescent="0.2">
      <c r="A35" s="4" t="s">
        <v>25</v>
      </c>
      <c r="B35" s="19" t="s">
        <v>12</v>
      </c>
      <c r="C35" s="51" t="s">
        <v>67</v>
      </c>
      <c r="D35" s="51" t="s">
        <v>68</v>
      </c>
      <c r="E35" s="19" t="s">
        <v>13</v>
      </c>
      <c r="F35" s="51" t="s">
        <v>69</v>
      </c>
      <c r="G35" s="51" t="s">
        <v>70</v>
      </c>
      <c r="H35" s="50">
        <v>2012</v>
      </c>
      <c r="I35" s="51" t="s">
        <v>26</v>
      </c>
      <c r="J35" s="50" t="s">
        <v>128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B36" s="41" t="str">
        <f>B9</f>
        <v>7/2012 to 6/2013 (A)</v>
      </c>
      <c r="C36" s="41" t="str">
        <f>B36</f>
        <v>7/2012 to 6/2013 (A)</v>
      </c>
      <c r="D36" s="41" t="str">
        <f>C36</f>
        <v>7/2012 to 6/2013 (A)</v>
      </c>
      <c r="E36" s="42" t="str">
        <f>E9</f>
        <v>7/2012 to 6/2013 (B)</v>
      </c>
      <c r="F36" s="42" t="str">
        <f>E36</f>
        <v>7/2012 to 6/2013 (B)</v>
      </c>
      <c r="G36" s="42" t="str">
        <f>F36</f>
        <v>7/2012 to 6/2013 (B)</v>
      </c>
      <c r="H36" s="41" t="s">
        <v>27</v>
      </c>
      <c r="I36" s="41" t="s">
        <v>28</v>
      </c>
      <c r="J36" s="16" t="s">
        <v>77</v>
      </c>
      <c r="K36" s="1"/>
      <c r="L36" s="1"/>
      <c r="M36" s="13"/>
      <c r="N36" s="1"/>
      <c r="O36" s="13"/>
      <c r="P36" s="1"/>
      <c r="Q36" s="13"/>
      <c r="R36" s="13"/>
      <c r="S36" s="1"/>
      <c r="T36" s="13"/>
      <c r="U36" s="13"/>
      <c r="V36" s="1"/>
      <c r="W36" s="13"/>
      <c r="X36" s="13"/>
      <c r="Y36" s="1"/>
      <c r="Z36" s="1"/>
    </row>
    <row r="37" spans="1:26" x14ac:dyDescent="0.2">
      <c r="A37" s="19" t="s">
        <v>129</v>
      </c>
      <c r="B37" s="27">
        <v>157330.7136102377</v>
      </c>
      <c r="C37" s="27">
        <v>25776.20086757906</v>
      </c>
      <c r="D37" s="27">
        <v>67180.063296549604</v>
      </c>
      <c r="E37" s="27">
        <v>132131.13180470213</v>
      </c>
      <c r="F37" s="27">
        <v>39874.994661459372</v>
      </c>
      <c r="G37" s="27">
        <v>63157.542492412314</v>
      </c>
      <c r="H37" s="72"/>
      <c r="I37" s="72"/>
      <c r="J37" s="1"/>
      <c r="K37" s="17"/>
      <c r="L37" s="17"/>
      <c r="M37" s="9"/>
      <c r="N37" s="1"/>
      <c r="O37" s="1"/>
      <c r="P37" s="1"/>
      <c r="Q37" s="9"/>
      <c r="R37" s="5"/>
      <c r="S37" s="1"/>
      <c r="T37" s="13"/>
      <c r="U37" s="13"/>
      <c r="V37" s="1"/>
      <c r="W37" s="13"/>
      <c r="X37" s="13"/>
      <c r="Y37" s="1"/>
      <c r="Z37" s="1"/>
    </row>
    <row r="38" spans="1:26" x14ac:dyDescent="0.2">
      <c r="A38" s="4" t="s">
        <v>117</v>
      </c>
      <c r="B38" s="27">
        <v>6633.4968050477619</v>
      </c>
      <c r="C38" s="27">
        <v>1875.3143555083586</v>
      </c>
      <c r="D38" s="27">
        <v>6677.3897637341015</v>
      </c>
      <c r="E38" s="27">
        <v>4298.5661998470841</v>
      </c>
      <c r="F38" s="27">
        <v>1518.9757548312004</v>
      </c>
      <c r="G38" s="27">
        <v>53.326444128633469</v>
      </c>
      <c r="H38" s="72"/>
      <c r="I38" s="72"/>
      <c r="J38" s="1"/>
      <c r="K38" s="17"/>
      <c r="L38" s="18"/>
      <c r="M38" s="9"/>
      <c r="N38" s="1"/>
      <c r="O38" s="1"/>
      <c r="P38" s="1"/>
      <c r="Q38" s="9"/>
      <c r="R38" s="5"/>
      <c r="S38" s="1"/>
      <c r="T38" s="13"/>
      <c r="U38" s="13"/>
      <c r="V38" s="1"/>
      <c r="W38" s="13"/>
      <c r="X38" s="13"/>
      <c r="Y38" s="1"/>
      <c r="Z38" s="1"/>
    </row>
    <row r="39" spans="1:26" x14ac:dyDescent="0.2">
      <c r="A39" s="4" t="s">
        <v>118</v>
      </c>
      <c r="B39" s="27">
        <v>94790.266978206288</v>
      </c>
      <c r="C39" s="27">
        <v>20145.464423558187</v>
      </c>
      <c r="D39" s="27">
        <v>99009.673572862579</v>
      </c>
      <c r="E39" s="27">
        <v>127982.28024290552</v>
      </c>
      <c r="F39" s="27">
        <v>22236.788350227238</v>
      </c>
      <c r="G39" s="27">
        <v>26498.040388106969</v>
      </c>
      <c r="H39" s="72"/>
      <c r="I39" s="72"/>
      <c r="J39" s="1"/>
      <c r="K39" s="17"/>
      <c r="L39" s="18"/>
      <c r="M39" s="9"/>
      <c r="N39" s="1"/>
      <c r="O39" s="1"/>
      <c r="P39" s="1"/>
      <c r="Q39" s="9"/>
      <c r="R39" s="5"/>
      <c r="S39" s="1"/>
      <c r="T39" s="13"/>
      <c r="U39" s="13"/>
      <c r="V39" s="1"/>
      <c r="W39" s="13"/>
      <c r="X39" s="13"/>
      <c r="Y39" s="1"/>
      <c r="Z39" s="1"/>
    </row>
    <row r="40" spans="1:26" x14ac:dyDescent="0.2">
      <c r="A40" s="4" t="s">
        <v>119</v>
      </c>
      <c r="B40" s="27">
        <v>494147.95386355888</v>
      </c>
      <c r="C40" s="27">
        <v>92130.566186149095</v>
      </c>
      <c r="D40" s="27">
        <v>308106.47518769716</v>
      </c>
      <c r="E40" s="27">
        <v>418756.64634622942</v>
      </c>
      <c r="F40" s="27">
        <v>213946.22420002674</v>
      </c>
      <c r="G40" s="27">
        <v>289539.86691437545</v>
      </c>
      <c r="H40" s="72"/>
      <c r="I40" s="72"/>
      <c r="J40" s="1"/>
      <c r="K40" s="17"/>
      <c r="L40" s="18"/>
      <c r="M40" s="9"/>
      <c r="N40" s="1"/>
      <c r="O40" s="1"/>
      <c r="P40" s="1"/>
      <c r="Q40" s="9"/>
      <c r="R40" s="5"/>
      <c r="S40" s="1"/>
      <c r="T40" s="13"/>
      <c r="U40" s="13"/>
      <c r="V40" s="1"/>
      <c r="W40" s="13"/>
      <c r="X40" s="13"/>
      <c r="Y40" s="1"/>
      <c r="Z40" s="1"/>
    </row>
    <row r="41" spans="1:26" x14ac:dyDescent="0.2">
      <c r="A41" s="1" t="s">
        <v>120</v>
      </c>
      <c r="B41" s="73">
        <v>42613.863382170603</v>
      </c>
      <c r="C41" s="73">
        <v>18740.285952685877</v>
      </c>
      <c r="D41" s="73">
        <v>62141.23068493868</v>
      </c>
      <c r="E41" s="27">
        <v>40277.417517135735</v>
      </c>
      <c r="F41" s="27">
        <v>20671.276943386198</v>
      </c>
      <c r="G41" s="27">
        <v>27878.782638948294</v>
      </c>
      <c r="H41" s="74"/>
      <c r="I41" s="74"/>
      <c r="J41" s="1"/>
      <c r="K41" s="17"/>
      <c r="L41" s="18"/>
      <c r="M41" s="9"/>
      <c r="N41" s="1"/>
      <c r="O41" s="1"/>
      <c r="P41" s="1"/>
      <c r="Q41" s="9"/>
      <c r="R41" s="5"/>
      <c r="S41" s="1"/>
      <c r="T41" s="13"/>
      <c r="U41" s="13"/>
      <c r="V41" s="1"/>
      <c r="W41" s="13"/>
      <c r="X41" s="13"/>
      <c r="Y41" s="1"/>
      <c r="Z41" s="1"/>
    </row>
    <row r="42" spans="1:26" s="1" customFormat="1" x14ac:dyDescent="0.2">
      <c r="A42" s="26" t="s">
        <v>121</v>
      </c>
      <c r="B42" s="73">
        <v>51.876395085784317</v>
      </c>
      <c r="C42" s="73">
        <v>37.936648417165799</v>
      </c>
      <c r="D42" s="73">
        <v>62.743408651184033</v>
      </c>
      <c r="E42" s="27">
        <v>15818.774795729147</v>
      </c>
      <c r="F42" s="27">
        <v>2414.492578149132</v>
      </c>
      <c r="G42" s="27">
        <v>6116.9460280587364</v>
      </c>
      <c r="H42" s="74"/>
      <c r="I42" s="74"/>
      <c r="K42" s="17"/>
      <c r="L42" s="18"/>
      <c r="M42" s="9"/>
      <c r="Q42" s="9"/>
      <c r="R42" s="5"/>
      <c r="T42" s="13"/>
      <c r="U42" s="13"/>
      <c r="W42" s="13"/>
      <c r="X42" s="13"/>
    </row>
    <row r="43" spans="1:26" x14ac:dyDescent="0.2">
      <c r="A43" s="47" t="s">
        <v>34</v>
      </c>
      <c r="B43" s="60">
        <f>SUM(B37:B42)</f>
        <v>795568.17103430699</v>
      </c>
      <c r="C43" s="60">
        <f t="shared" ref="C43:G43" si="3">SUM(C37:C42)</f>
        <v>158705.76843389773</v>
      </c>
      <c r="D43" s="60">
        <f t="shared" si="3"/>
        <v>543177.57591443334</v>
      </c>
      <c r="E43" s="60">
        <f t="shared" si="3"/>
        <v>739264.81690654915</v>
      </c>
      <c r="F43" s="60">
        <f t="shared" si="3"/>
        <v>300662.75248807989</v>
      </c>
      <c r="G43" s="60">
        <f t="shared" si="3"/>
        <v>413244.50490603037</v>
      </c>
      <c r="H43" s="61">
        <v>-2503221.4011171022</v>
      </c>
      <c r="I43" s="60">
        <v>619647.35241600021</v>
      </c>
      <c r="J43" s="48">
        <f>E43+F43+G43+H43-I43</f>
        <v>-1669696.6792324432</v>
      </c>
    </row>
    <row r="44" spans="1:26" x14ac:dyDescent="0.2">
      <c r="B44" s="68"/>
      <c r="C44" s="19"/>
      <c r="D44" s="19"/>
      <c r="E44" s="19"/>
      <c r="F44" s="68"/>
      <c r="G44" s="68"/>
      <c r="H44" s="42"/>
      <c r="I44" s="19"/>
    </row>
    <row r="45" spans="1:26" x14ac:dyDescent="0.2">
      <c r="A45" s="47" t="s">
        <v>122</v>
      </c>
      <c r="B45" s="69">
        <v>934228.65578632103</v>
      </c>
      <c r="C45" s="69">
        <v>0</v>
      </c>
      <c r="D45" s="69">
        <v>288004.08918111544</v>
      </c>
      <c r="E45" s="69">
        <v>831987.22476234229</v>
      </c>
      <c r="F45" s="69">
        <v>0</v>
      </c>
      <c r="G45" s="69">
        <v>322930.80624812382</v>
      </c>
      <c r="H45" s="61">
        <v>1611690.6741796499</v>
      </c>
      <c r="I45" s="60">
        <v>1965294.4255270001</v>
      </c>
      <c r="J45" s="48">
        <f>E45+F45+G45+H45-I45</f>
        <v>801314.27966311597</v>
      </c>
      <c r="K45" s="17"/>
      <c r="L45" s="18"/>
      <c r="M45" s="9"/>
      <c r="N45" s="1"/>
      <c r="O45" s="1"/>
      <c r="P45" s="1"/>
      <c r="Q45" s="9"/>
      <c r="R45" s="5"/>
      <c r="S45" s="1"/>
      <c r="T45" s="13"/>
      <c r="U45" s="13"/>
      <c r="V45" s="1"/>
      <c r="W45" s="13"/>
      <c r="X45" s="13"/>
      <c r="Y45" s="1"/>
      <c r="Z45" s="1"/>
    </row>
    <row r="46" spans="1:26" x14ac:dyDescent="0.2">
      <c r="A46" s="26"/>
      <c r="B46" s="45"/>
      <c r="C46" s="45"/>
      <c r="D46" s="45"/>
      <c r="E46" s="9"/>
      <c r="F46" s="9"/>
      <c r="G46" s="9"/>
      <c r="H46" s="18"/>
      <c r="I46" s="18"/>
      <c r="J46" s="1"/>
      <c r="K46" s="17"/>
      <c r="L46" s="18"/>
      <c r="M46" s="9"/>
      <c r="N46" s="1"/>
      <c r="O46" s="1"/>
      <c r="P46" s="1"/>
      <c r="Q46" s="9"/>
      <c r="R46" s="5"/>
      <c r="S46" s="1"/>
      <c r="T46" s="13"/>
      <c r="U46" s="13"/>
      <c r="V46" s="1"/>
      <c r="W46" s="13"/>
      <c r="X46" s="13"/>
      <c r="Y46" s="1"/>
      <c r="Z46" s="1"/>
    </row>
    <row r="47" spans="1:26" x14ac:dyDescent="0.2">
      <c r="A47" s="19" t="str">
        <f>A23</f>
        <v>(A) Amounts identified in report filed in Case No. 2012-00085.</v>
      </c>
      <c r="F47" s="3"/>
      <c r="G47" s="3"/>
    </row>
    <row r="48" spans="1:26" x14ac:dyDescent="0.2">
      <c r="A48" s="4" t="str">
        <f>A24</f>
        <v>(B) Actual program expenditures, lost revenues (for this period and from prior period DSM measure installations), and shared savings for the period July 1, 2012 through June 30, 2013.</v>
      </c>
      <c r="F48" s="3"/>
      <c r="G48" s="3"/>
    </row>
    <row r="49" spans="1:9" x14ac:dyDescent="0.2">
      <c r="A49" s="19" t="s">
        <v>139</v>
      </c>
      <c r="F49" s="3"/>
      <c r="G49" s="3"/>
    </row>
    <row r="50" spans="1:9" x14ac:dyDescent="0.2">
      <c r="A50" s="19" t="s">
        <v>126</v>
      </c>
      <c r="F50" s="3"/>
      <c r="G50" s="3"/>
    </row>
    <row r="51" spans="1:9" x14ac:dyDescent="0.2">
      <c r="A51" s="19" t="s">
        <v>78</v>
      </c>
    </row>
    <row r="52" spans="1:9" x14ac:dyDescent="0.2">
      <c r="A52" s="19" t="s">
        <v>154</v>
      </c>
    </row>
    <row r="54" spans="1:9" x14ac:dyDescent="0.2">
      <c r="E54" s="2"/>
      <c r="F54" s="2"/>
      <c r="G54" s="3"/>
      <c r="H54" s="3"/>
      <c r="I54" s="3"/>
    </row>
    <row r="55" spans="1:9" x14ac:dyDescent="0.2">
      <c r="A55" s="36"/>
      <c r="G55" s="3"/>
      <c r="H55" s="3"/>
      <c r="I55" s="3"/>
    </row>
    <row r="56" spans="1:9" x14ac:dyDescent="0.2">
      <c r="A56" s="55"/>
      <c r="B56" s="19"/>
    </row>
    <row r="57" spans="1:9" x14ac:dyDescent="0.2">
      <c r="A57" s="56"/>
      <c r="B57" s="57"/>
    </row>
    <row r="58" spans="1:9" x14ac:dyDescent="0.2">
      <c r="A58" s="19"/>
      <c r="B58" s="19"/>
    </row>
    <row r="59" spans="1:9" x14ac:dyDescent="0.2">
      <c r="B59" s="58"/>
      <c r="C59" s="19"/>
    </row>
    <row r="60" spans="1:9" x14ac:dyDescent="0.2">
      <c r="B60" s="58"/>
      <c r="C60" s="19"/>
    </row>
    <row r="61" spans="1:9" x14ac:dyDescent="0.2">
      <c r="B61" s="59"/>
      <c r="C61" s="19"/>
    </row>
    <row r="62" spans="1:9" x14ac:dyDescent="0.2">
      <c r="B62" s="58"/>
      <c r="C62" s="19"/>
    </row>
    <row r="63" spans="1:9" x14ac:dyDescent="0.2">
      <c r="A63" s="19"/>
      <c r="B63" s="19"/>
    </row>
    <row r="64" spans="1:9" x14ac:dyDescent="0.2">
      <c r="B64" s="58"/>
      <c r="C64" s="57"/>
    </row>
    <row r="65" spans="1:3" x14ac:dyDescent="0.2">
      <c r="B65" s="58"/>
      <c r="C65" s="57"/>
    </row>
    <row r="66" spans="1:3" x14ac:dyDescent="0.2">
      <c r="B66" s="58"/>
      <c r="C66" s="57"/>
    </row>
    <row r="67" spans="1:3" x14ac:dyDescent="0.2">
      <c r="B67" s="58"/>
      <c r="C67" s="57"/>
    </row>
    <row r="68" spans="1:3" x14ac:dyDescent="0.2">
      <c r="A68" s="19"/>
      <c r="B68" s="62"/>
      <c r="C68" s="57"/>
    </row>
    <row r="69" spans="1:3" x14ac:dyDescent="0.2">
      <c r="A69" s="19"/>
      <c r="B69" s="57"/>
    </row>
  </sheetData>
  <phoneticPr fontId="2" type="noConversion"/>
  <pageMargins left="0.43" right="0.34" top="1.39" bottom="1" header="0.89" footer="0.5"/>
  <pageSetup scale="43" orientation="landscape" r:id="rId1"/>
  <headerFooter alignWithMargins="0">
    <oddHeader>&amp;R&amp;"Times New Roman,Bold"KyPSC Case No. 2014-00388
STAFF-DR-02-001 Attachment A
Page &amp;P of &amp;N</oddHeader>
  </headerFooter>
  <ignoredErrors>
    <ignoredError sqref="B7 M8:M9 L8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Layout" topLeftCell="F1" zoomScaleNormal="85" workbookViewId="0">
      <selection activeCell="R4" sqref="R4"/>
    </sheetView>
  </sheetViews>
  <sheetFormatPr defaultColWidth="9.140625" defaultRowHeight="12.75" x14ac:dyDescent="0.2"/>
  <cols>
    <col min="1" max="1" width="56.5703125" style="4" customWidth="1"/>
    <col min="2" max="2" width="14" style="4" bestFit="1" customWidth="1"/>
    <col min="3" max="4" width="12.28515625" style="4" bestFit="1" customWidth="1"/>
    <col min="5" max="5" width="14" style="4" bestFit="1" customWidth="1"/>
    <col min="6" max="8" width="9.140625" style="4"/>
    <col min="9" max="9" width="13" style="4" customWidth="1"/>
    <col min="10" max="10" width="13.140625" style="4" customWidth="1"/>
    <col min="11" max="11" width="13.85546875" style="4" customWidth="1"/>
    <col min="12" max="14" width="9.140625" style="4"/>
    <col min="15" max="15" width="14.5703125" style="38" customWidth="1"/>
    <col min="16" max="16" width="9.140625" style="4"/>
    <col min="17" max="17" width="13" style="4" bestFit="1" customWidth="1"/>
    <col min="18" max="16384" width="9.140625" style="4"/>
  </cols>
  <sheetData>
    <row r="1" spans="1:15" x14ac:dyDescent="0.2">
      <c r="B1" s="4" t="str">
        <f>'Page 1'!E3</f>
        <v xml:space="preserve">                      Kentucky DSM Rider</v>
      </c>
      <c r="K1" s="39"/>
    </row>
    <row r="3" spans="1:15" x14ac:dyDescent="0.2">
      <c r="B3" s="19" t="s">
        <v>141</v>
      </c>
    </row>
    <row r="6" spans="1:15" x14ac:dyDescent="0.2">
      <c r="B6" s="19" t="s">
        <v>142</v>
      </c>
    </row>
    <row r="8" spans="1:15" s="40" customFormat="1" ht="26.25" customHeight="1" x14ac:dyDescent="0.2">
      <c r="C8" s="40" t="s">
        <v>29</v>
      </c>
      <c r="D8" s="40" t="s">
        <v>30</v>
      </c>
      <c r="G8" s="77" t="s">
        <v>64</v>
      </c>
      <c r="H8" s="77"/>
      <c r="J8" s="78" t="s">
        <v>81</v>
      </c>
      <c r="K8" s="78"/>
    </row>
    <row r="9" spans="1:15" s="40" customFormat="1" ht="15" x14ac:dyDescent="0.35">
      <c r="B9" s="29" t="s">
        <v>31</v>
      </c>
      <c r="C9" s="29" t="s">
        <v>32</v>
      </c>
      <c r="D9" s="29" t="s">
        <v>33</v>
      </c>
      <c r="E9" s="29" t="s">
        <v>34</v>
      </c>
      <c r="G9" s="30" t="s">
        <v>17</v>
      </c>
      <c r="H9" s="30" t="s">
        <v>16</v>
      </c>
      <c r="I9" s="30" t="s">
        <v>65</v>
      </c>
      <c r="J9" s="30" t="s">
        <v>17</v>
      </c>
      <c r="K9" s="30" t="s">
        <v>66</v>
      </c>
    </row>
    <row r="10" spans="1:15" x14ac:dyDescent="0.2">
      <c r="B10" s="2"/>
      <c r="C10" s="2"/>
      <c r="D10" s="2"/>
      <c r="E10" s="2"/>
      <c r="O10" s="4"/>
    </row>
    <row r="11" spans="1:15" x14ac:dyDescent="0.2">
      <c r="A11" s="4" t="s">
        <v>110</v>
      </c>
      <c r="B11" s="27">
        <v>193426.36436693187</v>
      </c>
      <c r="C11" s="27">
        <v>104715.17612386739</v>
      </c>
      <c r="D11" s="27">
        <v>83129.825540072576</v>
      </c>
      <c r="E11" s="2">
        <f>SUM(B11:D11)</f>
        <v>381271.36603087181</v>
      </c>
      <c r="F11" s="3"/>
      <c r="G11" s="20">
        <f t="shared" ref="G11" si="0">1-H11</f>
        <v>1</v>
      </c>
      <c r="H11" s="20">
        <v>0</v>
      </c>
      <c r="I11" s="2">
        <f>G11*B11</f>
        <v>193426.36436693187</v>
      </c>
      <c r="J11" s="3">
        <f t="shared" ref="J11:J18" si="1">I11+D11+C11</f>
        <v>381271.36603087187</v>
      </c>
      <c r="K11" s="2">
        <f>H11*B11</f>
        <v>0</v>
      </c>
      <c r="M11" s="19"/>
      <c r="O11" s="4"/>
    </row>
    <row r="12" spans="1:15" x14ac:dyDescent="0.2">
      <c r="A12" s="4" t="s">
        <v>111</v>
      </c>
      <c r="B12" s="27">
        <v>229075.35495627008</v>
      </c>
      <c r="C12" s="27">
        <v>18778.877693937622</v>
      </c>
      <c r="D12" s="27">
        <v>-12239.435451414114</v>
      </c>
      <c r="E12" s="2">
        <f t="shared" ref="E12:E19" si="2">SUM(B12:D12)</f>
        <v>235614.79719879359</v>
      </c>
      <c r="F12" s="3"/>
      <c r="G12" s="20">
        <f>1-H12</f>
        <v>0.36499999999999999</v>
      </c>
      <c r="H12" s="20">
        <v>0.63500000000000001</v>
      </c>
      <c r="I12" s="2">
        <f t="shared" ref="I12:I18" si="3">G12*B12</f>
        <v>83612.504559038571</v>
      </c>
      <c r="J12" s="3">
        <f t="shared" si="1"/>
        <v>90151.946801562081</v>
      </c>
      <c r="K12" s="2">
        <f t="shared" ref="K12:K18" si="4">H12*B12</f>
        <v>145462.85039723149</v>
      </c>
      <c r="M12" s="19"/>
      <c r="N12" s="19"/>
      <c r="O12" s="4"/>
    </row>
    <row r="13" spans="1:15" x14ac:dyDescent="0.2">
      <c r="A13" s="4" t="s">
        <v>113</v>
      </c>
      <c r="B13" s="27">
        <v>356582.70086599665</v>
      </c>
      <c r="C13" s="27">
        <v>44246.827422000009</v>
      </c>
      <c r="D13" s="27">
        <v>7374.0694441284577</v>
      </c>
      <c r="E13" s="2">
        <f t="shared" si="2"/>
        <v>408203.59773212508</v>
      </c>
      <c r="F13" s="3"/>
      <c r="G13" s="20">
        <f t="shared" ref="G13" si="5">1-H13</f>
        <v>1</v>
      </c>
      <c r="H13" s="20">
        <v>0</v>
      </c>
      <c r="I13" s="2">
        <f t="shared" si="3"/>
        <v>356582.70086599665</v>
      </c>
      <c r="J13" s="3">
        <f t="shared" si="1"/>
        <v>408203.59773212508</v>
      </c>
      <c r="K13" s="2">
        <f t="shared" si="4"/>
        <v>0</v>
      </c>
      <c r="M13" s="19"/>
      <c r="O13" s="4"/>
    </row>
    <row r="14" spans="1:15" x14ac:dyDescent="0.2">
      <c r="A14" s="4" t="s">
        <v>114</v>
      </c>
      <c r="B14" s="27">
        <v>886257.67545011558</v>
      </c>
      <c r="C14" s="27">
        <v>39097.344014328781</v>
      </c>
      <c r="D14" s="27">
        <v>-31171.893402404923</v>
      </c>
      <c r="E14" s="2">
        <f t="shared" si="2"/>
        <v>894183.1260620394</v>
      </c>
      <c r="F14" s="3"/>
      <c r="G14" s="20">
        <f t="shared" ref="G14:G17" si="6">1-H14</f>
        <v>0.36499999999999999</v>
      </c>
      <c r="H14" s="20">
        <v>0.63500000000000001</v>
      </c>
      <c r="I14" s="2">
        <f t="shared" si="3"/>
        <v>323484.05153929215</v>
      </c>
      <c r="J14" s="3">
        <f t="shared" si="1"/>
        <v>331409.50215121603</v>
      </c>
      <c r="K14" s="2">
        <f t="shared" si="4"/>
        <v>562773.62391082337</v>
      </c>
      <c r="M14" s="19"/>
      <c r="N14" s="19"/>
      <c r="O14" s="4"/>
    </row>
    <row r="15" spans="1:15" x14ac:dyDescent="0.2">
      <c r="A15" s="4" t="s">
        <v>112</v>
      </c>
      <c r="B15" s="27">
        <v>574536.41840577696</v>
      </c>
      <c r="C15" s="27">
        <v>468203.82300000038</v>
      </c>
      <c r="D15" s="27">
        <v>45284.321002216595</v>
      </c>
      <c r="E15" s="2">
        <f>SUM(B15:D15)</f>
        <v>1088024.5624079939</v>
      </c>
      <c r="F15" s="3"/>
      <c r="G15" s="20">
        <f>1-H15</f>
        <v>1</v>
      </c>
      <c r="H15" s="20">
        <v>0</v>
      </c>
      <c r="I15" s="2">
        <f>G15*B15</f>
        <v>574536.41840577696</v>
      </c>
      <c r="J15" s="3">
        <f>I15+D15+C15</f>
        <v>1088024.5624079939</v>
      </c>
      <c r="K15" s="2">
        <f>H15*B15</f>
        <v>0</v>
      </c>
      <c r="M15" s="19"/>
      <c r="O15" s="4"/>
    </row>
    <row r="16" spans="1:15" x14ac:dyDescent="0.2">
      <c r="A16" s="4" t="s">
        <v>115</v>
      </c>
      <c r="B16" s="27">
        <v>189992.78903569785</v>
      </c>
      <c r="C16" s="27">
        <v>28310.815383732479</v>
      </c>
      <c r="D16" s="27">
        <v>12191.566369132619</v>
      </c>
      <c r="E16" s="2">
        <f t="shared" si="2"/>
        <v>230495.17078856291</v>
      </c>
      <c r="F16" s="3"/>
      <c r="G16" s="20">
        <f t="shared" ref="G16" si="7">1-H16</f>
        <v>0.36499999999999999</v>
      </c>
      <c r="H16" s="20">
        <v>0.63500000000000001</v>
      </c>
      <c r="I16" s="2">
        <f t="shared" si="3"/>
        <v>69347.367998029717</v>
      </c>
      <c r="J16" s="3">
        <f t="shared" si="1"/>
        <v>109849.74975089481</v>
      </c>
      <c r="K16" s="2">
        <f t="shared" si="4"/>
        <v>120645.42103766813</v>
      </c>
      <c r="M16" s="19"/>
      <c r="N16" s="19"/>
      <c r="O16" s="4"/>
    </row>
    <row r="17" spans="1:15" x14ac:dyDescent="0.2">
      <c r="A17" s="19" t="s">
        <v>143</v>
      </c>
      <c r="B17" s="27">
        <v>1288736.0414002235</v>
      </c>
      <c r="C17" s="27">
        <v>1575658.6263409113</v>
      </c>
      <c r="D17" s="27">
        <v>159818.4300813078</v>
      </c>
      <c r="E17" s="2">
        <f t="shared" si="2"/>
        <v>3024213.0978224427</v>
      </c>
      <c r="F17" s="3"/>
      <c r="G17" s="20">
        <f t="shared" si="6"/>
        <v>0.36499999999999999</v>
      </c>
      <c r="H17" s="20">
        <v>0.63500000000000001</v>
      </c>
      <c r="I17" s="2">
        <f t="shared" si="3"/>
        <v>470388.65511108155</v>
      </c>
      <c r="J17" s="3">
        <f t="shared" si="1"/>
        <v>2205865.7115333006</v>
      </c>
      <c r="K17" s="2">
        <f t="shared" si="4"/>
        <v>818347.38628914196</v>
      </c>
      <c r="M17" s="19"/>
      <c r="N17" s="19"/>
      <c r="O17" s="4"/>
    </row>
    <row r="18" spans="1:15" x14ac:dyDescent="0.2">
      <c r="A18" s="4" t="s">
        <v>21</v>
      </c>
      <c r="B18" s="27">
        <v>566066.36062397307</v>
      </c>
      <c r="C18" s="27">
        <v>0</v>
      </c>
      <c r="D18" s="27">
        <v>130089.00889228983</v>
      </c>
      <c r="E18" s="2">
        <f t="shared" si="2"/>
        <v>696155.3695162629</v>
      </c>
      <c r="G18" s="20">
        <f t="shared" ref="G18" si="8">1-H18</f>
        <v>1</v>
      </c>
      <c r="H18" s="20">
        <v>0</v>
      </c>
      <c r="I18" s="2">
        <f t="shared" si="3"/>
        <v>566066.36062397307</v>
      </c>
      <c r="J18" s="3">
        <f t="shared" si="1"/>
        <v>696155.3695162629</v>
      </c>
      <c r="K18" s="2">
        <f t="shared" si="4"/>
        <v>0</v>
      </c>
      <c r="M18" s="19"/>
      <c r="O18" s="4"/>
    </row>
    <row r="19" spans="1:15" x14ac:dyDescent="0.2">
      <c r="A19" s="4" t="s">
        <v>131</v>
      </c>
      <c r="B19" s="27">
        <v>0</v>
      </c>
      <c r="C19" s="27">
        <v>2949.5167971335532</v>
      </c>
      <c r="D19" s="27">
        <v>0</v>
      </c>
      <c r="E19" s="2">
        <f t="shared" si="2"/>
        <v>2949.5167971335532</v>
      </c>
      <c r="G19" s="20">
        <f t="shared" ref="G19" si="9">1-H19</f>
        <v>0.36499999999999999</v>
      </c>
      <c r="H19" s="20">
        <v>0.63500000000000001</v>
      </c>
      <c r="I19" s="2">
        <f t="shared" ref="I19" si="10">G19*B19</f>
        <v>0</v>
      </c>
      <c r="J19" s="3">
        <f t="shared" ref="J19" si="11">I19+D19+C19</f>
        <v>2949.5167971335532</v>
      </c>
      <c r="K19" s="2">
        <f t="shared" ref="K19" si="12">H19*B19</f>
        <v>0</v>
      </c>
      <c r="M19" s="19"/>
      <c r="O19" s="4"/>
    </row>
    <row r="20" spans="1:15" x14ac:dyDescent="0.2">
      <c r="B20" s="2"/>
      <c r="C20" s="2"/>
      <c r="D20" s="3"/>
      <c r="E20" s="2"/>
      <c r="F20" s="3"/>
      <c r="G20" s="20"/>
      <c r="H20" s="20"/>
      <c r="I20" s="2"/>
      <c r="J20" s="3"/>
      <c r="K20" s="2"/>
      <c r="O20" s="4"/>
    </row>
    <row r="21" spans="1:15" x14ac:dyDescent="0.2">
      <c r="A21" s="4" t="s">
        <v>35</v>
      </c>
      <c r="B21" s="2">
        <f>SUM(B11:B19)</f>
        <v>4284673.7051049853</v>
      </c>
      <c r="C21" s="2">
        <f>SUM(C11:C19)</f>
        <v>2281961.0067759114</v>
      </c>
      <c r="D21" s="2">
        <f>SUM(D11:D19)</f>
        <v>394475.89247532882</v>
      </c>
      <c r="E21" s="2">
        <f>SUM(E11:E19)</f>
        <v>6961110.6043562256</v>
      </c>
      <c r="I21" s="2">
        <f>SUM(I11:I19)</f>
        <v>2637444.4234701204</v>
      </c>
      <c r="J21" s="2">
        <f>SUM(J11:J19)</f>
        <v>5313881.3227213612</v>
      </c>
      <c r="K21" s="2">
        <f>SUM(K11:K19)</f>
        <v>1647229.2816348649</v>
      </c>
      <c r="O21" s="4"/>
    </row>
    <row r="22" spans="1:15" x14ac:dyDescent="0.2">
      <c r="B22" s="2"/>
      <c r="C22" s="2"/>
      <c r="D22" s="2"/>
      <c r="E22" s="2"/>
      <c r="I22" s="2"/>
      <c r="J22" s="3"/>
      <c r="K22" s="3"/>
      <c r="O22" s="4"/>
    </row>
    <row r="23" spans="1:15" x14ac:dyDescent="0.2">
      <c r="A23" s="4" t="s">
        <v>140</v>
      </c>
      <c r="B23" s="2">
        <f>'Page 5'!H39</f>
        <v>250556.4</v>
      </c>
      <c r="C23" s="27"/>
      <c r="D23" s="27"/>
      <c r="E23" s="2"/>
      <c r="G23" s="20"/>
      <c r="H23" s="20"/>
      <c r="I23" s="2"/>
      <c r="J23" s="3">
        <f>'Page 5'!H34</f>
        <v>145521.60000000001</v>
      </c>
      <c r="K23" s="2">
        <f>'Page 5'!H37</f>
        <v>105034.79999999999</v>
      </c>
      <c r="O23" s="4"/>
    </row>
    <row r="24" spans="1:15" x14ac:dyDescent="0.2">
      <c r="B24" s="2"/>
      <c r="C24" s="2"/>
      <c r="D24" s="2"/>
      <c r="E24" s="2"/>
      <c r="I24" s="2"/>
      <c r="J24" s="3"/>
      <c r="K24" s="3"/>
      <c r="O24" s="4"/>
    </row>
    <row r="25" spans="1:15" x14ac:dyDescent="0.2">
      <c r="B25" s="19" t="s">
        <v>149</v>
      </c>
      <c r="I25" s="2"/>
      <c r="O25" s="4"/>
    </row>
    <row r="26" spans="1:15" x14ac:dyDescent="0.2">
      <c r="I26" s="2"/>
      <c r="O26" s="4"/>
    </row>
    <row r="27" spans="1:15" ht="29.25" customHeight="1" x14ac:dyDescent="0.2">
      <c r="C27" s="40" t="s">
        <v>29</v>
      </c>
      <c r="D27" s="40" t="s">
        <v>30</v>
      </c>
      <c r="G27" s="77" t="s">
        <v>36</v>
      </c>
      <c r="H27" s="77"/>
      <c r="I27" s="2"/>
      <c r="J27" s="78" t="str">
        <f>J8</f>
        <v>Budget (Costs, Lost Revenues, &amp; Shared Savings)</v>
      </c>
      <c r="K27" s="78"/>
      <c r="O27" s="4"/>
    </row>
    <row r="28" spans="1:15" ht="15" x14ac:dyDescent="0.35">
      <c r="B28" s="30" t="s">
        <v>31</v>
      </c>
      <c r="C28" s="30" t="s">
        <v>32</v>
      </c>
      <c r="D28" s="30" t="s">
        <v>33</v>
      </c>
      <c r="E28" s="30" t="s">
        <v>34</v>
      </c>
      <c r="G28" s="30" t="s">
        <v>17</v>
      </c>
      <c r="H28" s="30" t="s">
        <v>16</v>
      </c>
      <c r="I28" s="31" t="str">
        <f>I9</f>
        <v>Electric Costs</v>
      </c>
      <c r="J28" s="30" t="s">
        <v>17</v>
      </c>
      <c r="K28" s="30" t="s">
        <v>16</v>
      </c>
      <c r="O28" s="4"/>
    </row>
    <row r="29" spans="1:15" x14ac:dyDescent="0.2">
      <c r="B29" s="2"/>
      <c r="C29" s="2"/>
      <c r="D29" s="2"/>
      <c r="E29" s="2"/>
      <c r="G29" s="20"/>
      <c r="H29" s="20"/>
      <c r="I29" s="2"/>
      <c r="J29" s="3"/>
      <c r="K29" s="40"/>
    </row>
    <row r="30" spans="1:15" x14ac:dyDescent="0.2">
      <c r="A30" s="4" t="s">
        <v>116</v>
      </c>
      <c r="B30" s="27">
        <v>393983.202312632</v>
      </c>
      <c r="C30" s="27">
        <v>129374.58223413159</v>
      </c>
      <c r="D30" s="27">
        <v>101449.13320957651</v>
      </c>
      <c r="E30" s="2">
        <f>SUM(B30:D30)</f>
        <v>624806.91775634012</v>
      </c>
      <c r="G30" s="20">
        <f>1-H30</f>
        <v>1</v>
      </c>
      <c r="H30" s="20">
        <v>0</v>
      </c>
      <c r="I30" s="2">
        <f>G30*B30</f>
        <v>393983.202312632</v>
      </c>
      <c r="J30" s="3">
        <f>I30+D30+C30</f>
        <v>624806.91775634012</v>
      </c>
      <c r="K30" s="40" t="s">
        <v>20</v>
      </c>
    </row>
    <row r="31" spans="1:15" x14ac:dyDescent="0.2">
      <c r="A31" s="19" t="s">
        <v>144</v>
      </c>
      <c r="B31" s="27">
        <v>18462.910467194812</v>
      </c>
      <c r="C31" s="27">
        <v>7814.969740204886</v>
      </c>
      <c r="D31" s="27">
        <v>12012.949912560391</v>
      </c>
      <c r="E31" s="2">
        <f t="shared" ref="E31:E37" si="13">SUM(B31:D31)</f>
        <v>38290.83011996009</v>
      </c>
      <c r="G31" s="20">
        <f>1-H31</f>
        <v>1</v>
      </c>
      <c r="H31" s="20">
        <v>0</v>
      </c>
      <c r="I31" s="2">
        <f t="shared" ref="I31:I37" si="14">G31*B31</f>
        <v>18462.910467194812</v>
      </c>
      <c r="J31" s="3">
        <f t="shared" ref="J31:J37" si="15">I31+D31+C31</f>
        <v>38290.83011996009</v>
      </c>
      <c r="K31" s="40" t="s">
        <v>20</v>
      </c>
    </row>
    <row r="32" spans="1:15" x14ac:dyDescent="0.2">
      <c r="A32" s="19" t="s">
        <v>145</v>
      </c>
      <c r="B32" s="27">
        <v>164435.81346605186</v>
      </c>
      <c r="C32" s="27">
        <v>47806.635863673051</v>
      </c>
      <c r="D32" s="27">
        <v>80057.852121687756</v>
      </c>
      <c r="E32" s="2">
        <f t="shared" si="13"/>
        <v>292300.30145141267</v>
      </c>
      <c r="G32" s="20">
        <f>1-H32</f>
        <v>1</v>
      </c>
      <c r="H32" s="20">
        <v>0</v>
      </c>
      <c r="I32" s="2">
        <f t="shared" si="14"/>
        <v>164435.81346605186</v>
      </c>
      <c r="J32" s="3">
        <f t="shared" si="15"/>
        <v>292300.30145141267</v>
      </c>
      <c r="K32" s="40" t="s">
        <v>20</v>
      </c>
    </row>
    <row r="33" spans="1:11" x14ac:dyDescent="0.2">
      <c r="A33" s="19" t="s">
        <v>146</v>
      </c>
      <c r="B33" s="27">
        <v>634676.49597342045</v>
      </c>
      <c r="C33" s="27">
        <v>290866.631698112</v>
      </c>
      <c r="D33" s="27">
        <v>310371.1607048763</v>
      </c>
      <c r="E33" s="2">
        <f t="shared" si="13"/>
        <v>1235914.2883764086</v>
      </c>
      <c r="G33" s="20">
        <v>1</v>
      </c>
      <c r="H33" s="20">
        <v>0</v>
      </c>
      <c r="I33" s="2">
        <f t="shared" si="14"/>
        <v>634676.49597342045</v>
      </c>
      <c r="J33" s="3">
        <f t="shared" si="15"/>
        <v>1235914.2883764086</v>
      </c>
      <c r="K33" s="40" t="s">
        <v>20</v>
      </c>
    </row>
    <row r="34" spans="1:11" x14ac:dyDescent="0.2">
      <c r="A34" s="4" t="s">
        <v>120</v>
      </c>
      <c r="B34" s="27">
        <v>43291.954507517585</v>
      </c>
      <c r="C34" s="27">
        <v>33509.894971029215</v>
      </c>
      <c r="D34" s="27">
        <v>36675.651642686607</v>
      </c>
      <c r="E34" s="2">
        <f t="shared" si="13"/>
        <v>113477.50112123339</v>
      </c>
      <c r="G34" s="20">
        <v>1</v>
      </c>
      <c r="H34" s="20">
        <v>0</v>
      </c>
      <c r="I34" s="2">
        <f t="shared" si="14"/>
        <v>43291.954507517585</v>
      </c>
      <c r="J34" s="3">
        <f t="shared" si="15"/>
        <v>113477.50112123342</v>
      </c>
      <c r="K34" s="40" t="s">
        <v>20</v>
      </c>
    </row>
    <row r="35" spans="1:11" x14ac:dyDescent="0.2">
      <c r="A35" s="4" t="s">
        <v>121</v>
      </c>
      <c r="B35" s="27">
        <v>1629.8719143335707</v>
      </c>
      <c r="C35" s="27">
        <v>1587.968460806813</v>
      </c>
      <c r="D35" s="27">
        <v>1131.4872599201783</v>
      </c>
      <c r="E35" s="2">
        <f t="shared" si="13"/>
        <v>4349.327635060562</v>
      </c>
      <c r="G35" s="20">
        <v>1</v>
      </c>
      <c r="H35" s="20">
        <v>0</v>
      </c>
      <c r="I35" s="2">
        <f t="shared" si="14"/>
        <v>1629.8719143335707</v>
      </c>
      <c r="J35" s="3">
        <f t="shared" si="15"/>
        <v>4349.327635060562</v>
      </c>
      <c r="K35" s="40" t="s">
        <v>20</v>
      </c>
    </row>
    <row r="36" spans="1:11" x14ac:dyDescent="0.2">
      <c r="A36" s="19" t="s">
        <v>147</v>
      </c>
      <c r="B36" s="27">
        <v>9919.0022308828338</v>
      </c>
      <c r="C36" s="27">
        <v>1490.2574278210864</v>
      </c>
      <c r="D36" s="27">
        <v>3005.4970276594372</v>
      </c>
      <c r="E36" s="2">
        <f t="shared" si="13"/>
        <v>14414.756686363358</v>
      </c>
      <c r="G36" s="20">
        <v>1</v>
      </c>
      <c r="H36" s="20">
        <v>0</v>
      </c>
      <c r="I36" s="2">
        <f t="shared" ref="I36" si="16">G36*B36</f>
        <v>9919.0022308828338</v>
      </c>
      <c r="J36" s="3">
        <f t="shared" si="15"/>
        <v>14414.756686363358</v>
      </c>
      <c r="K36" s="64" t="s">
        <v>20</v>
      </c>
    </row>
    <row r="37" spans="1:11" x14ac:dyDescent="0.2">
      <c r="A37" s="4" t="s">
        <v>122</v>
      </c>
      <c r="B37" s="27">
        <v>1022923.7032767267</v>
      </c>
      <c r="C37" s="27">
        <v>0</v>
      </c>
      <c r="D37" s="27">
        <v>332441.09111166245</v>
      </c>
      <c r="E37" s="2">
        <f t="shared" si="13"/>
        <v>1355364.7943883892</v>
      </c>
      <c r="G37" s="20">
        <v>1</v>
      </c>
      <c r="H37" s="20">
        <v>0</v>
      </c>
      <c r="I37" s="2">
        <f t="shared" si="14"/>
        <v>1022923.7032767267</v>
      </c>
      <c r="J37" s="3">
        <f t="shared" si="15"/>
        <v>1355364.7943883892</v>
      </c>
      <c r="K37" s="40" t="s">
        <v>20</v>
      </c>
    </row>
    <row r="38" spans="1:11" x14ac:dyDescent="0.2">
      <c r="B38" s="2"/>
      <c r="C38" s="2"/>
      <c r="D38" s="2"/>
      <c r="E38" s="2"/>
      <c r="I38" s="3"/>
    </row>
    <row r="39" spans="1:11" x14ac:dyDescent="0.2">
      <c r="A39" s="19" t="s">
        <v>35</v>
      </c>
      <c r="B39" s="2">
        <f>SUM(B30:B37)</f>
        <v>2289322.9541487601</v>
      </c>
      <c r="C39" s="2">
        <f>SUM(C30:C37)</f>
        <v>512450.94039577869</v>
      </c>
      <c r="D39" s="2">
        <f>SUM(D30:D37)</f>
        <v>877144.82299062971</v>
      </c>
      <c r="E39" s="2">
        <f>SUM(E30:E37)</f>
        <v>3678918.7175351679</v>
      </c>
      <c r="I39" s="3">
        <f>SUM(I30:I37)</f>
        <v>2289322.9541487601</v>
      </c>
      <c r="J39" s="3">
        <f>SUM(J30:J37)</f>
        <v>3678918.7175351679</v>
      </c>
      <c r="K39" s="65" t="s">
        <v>20</v>
      </c>
    </row>
    <row r="40" spans="1:11" x14ac:dyDescent="0.2">
      <c r="B40" s="2"/>
      <c r="C40" s="2"/>
      <c r="D40" s="2"/>
      <c r="E40" s="2"/>
      <c r="I40" s="3"/>
      <c r="J40" s="3"/>
    </row>
    <row r="41" spans="1:11" x14ac:dyDescent="0.2">
      <c r="A41" s="4" t="s">
        <v>97</v>
      </c>
      <c r="B41" s="3">
        <f>SUM(B21,B39)</f>
        <v>6573996.6592537453</v>
      </c>
      <c r="C41" s="3">
        <f>SUM(C21,C39)</f>
        <v>2794411.9471716899</v>
      </c>
      <c r="D41" s="3">
        <f>SUM(D21,D39)</f>
        <v>1271620.7154659585</v>
      </c>
      <c r="E41" s="3">
        <f>SUM(E21,E39)</f>
        <v>10640029.321891394</v>
      </c>
    </row>
    <row r="42" spans="1:11" x14ac:dyDescent="0.2">
      <c r="C42" s="3"/>
      <c r="D42" s="3"/>
    </row>
    <row r="44" spans="1:11" x14ac:dyDescent="0.2">
      <c r="A44" s="19" t="s">
        <v>155</v>
      </c>
      <c r="B44" s="19"/>
      <c r="C44" s="19"/>
      <c r="D44" s="19"/>
      <c r="E44" s="19"/>
    </row>
    <row r="45" spans="1:11" x14ac:dyDescent="0.2">
      <c r="A45" s="19" t="s">
        <v>148</v>
      </c>
    </row>
    <row r="46" spans="1:11" x14ac:dyDescent="0.2">
      <c r="A46" s="19"/>
    </row>
  </sheetData>
  <mergeCells count="4">
    <mergeCell ref="G8:H8"/>
    <mergeCell ref="G27:H27"/>
    <mergeCell ref="J8:K8"/>
    <mergeCell ref="J27:K27"/>
  </mergeCells>
  <phoneticPr fontId="2" type="noConversion"/>
  <pageMargins left="0.43" right="0.34" top="1.26" bottom="1" header="0.82" footer="0.5"/>
  <pageSetup scale="55" orientation="landscape" r:id="rId1"/>
  <headerFooter alignWithMargins="0">
    <oddHeader>&amp;R&amp;"Times New Roman,Bold"KyPSC Case No. 2014-00388
STAFF-DR-02-001 Attachment A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view="pageLayout" zoomScaleNormal="80" workbookViewId="0">
      <selection activeCell="R4" sqref="R4"/>
    </sheetView>
  </sheetViews>
  <sheetFormatPr defaultColWidth="9.140625" defaultRowHeight="12.75" x14ac:dyDescent="0.2"/>
  <cols>
    <col min="1" max="1" width="9.140625" style="4"/>
    <col min="2" max="2" width="28.5703125" style="4" customWidth="1"/>
    <col min="3" max="3" width="17.5703125" style="4" customWidth="1"/>
    <col min="4" max="5" width="14.140625" style="4" customWidth="1"/>
    <col min="6" max="7" width="9.140625" style="4"/>
    <col min="8" max="8" width="10.28515625" style="4" customWidth="1"/>
    <col min="9" max="11" width="9.140625" style="4"/>
    <col min="12" max="12" width="10.7109375" style="4" customWidth="1"/>
    <col min="13" max="13" width="9.140625" style="4"/>
    <col min="14" max="14" width="11.28515625" style="4" bestFit="1" customWidth="1"/>
    <col min="15" max="16384" width="9.140625" style="4"/>
  </cols>
  <sheetData>
    <row r="1" spans="2:14" x14ac:dyDescent="0.2">
      <c r="B1" s="4" t="str">
        <f>'Page 1'!E3</f>
        <v xml:space="preserve">                      Kentucky DSM Rider</v>
      </c>
      <c r="D1" s="39"/>
    </row>
    <row r="3" spans="2:14" x14ac:dyDescent="0.2">
      <c r="B3" s="4" t="s">
        <v>90</v>
      </c>
    </row>
    <row r="4" spans="2:14" x14ac:dyDescent="0.2">
      <c r="B4" s="19" t="s">
        <v>79</v>
      </c>
    </row>
    <row r="5" spans="2:14" x14ac:dyDescent="0.2">
      <c r="B5" s="4" t="s">
        <v>104</v>
      </c>
    </row>
    <row r="7" spans="2:14" x14ac:dyDescent="0.2">
      <c r="B7" s="19" t="s">
        <v>132</v>
      </c>
    </row>
    <row r="10" spans="2:14" x14ac:dyDescent="0.2">
      <c r="D10" s="4" t="s">
        <v>37</v>
      </c>
    </row>
    <row r="11" spans="2:14" x14ac:dyDescent="0.2">
      <c r="D11" s="4" t="s">
        <v>38</v>
      </c>
    </row>
    <row r="12" spans="2:14" x14ac:dyDescent="0.2">
      <c r="B12" s="32" t="s">
        <v>39</v>
      </c>
    </row>
    <row r="14" spans="2:14" x14ac:dyDescent="0.2">
      <c r="B14" s="4" t="s">
        <v>40</v>
      </c>
      <c r="D14" s="21">
        <f>'Page 2'!J21</f>
        <v>5313881.3227213612</v>
      </c>
    </row>
    <row r="15" spans="2:14" x14ac:dyDescent="0.2">
      <c r="D15" s="2"/>
    </row>
    <row r="16" spans="2:14" x14ac:dyDescent="0.2">
      <c r="B16" s="4" t="s">
        <v>93</v>
      </c>
      <c r="D16" s="2"/>
      <c r="H16" s="6"/>
      <c r="I16" s="6"/>
      <c r="J16" s="6"/>
      <c r="K16" s="6"/>
      <c r="L16" s="7"/>
      <c r="N16" s="6"/>
    </row>
    <row r="17" spans="2:14" x14ac:dyDescent="0.2">
      <c r="B17" s="4" t="s">
        <v>41</v>
      </c>
      <c r="D17" s="2">
        <f>'Page 2'!J39-'Page 2'!J37</f>
        <v>2323553.9231467787</v>
      </c>
      <c r="N17" s="7"/>
    </row>
    <row r="18" spans="2:14" x14ac:dyDescent="0.2">
      <c r="D18" s="2"/>
    </row>
    <row r="19" spans="2:14" x14ac:dyDescent="0.2">
      <c r="B19" s="4" t="s">
        <v>95</v>
      </c>
      <c r="D19" s="2"/>
      <c r="H19" s="6"/>
    </row>
    <row r="20" spans="2:14" x14ac:dyDescent="0.2">
      <c r="B20" s="4" t="s">
        <v>94</v>
      </c>
      <c r="D20" s="2">
        <f>'Page 2'!J37</f>
        <v>1355364.7943883892</v>
      </c>
    </row>
    <row r="21" spans="2:14" x14ac:dyDescent="0.2">
      <c r="D21" s="2"/>
    </row>
    <row r="22" spans="2:14" x14ac:dyDescent="0.2">
      <c r="B22" s="32" t="s">
        <v>42</v>
      </c>
      <c r="D22" s="2"/>
    </row>
    <row r="23" spans="2:14" x14ac:dyDescent="0.2">
      <c r="B23" s="4" t="s">
        <v>40</v>
      </c>
      <c r="D23" s="2">
        <f>'Page 2'!K21</f>
        <v>1647229.2816348649</v>
      </c>
    </row>
    <row r="26" spans="2:14" x14ac:dyDescent="0.2">
      <c r="B26" s="19" t="s">
        <v>107</v>
      </c>
    </row>
  </sheetData>
  <phoneticPr fontId="2" type="noConversion"/>
  <pageMargins left="0.43" right="0.34" top="1.44" bottom="1" header="0.97" footer="0.5"/>
  <pageSetup scale="55" orientation="landscape" r:id="rId1"/>
  <headerFooter alignWithMargins="0">
    <oddHeader>&amp;R&amp;"Times New Roman,Bold"KyPSC Case No. 2014-00388
STAFF-DR-02-001 Attachment A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view="pageLayout" topLeftCell="I1" zoomScaleNormal="80" workbookViewId="0">
      <selection activeCell="R4" sqref="R4"/>
    </sheetView>
  </sheetViews>
  <sheetFormatPr defaultColWidth="9.140625" defaultRowHeight="12.75" x14ac:dyDescent="0.2"/>
  <cols>
    <col min="1" max="1" width="9.140625" style="4"/>
    <col min="2" max="2" width="30.85546875" style="4" customWidth="1"/>
    <col min="3" max="3" width="16.28515625" style="4" customWidth="1"/>
    <col min="4" max="5" width="12.85546875" style="4" bestFit="1" customWidth="1"/>
    <col min="6" max="6" width="10.42578125" style="4" customWidth="1"/>
    <col min="7" max="7" width="11.42578125" style="4" customWidth="1"/>
    <col min="8" max="10" width="9.140625" style="4"/>
    <col min="11" max="11" width="11.28515625" style="4" customWidth="1"/>
    <col min="12" max="16384" width="9.140625" style="4"/>
  </cols>
  <sheetData>
    <row r="1" spans="2:13" x14ac:dyDescent="0.2">
      <c r="B1" s="4" t="str">
        <f>'Page 1'!E3</f>
        <v xml:space="preserve">                      Kentucky DSM Rider</v>
      </c>
      <c r="C1" s="39"/>
    </row>
    <row r="3" spans="2:13" x14ac:dyDescent="0.2">
      <c r="B3" s="4" t="str">
        <f>'Page 3'!B3</f>
        <v>Duke Energy Kentucky</v>
      </c>
    </row>
    <row r="4" spans="2:13" x14ac:dyDescent="0.2">
      <c r="B4" s="19" t="s">
        <v>79</v>
      </c>
    </row>
    <row r="5" spans="2:13" x14ac:dyDescent="0.2">
      <c r="B5" s="4" t="s">
        <v>43</v>
      </c>
    </row>
    <row r="8" spans="2:13" x14ac:dyDescent="0.2">
      <c r="B8" s="4" t="s">
        <v>44</v>
      </c>
      <c r="C8" s="4">
        <v>2014</v>
      </c>
      <c r="E8" s="19"/>
    </row>
    <row r="9" spans="2:13" x14ac:dyDescent="0.2">
      <c r="E9" s="19"/>
    </row>
    <row r="10" spans="2:13" x14ac:dyDescent="0.2">
      <c r="B10" s="4" t="s">
        <v>99</v>
      </c>
    </row>
    <row r="12" spans="2:13" x14ac:dyDescent="0.2">
      <c r="B12" s="4" t="s">
        <v>45</v>
      </c>
      <c r="C12" s="6">
        <v>1469356806.8586314</v>
      </c>
      <c r="E12" s="6"/>
      <c r="F12" s="19"/>
      <c r="G12" s="6"/>
      <c r="H12" s="6"/>
      <c r="I12" s="6"/>
      <c r="J12" s="6"/>
      <c r="K12" s="7"/>
      <c r="M12" s="6"/>
    </row>
    <row r="13" spans="2:13" x14ac:dyDescent="0.2">
      <c r="C13" s="6"/>
      <c r="M13" s="7"/>
    </row>
    <row r="14" spans="2:13" x14ac:dyDescent="0.2">
      <c r="B14" s="4" t="s">
        <v>46</v>
      </c>
      <c r="C14" s="6"/>
    </row>
    <row r="15" spans="2:13" x14ac:dyDescent="0.2">
      <c r="B15" s="4" t="s">
        <v>47</v>
      </c>
      <c r="C15" s="7">
        <v>2328176944.6640062</v>
      </c>
      <c r="F15" s="19"/>
      <c r="G15" s="6"/>
    </row>
    <row r="16" spans="2:13" x14ac:dyDescent="0.2">
      <c r="C16" s="7"/>
    </row>
    <row r="17" spans="2:6" x14ac:dyDescent="0.2">
      <c r="B17" s="4" t="s">
        <v>46</v>
      </c>
      <c r="C17" s="7"/>
      <c r="F17" s="7"/>
    </row>
    <row r="18" spans="2:6" x14ac:dyDescent="0.2">
      <c r="B18" s="4" t="s">
        <v>91</v>
      </c>
      <c r="C18" s="7">
        <v>2544487944.6640062</v>
      </c>
      <c r="D18" s="7"/>
      <c r="F18" s="7"/>
    </row>
    <row r="19" spans="2:6" x14ac:dyDescent="0.2">
      <c r="C19" s="6"/>
      <c r="D19" s="33"/>
    </row>
    <row r="20" spans="2:6" x14ac:dyDescent="0.2">
      <c r="B20" s="4" t="s">
        <v>100</v>
      </c>
      <c r="C20" s="6"/>
    </row>
    <row r="21" spans="2:6" x14ac:dyDescent="0.2">
      <c r="C21" s="6"/>
    </row>
    <row r="22" spans="2:6" x14ac:dyDescent="0.2">
      <c r="B22" s="4" t="s">
        <v>48</v>
      </c>
      <c r="C22" s="6">
        <v>61889261.160188951</v>
      </c>
      <c r="E22" s="6"/>
      <c r="F22" s="19"/>
    </row>
  </sheetData>
  <phoneticPr fontId="2" type="noConversion"/>
  <pageMargins left="0.43" right="0.34" top="1.41" bottom="1" header="0.93" footer="0.5"/>
  <pageSetup scale="55" orientation="landscape" r:id="rId1"/>
  <headerFooter alignWithMargins="0">
    <oddHeader>&amp;R&amp;"Times New Roman,Bold"KyPSC Case No. 2014-00388
STAFF-DR-02-001 Attachment A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view="pageLayout" topLeftCell="G1" zoomScaleNormal="80" workbookViewId="0">
      <selection activeCell="R4" sqref="R4"/>
    </sheetView>
  </sheetViews>
  <sheetFormatPr defaultColWidth="9.140625" defaultRowHeight="12.75" x14ac:dyDescent="0.2"/>
  <cols>
    <col min="1" max="1" width="13.5703125" style="4" customWidth="1"/>
    <col min="2" max="2" width="11.7109375" style="4" customWidth="1"/>
    <col min="3" max="3" width="16.7109375" style="4" customWidth="1"/>
    <col min="4" max="4" width="15.85546875" style="4" customWidth="1"/>
    <col min="5" max="5" width="1.28515625" style="4" customWidth="1"/>
    <col min="6" max="6" width="13.5703125" style="4" customWidth="1"/>
    <col min="7" max="7" width="13.140625" style="4" customWidth="1"/>
    <col min="8" max="8" width="18.28515625" style="4" customWidth="1"/>
    <col min="9" max="9" width="14.5703125" style="4" customWidth="1"/>
    <col min="10" max="10" width="6.140625" style="4" customWidth="1"/>
    <col min="11" max="11" width="22" style="4" customWidth="1"/>
    <col min="12" max="12" width="8.5703125" style="4" bestFit="1" customWidth="1"/>
    <col min="13" max="13" width="12.140625" style="4" customWidth="1"/>
    <col min="14" max="14" width="11.28515625" style="4" bestFit="1" customWidth="1"/>
    <col min="15" max="15" width="9.140625" style="4"/>
    <col min="16" max="16" width="15.42578125" style="4" customWidth="1"/>
    <col min="17" max="17" width="9.28515625" style="4" bestFit="1" customWidth="1"/>
    <col min="18" max="18" width="14.85546875" style="4" customWidth="1"/>
    <col min="19" max="16384" width="9.140625" style="4"/>
  </cols>
  <sheetData>
    <row r="1" spans="2:18" x14ac:dyDescent="0.2">
      <c r="B1" s="4" t="str">
        <f>'Page 1'!E3</f>
        <v xml:space="preserve">                      Kentucky DSM Rider</v>
      </c>
      <c r="M1" s="28"/>
    </row>
    <row r="3" spans="2:18" x14ac:dyDescent="0.2">
      <c r="B3" s="4" t="str">
        <f>'Page 4'!B3</f>
        <v>Duke Energy Kentucky</v>
      </c>
    </row>
    <row r="4" spans="2:18" x14ac:dyDescent="0.2">
      <c r="B4" s="19" t="s">
        <v>79</v>
      </c>
    </row>
    <row r="5" spans="2:18" x14ac:dyDescent="0.2">
      <c r="B5" s="4" t="s">
        <v>49</v>
      </c>
    </row>
    <row r="7" spans="2:18" x14ac:dyDescent="0.2">
      <c r="B7" s="19" t="s">
        <v>132</v>
      </c>
    </row>
    <row r="9" spans="2:18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1" spans="2:18" x14ac:dyDescent="0.2">
      <c r="G11" s="40" t="s">
        <v>50</v>
      </c>
      <c r="H11" s="40" t="s">
        <v>51</v>
      </c>
      <c r="I11" s="40" t="s">
        <v>52</v>
      </c>
    </row>
    <row r="12" spans="2:18" x14ac:dyDescent="0.2">
      <c r="B12" s="4" t="s">
        <v>53</v>
      </c>
      <c r="F12" s="40" t="s">
        <v>54</v>
      </c>
      <c r="G12" s="40" t="s">
        <v>37</v>
      </c>
      <c r="H12" s="40" t="s">
        <v>55</v>
      </c>
      <c r="I12" s="40" t="s">
        <v>56</v>
      </c>
      <c r="K12" s="4" t="s">
        <v>57</v>
      </c>
    </row>
    <row r="13" spans="2:18" x14ac:dyDescent="0.2">
      <c r="B13" s="4" t="s">
        <v>87</v>
      </c>
      <c r="F13" s="40" t="s">
        <v>61</v>
      </c>
      <c r="G13" s="40" t="s">
        <v>62</v>
      </c>
      <c r="H13" s="40" t="s">
        <v>58</v>
      </c>
      <c r="I13" s="40" t="s">
        <v>63</v>
      </c>
      <c r="K13" s="4" t="s">
        <v>80</v>
      </c>
      <c r="R13" s="19"/>
    </row>
    <row r="14" spans="2:18" x14ac:dyDescent="0.2">
      <c r="B14" s="32" t="s">
        <v>39</v>
      </c>
      <c r="C14" s="32"/>
    </row>
    <row r="15" spans="2:18" x14ac:dyDescent="0.2">
      <c r="B15" s="4" t="s">
        <v>40</v>
      </c>
      <c r="D15" s="22"/>
      <c r="F15" s="2">
        <f>'Page 1'!O21*Q43</f>
        <v>-815094.98515212524</v>
      </c>
      <c r="G15" s="21">
        <f>'Page 2'!J21</f>
        <v>5313881.3227213612</v>
      </c>
      <c r="H15" s="3">
        <f>SUM(D15:G15)</f>
        <v>4498786.3375692358</v>
      </c>
      <c r="I15" s="6">
        <f>'Page 4'!C12</f>
        <v>1469356806.8586314</v>
      </c>
      <c r="J15" s="22" t="s">
        <v>101</v>
      </c>
      <c r="K15" s="23">
        <f>H15/(I15)</f>
        <v>3.0617385216238154E-3</v>
      </c>
      <c r="L15" s="4" t="s">
        <v>59</v>
      </c>
      <c r="N15" s="34"/>
      <c r="R15" s="23"/>
    </row>
    <row r="16" spans="2:18" x14ac:dyDescent="0.2">
      <c r="F16" s="6"/>
      <c r="J16" s="22"/>
      <c r="N16" s="35"/>
    </row>
    <row r="17" spans="2:18" x14ac:dyDescent="0.2">
      <c r="B17" s="4" t="s">
        <v>93</v>
      </c>
      <c r="F17" s="6"/>
      <c r="J17" s="22"/>
      <c r="N17" s="3"/>
    </row>
    <row r="18" spans="2:18" x14ac:dyDescent="0.2">
      <c r="B18" s="4" t="s">
        <v>41</v>
      </c>
      <c r="D18" s="2"/>
      <c r="F18" s="21">
        <f>'Page 1'!J43*Q43</f>
        <v>-1672201.2242512919</v>
      </c>
      <c r="G18" s="2">
        <f>'Page 2'!J39-'Page 2'!J37</f>
        <v>2323553.9231467787</v>
      </c>
      <c r="H18" s="3">
        <f>SUM(D18:G18)</f>
        <v>651352.69889548677</v>
      </c>
      <c r="I18" s="6">
        <f>'Page 4'!C15</f>
        <v>2328176944.6640062</v>
      </c>
      <c r="J18" s="22" t="s">
        <v>101</v>
      </c>
      <c r="K18" s="24">
        <f>H18/(I18)</f>
        <v>2.7976941374165506E-4</v>
      </c>
      <c r="L18" s="4" t="s">
        <v>59</v>
      </c>
      <c r="R18" s="24"/>
    </row>
    <row r="19" spans="2:18" x14ac:dyDescent="0.2">
      <c r="D19" s="2"/>
      <c r="F19" s="2"/>
      <c r="G19" s="2"/>
      <c r="H19" s="3"/>
      <c r="I19" s="6"/>
      <c r="J19" s="22"/>
      <c r="K19" s="22"/>
      <c r="R19" s="22"/>
    </row>
    <row r="20" spans="2:18" x14ac:dyDescent="0.2">
      <c r="B20" s="4" t="s">
        <v>95</v>
      </c>
      <c r="G20" s="2"/>
      <c r="H20" s="3"/>
      <c r="I20" s="6"/>
      <c r="J20" s="22"/>
      <c r="K20" s="22"/>
      <c r="R20" s="22"/>
    </row>
    <row r="21" spans="2:18" x14ac:dyDescent="0.2">
      <c r="B21" s="4" t="s">
        <v>94</v>
      </c>
      <c r="F21" s="2"/>
      <c r="G21" s="2"/>
      <c r="H21" s="3"/>
      <c r="I21" s="6"/>
      <c r="J21" s="22"/>
      <c r="K21" s="22"/>
      <c r="R21" s="22"/>
    </row>
    <row r="22" spans="2:18" x14ac:dyDescent="0.2">
      <c r="B22" s="4" t="s">
        <v>92</v>
      </c>
      <c r="D22" s="2"/>
      <c r="F22" s="21">
        <f>'Page 1'!J45*Q43</f>
        <v>802516.25108261069</v>
      </c>
      <c r="G22" s="2">
        <f>'Page 2'!J37</f>
        <v>1355364.7943883892</v>
      </c>
      <c r="H22" s="3">
        <f>SUM(D22:G22)</f>
        <v>2157881.045471</v>
      </c>
      <c r="I22" s="6">
        <f>'Page 4'!C18</f>
        <v>2544487944.6640062</v>
      </c>
      <c r="J22" s="22" t="s">
        <v>101</v>
      </c>
      <c r="K22" s="24">
        <f>H22/(I22)</f>
        <v>8.4806102147044879E-4</v>
      </c>
      <c r="L22" s="4" t="s">
        <v>59</v>
      </c>
      <c r="R22" s="24"/>
    </row>
    <row r="23" spans="2:18" x14ac:dyDescent="0.2">
      <c r="D23" s="2"/>
      <c r="F23" s="2"/>
      <c r="G23" s="2"/>
      <c r="H23" s="3"/>
      <c r="I23" s="6"/>
      <c r="J23" s="22"/>
      <c r="K23" s="22"/>
      <c r="R23" s="22"/>
    </row>
    <row r="24" spans="2:18" x14ac:dyDescent="0.2">
      <c r="B24" s="4" t="s">
        <v>96</v>
      </c>
      <c r="D24" s="2"/>
      <c r="F24" s="2"/>
      <c r="G24" s="2"/>
      <c r="H24" s="3"/>
      <c r="I24" s="6"/>
      <c r="J24" s="22"/>
      <c r="K24" s="22"/>
      <c r="R24" s="22"/>
    </row>
    <row r="25" spans="2:18" x14ac:dyDescent="0.2">
      <c r="B25" s="4" t="s">
        <v>41</v>
      </c>
      <c r="D25" s="2"/>
      <c r="F25" s="2"/>
      <c r="G25" s="2"/>
      <c r="H25" s="3"/>
      <c r="I25" s="6"/>
      <c r="J25" s="22"/>
      <c r="K25" s="24">
        <f>K18+K22</f>
        <v>1.1278304352121038E-3</v>
      </c>
      <c r="L25" s="4" t="str">
        <f>L22</f>
        <v>$/kWh</v>
      </c>
      <c r="R25" s="24"/>
    </row>
    <row r="26" spans="2:18" x14ac:dyDescent="0.2">
      <c r="F26" s="6"/>
    </row>
    <row r="27" spans="2:18" x14ac:dyDescent="0.2">
      <c r="B27" s="32" t="s">
        <v>42</v>
      </c>
      <c r="F27" s="6"/>
      <c r="N27" s="3"/>
    </row>
    <row r="28" spans="2:18" x14ac:dyDescent="0.2">
      <c r="B28" s="4" t="s">
        <v>40</v>
      </c>
      <c r="D28" s="22"/>
      <c r="F28" s="2">
        <f>'Page 1'!N21*Q43</f>
        <v>1751579.5192111346</v>
      </c>
      <c r="G28" s="2">
        <f>'Page 2'!K21</f>
        <v>1647229.2816348649</v>
      </c>
      <c r="H28" s="3">
        <f>SUM(D28:G28)</f>
        <v>3398808.8008459993</v>
      </c>
      <c r="I28" s="6">
        <f>'Page 4'!C22</f>
        <v>61889261.160188951</v>
      </c>
      <c r="J28" s="22" t="s">
        <v>102</v>
      </c>
      <c r="K28" s="22">
        <f>H28/(I28)</f>
        <v>5.4917585654299682E-2</v>
      </c>
      <c r="L28" s="4" t="s">
        <v>103</v>
      </c>
      <c r="R28" s="22"/>
    </row>
    <row r="30" spans="2:18" x14ac:dyDescent="0.2">
      <c r="C30" s="4" t="s">
        <v>82</v>
      </c>
      <c r="H30" s="3">
        <f>SUM(H15:H29)</f>
        <v>10706828.882781722</v>
      </c>
    </row>
    <row r="31" spans="2:18" x14ac:dyDescent="0.2">
      <c r="H31" s="3"/>
    </row>
    <row r="32" spans="2:18" x14ac:dyDescent="0.2">
      <c r="B32" s="4" t="s">
        <v>98</v>
      </c>
      <c r="H32" s="3"/>
    </row>
    <row r="33" spans="2:18" x14ac:dyDescent="0.2">
      <c r="B33" s="36" t="s">
        <v>83</v>
      </c>
      <c r="H33" s="3" t="s">
        <v>86</v>
      </c>
      <c r="I33" s="4" t="s">
        <v>85</v>
      </c>
      <c r="K33" s="4" t="s">
        <v>89</v>
      </c>
    </row>
    <row r="34" spans="2:18" x14ac:dyDescent="0.2">
      <c r="B34" s="4" t="s">
        <v>40</v>
      </c>
      <c r="G34" s="2"/>
      <c r="H34" s="3">
        <f>I34*K34*12</f>
        <v>145521.60000000001</v>
      </c>
      <c r="I34" s="52">
        <v>121268</v>
      </c>
      <c r="K34" s="25">
        <v>0.1</v>
      </c>
      <c r="R34" s="25"/>
    </row>
    <row r="35" spans="2:18" x14ac:dyDescent="0.2">
      <c r="H35" s="3"/>
      <c r="I35" s="52"/>
    </row>
    <row r="36" spans="2:18" x14ac:dyDescent="0.2">
      <c r="B36" s="36" t="s">
        <v>84</v>
      </c>
      <c r="C36" s="36"/>
      <c r="H36" s="3"/>
      <c r="I36" s="52"/>
    </row>
    <row r="37" spans="2:18" x14ac:dyDescent="0.2">
      <c r="B37" s="4" t="s">
        <v>40</v>
      </c>
      <c r="G37" s="2"/>
      <c r="H37" s="3">
        <f>I37*K37*12</f>
        <v>105034.79999999999</v>
      </c>
      <c r="I37" s="52">
        <v>87529</v>
      </c>
      <c r="K37" s="25">
        <v>0.1</v>
      </c>
      <c r="R37" s="25"/>
    </row>
    <row r="39" spans="2:18" x14ac:dyDescent="0.2">
      <c r="C39" s="4" t="s">
        <v>88</v>
      </c>
      <c r="H39" s="3">
        <f>H34+H37</f>
        <v>250556.4</v>
      </c>
    </row>
    <row r="41" spans="2:18" x14ac:dyDescent="0.2">
      <c r="B41" s="4" t="s">
        <v>60</v>
      </c>
      <c r="H41" s="3">
        <f>H30+H39</f>
        <v>10957385.282781722</v>
      </c>
    </row>
    <row r="43" spans="2:18" x14ac:dyDescent="0.2">
      <c r="B43" s="37" t="s">
        <v>130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  <c r="Q43" s="63">
        <v>1.0015000000000001</v>
      </c>
    </row>
    <row r="44" spans="2:18" x14ac:dyDescent="0.2">
      <c r="B44" s="19" t="s">
        <v>105</v>
      </c>
    </row>
    <row r="45" spans="2:18" x14ac:dyDescent="0.2">
      <c r="B45" s="19" t="s">
        <v>106</v>
      </c>
    </row>
    <row r="49" spans="1:3" x14ac:dyDescent="0.2">
      <c r="A49" s="36"/>
    </row>
    <row r="50" spans="1:3" x14ac:dyDescent="0.2">
      <c r="A50" s="19"/>
      <c r="C50" s="19"/>
    </row>
    <row r="51" spans="1:3" x14ac:dyDescent="0.2">
      <c r="B51" s="46"/>
      <c r="C51" s="19"/>
    </row>
    <row r="52" spans="1:3" x14ac:dyDescent="0.2">
      <c r="B52" s="46"/>
      <c r="C52" s="19"/>
    </row>
    <row r="53" spans="1:3" x14ac:dyDescent="0.2">
      <c r="A53" s="19"/>
      <c r="B53" s="54"/>
      <c r="C53" s="19"/>
    </row>
  </sheetData>
  <phoneticPr fontId="2" type="noConversion"/>
  <pageMargins left="0.43" right="0.34" top="1.31" bottom="1" header="0.88" footer="0.5"/>
  <pageSetup scale="55" orientation="landscape" r:id="rId1"/>
  <headerFooter alignWithMargins="0">
    <oddHeader>&amp;R&amp;"Times New Roman,Bold"KyPSC Case No. 2014-00388
STAFF-DR-02-001 Attachment A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B7F93A963C34429A8E6380E003E780" ma:contentTypeVersion="3" ma:contentTypeDescription="Create a new document." ma:contentTypeScope="" ma:versionID="e1d28c2767193536eeb47c6a3cb97d24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Witness xmlns="2612a682-5ffb-4b9c-9555-017618935178" xsi:nil="true"/>
  </documentManagement>
</p:properties>
</file>

<file path=customXml/itemProps1.xml><?xml version="1.0" encoding="utf-8"?>
<ds:datastoreItem xmlns:ds="http://schemas.openxmlformats.org/officeDocument/2006/customXml" ds:itemID="{2C8DEA04-CD92-4C8B-ABED-A7581B97E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97EA35-CC74-466D-BED0-57A139F2AA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56FA78-8CAC-46E4-A06E-6CC39F53FDD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A561FF7-B48A-4EED-992B-6ABF9003439B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2612a682-5ffb-4b9c-9555-0176189351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Page 1</vt:lpstr>
      <vt:lpstr>Page 2</vt:lpstr>
      <vt:lpstr>Page 3</vt:lpstr>
      <vt:lpstr>Page 4</vt:lpstr>
      <vt:lpstr>Page 5</vt:lpstr>
    </vt:vector>
  </TitlesOfParts>
  <Company>Cinergy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Cinergy</dc:creator>
  <cp:lastModifiedBy>Ryan, Kristen J</cp:lastModifiedBy>
  <cp:lastPrinted>2015-02-26T13:42:06Z</cp:lastPrinted>
  <dcterms:created xsi:type="dcterms:W3CDTF">2004-08-25T01:49:36Z</dcterms:created>
  <dcterms:modified xsi:type="dcterms:W3CDTF">2015-02-26T18:44:08Z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0x0101008BB7F93A963C34429A8E6380E003E780</vt:lpwstr>
  </property>
</Properties>
</file>