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1290" yWindow="3555" windowWidth="23280" windowHeight="7770" tabRatio="852" activeTab="3"/>
  </bookViews>
  <sheets>
    <sheet name="INPUT" sheetId="1" r:id="rId1"/>
    <sheet name="Rate Case Constants" sheetId="8" r:id="rId2"/>
    <sheet name="SCHEDULES===&gt;" sheetId="14" r:id="rId3"/>
    <sheet name="RGS_VFD" sheetId="2" r:id="rId4"/>
    <sheet name="CGS less than 5000cfh" sheetId="3" r:id="rId5"/>
    <sheet name="CGS greater than 5000cfh" sheetId="10" r:id="rId6"/>
    <sheet name="IGS less than 5000cfh" sheetId="11" r:id="rId7"/>
    <sheet name="IGS greater than 5000cfh" sheetId="4" r:id="rId8"/>
    <sheet name="AAGS" sheetId="5" r:id="rId9"/>
    <sheet name="DGGS less than 5000cfh" sheetId="12" r:id="rId10"/>
    <sheet name="DGGS greater than 5000cfh" sheetId="13" r:id="rId11"/>
    <sheet name="FT" sheetId="7" r:id="rId12"/>
  </sheets>
  <definedNames>
    <definedName name="_xlnm.Print_Area" localSheetId="8">AAGS!$A$1:$L$39</definedName>
    <definedName name="_xlnm.Print_Area" localSheetId="5">'CGS greater than 5000cfh'!$A$1:$L$39</definedName>
    <definedName name="_xlnm.Print_Area" localSheetId="4">'CGS less than 5000cfh'!$A$1:$L$39</definedName>
    <definedName name="_xlnm.Print_Area" localSheetId="10">'DGGS greater than 5000cfh'!$A$1:$N$40</definedName>
    <definedName name="_xlnm.Print_Area" localSheetId="9">'DGGS less than 5000cfh'!$A$1:$N$40</definedName>
    <definedName name="_xlnm.Print_Area" localSheetId="11">FT!$A$1:$L$39</definedName>
    <definedName name="_xlnm.Print_Area" localSheetId="7">'IGS greater than 5000cfh'!$A$1:$L$39</definedName>
    <definedName name="_xlnm.Print_Area" localSheetId="6">'IGS less than 5000cfh'!$A$1:$L$39</definedName>
    <definedName name="_xlnm.Print_Area" localSheetId="3">RGS_VFD!$A$1:$L$39</definedName>
  </definedNames>
  <calcPr calcId="145621" calcMode="manual"/>
</workbook>
</file>

<file path=xl/calcChain.xml><?xml version="1.0" encoding="utf-8"?>
<calcChain xmlns="http://schemas.openxmlformats.org/spreadsheetml/2006/main">
  <c r="A37" i="7" l="1"/>
  <c r="A37" i="13"/>
  <c r="A37" i="12"/>
  <c r="A37" i="5"/>
  <c r="A37" i="4"/>
  <c r="A37" i="11"/>
  <c r="A37" i="3"/>
  <c r="A37" i="2"/>
  <c r="A37" i="10"/>
  <c r="H22" i="2" l="1"/>
  <c r="G22" i="2"/>
  <c r="G20" i="8" l="1"/>
  <c r="A40" i="13" l="1"/>
  <c r="A40" i="12"/>
  <c r="A39" i="7"/>
  <c r="A39" i="5"/>
  <c r="A39" i="4"/>
  <c r="A39" i="11"/>
  <c r="A39" i="10"/>
  <c r="A39" i="3"/>
  <c r="A39" i="2"/>
  <c r="G30" i="1" l="1"/>
  <c r="Z18" i="13" l="1"/>
  <c r="Z34" i="13" s="1"/>
  <c r="AA34" i="13" s="1"/>
  <c r="U18" i="13"/>
  <c r="U34" i="13" s="1"/>
  <c r="V34" i="13" s="1"/>
  <c r="V34" i="12"/>
  <c r="U34" i="12"/>
  <c r="V32" i="12"/>
  <c r="U32" i="12"/>
  <c r="U30" i="12"/>
  <c r="V30" i="12" s="1"/>
  <c r="V28" i="12"/>
  <c r="U28" i="12"/>
  <c r="V26" i="12"/>
  <c r="U26" i="12"/>
  <c r="V24" i="12"/>
  <c r="U24" i="12"/>
  <c r="U22" i="12"/>
  <c r="V20" i="12"/>
  <c r="U20" i="12"/>
  <c r="U18" i="12"/>
  <c r="Z18" i="12"/>
  <c r="Z34" i="12" s="1"/>
  <c r="AA34" i="12" s="1"/>
  <c r="G12" i="1"/>
  <c r="Z28" i="12" l="1"/>
  <c r="AA28" i="12" s="1"/>
  <c r="Z20" i="12"/>
  <c r="AA20" i="12" s="1"/>
  <c r="Z22" i="12"/>
  <c r="Z30" i="12"/>
  <c r="AA30" i="12" s="1"/>
  <c r="Z24" i="12"/>
  <c r="AA24" i="12" s="1"/>
  <c r="Z32" i="12"/>
  <c r="AA32" i="12" s="1"/>
  <c r="Z26" i="12"/>
  <c r="AA26" i="12" s="1"/>
  <c r="Z20" i="13"/>
  <c r="AA20" i="13" s="1"/>
  <c r="Z24" i="13"/>
  <c r="AA24" i="13" s="1"/>
  <c r="Z28" i="13"/>
  <c r="AA28" i="13" s="1"/>
  <c r="Z32" i="13"/>
  <c r="AA32" i="13" s="1"/>
  <c r="Z22" i="13"/>
  <c r="Z26" i="13"/>
  <c r="AA26" i="13" s="1"/>
  <c r="Z30" i="13"/>
  <c r="AA30" i="13" s="1"/>
  <c r="U20" i="13"/>
  <c r="V20" i="13" s="1"/>
  <c r="U24" i="13"/>
  <c r="V24" i="13" s="1"/>
  <c r="U28" i="13"/>
  <c r="V28" i="13" s="1"/>
  <c r="U32" i="13"/>
  <c r="V32" i="13" s="1"/>
  <c r="U22" i="13"/>
  <c r="U26" i="13"/>
  <c r="V26" i="13" s="1"/>
  <c r="U30" i="13"/>
  <c r="V30" i="13" s="1"/>
  <c r="L18" i="7" l="1"/>
  <c r="N18" i="13"/>
  <c r="N18" i="12"/>
  <c r="L18" i="5"/>
  <c r="L18" i="4"/>
  <c r="L18" i="11"/>
  <c r="L18" i="10"/>
  <c r="L18" i="3"/>
  <c r="L18" i="2"/>
  <c r="J18" i="3" l="1"/>
  <c r="J18" i="10"/>
  <c r="J18" i="11"/>
  <c r="J18" i="4"/>
  <c r="J18" i="5"/>
  <c r="L18" i="12"/>
  <c r="L18" i="13"/>
  <c r="J18" i="7"/>
  <c r="J18" i="2"/>
  <c r="E18" i="3"/>
  <c r="E18" i="10"/>
  <c r="E18" i="11"/>
  <c r="E18" i="4"/>
  <c r="E18" i="5"/>
  <c r="G18" i="12"/>
  <c r="G18" i="13"/>
  <c r="E18" i="7"/>
  <c r="E18" i="2"/>
  <c r="I32" i="4"/>
  <c r="I32" i="11"/>
  <c r="I28" i="4"/>
  <c r="I28" i="11"/>
  <c r="I24" i="4"/>
  <c r="I24" i="11"/>
  <c r="I20" i="4"/>
  <c r="I20" i="11"/>
  <c r="R12" i="4"/>
  <c r="I34" i="4" s="1"/>
  <c r="R12" i="11"/>
  <c r="I34" i="11" s="1"/>
  <c r="I22" i="11" l="1"/>
  <c r="I26" i="11"/>
  <c r="I30" i="11"/>
  <c r="I22" i="4"/>
  <c r="I26" i="4"/>
  <c r="I30" i="4"/>
  <c r="K18" i="3"/>
  <c r="F18" i="3"/>
  <c r="K18" i="10"/>
  <c r="F18" i="10"/>
  <c r="K18" i="11"/>
  <c r="F18" i="11"/>
  <c r="K18" i="4"/>
  <c r="F18" i="4"/>
  <c r="K18" i="5"/>
  <c r="F18" i="5"/>
  <c r="M18" i="12"/>
  <c r="H18" i="12"/>
  <c r="M18" i="13"/>
  <c r="H18" i="13"/>
  <c r="K18" i="7"/>
  <c r="F18" i="7"/>
  <c r="H34" i="3" l="1"/>
  <c r="H32" i="3"/>
  <c r="H30" i="3"/>
  <c r="H28" i="3"/>
  <c r="H26" i="3"/>
  <c r="H24" i="3"/>
  <c r="H22" i="3"/>
  <c r="H20" i="3"/>
  <c r="H34" i="10"/>
  <c r="H32" i="10"/>
  <c r="H30" i="10"/>
  <c r="H28" i="10"/>
  <c r="H26" i="10"/>
  <c r="H24" i="10"/>
  <c r="H22" i="10"/>
  <c r="H20" i="10"/>
  <c r="H34" i="11"/>
  <c r="H32" i="11"/>
  <c r="H30" i="11"/>
  <c r="H28" i="11"/>
  <c r="H26" i="11"/>
  <c r="H24" i="11"/>
  <c r="H22" i="11"/>
  <c r="H20" i="11"/>
  <c r="H34" i="4"/>
  <c r="H32" i="4"/>
  <c r="H30" i="4"/>
  <c r="H28" i="4"/>
  <c r="H26" i="4"/>
  <c r="H24" i="4"/>
  <c r="H22" i="4"/>
  <c r="H20" i="4"/>
  <c r="H34" i="5"/>
  <c r="H32" i="5"/>
  <c r="H30" i="5"/>
  <c r="H28" i="5"/>
  <c r="H26" i="5"/>
  <c r="H24" i="5"/>
  <c r="H22" i="5"/>
  <c r="H20" i="5"/>
  <c r="K34" i="12"/>
  <c r="K32" i="12"/>
  <c r="K30" i="12"/>
  <c r="K28" i="12"/>
  <c r="K26" i="12"/>
  <c r="K24" i="12"/>
  <c r="K22" i="12"/>
  <c r="K20" i="12"/>
  <c r="K34" i="13"/>
  <c r="K32" i="13"/>
  <c r="K30" i="13"/>
  <c r="K28" i="13"/>
  <c r="K26" i="13"/>
  <c r="K24" i="13"/>
  <c r="K22" i="13"/>
  <c r="K20" i="13"/>
  <c r="I34" i="7"/>
  <c r="G34" i="7"/>
  <c r="I32" i="7"/>
  <c r="G32" i="7"/>
  <c r="I30" i="7"/>
  <c r="G30" i="7"/>
  <c r="I28" i="7"/>
  <c r="G28" i="7"/>
  <c r="I24" i="7"/>
  <c r="G24" i="7"/>
  <c r="I22" i="7"/>
  <c r="G22" i="7"/>
  <c r="I20" i="7"/>
  <c r="G20" i="7"/>
  <c r="H34" i="2"/>
  <c r="G34" i="2"/>
  <c r="H32" i="2"/>
  <c r="G32" i="2"/>
  <c r="H30" i="2"/>
  <c r="G30" i="2"/>
  <c r="H28" i="2"/>
  <c r="G28" i="2"/>
  <c r="H26" i="2"/>
  <c r="G26" i="2"/>
  <c r="H24" i="2"/>
  <c r="G24" i="2"/>
  <c r="H20" i="2"/>
  <c r="G20" i="2"/>
  <c r="L43" i="1"/>
  <c r="R12" i="5" s="1"/>
  <c r="L42" i="1"/>
  <c r="L41" i="1"/>
  <c r="L40" i="1"/>
  <c r="R12" i="2" s="1"/>
  <c r="J47" i="1"/>
  <c r="J46" i="1"/>
  <c r="J45" i="1"/>
  <c r="J44" i="1"/>
  <c r="J43" i="1"/>
  <c r="J42" i="1"/>
  <c r="J41" i="1"/>
  <c r="J40" i="1"/>
  <c r="I32" i="5" l="1"/>
  <c r="I26" i="5"/>
  <c r="I22" i="5"/>
  <c r="I34" i="5"/>
  <c r="I30" i="5"/>
  <c r="I20" i="5"/>
  <c r="I24" i="5"/>
  <c r="I28" i="5"/>
  <c r="R12" i="10"/>
  <c r="R12" i="3"/>
  <c r="I32" i="2"/>
  <c r="I34" i="2"/>
  <c r="I30" i="2"/>
  <c r="I20" i="2"/>
  <c r="I24" i="2"/>
  <c r="I22" i="2"/>
  <c r="I28" i="2"/>
  <c r="I26" i="2"/>
  <c r="I16" i="8"/>
  <c r="L8" i="7" s="1"/>
  <c r="G9" i="8"/>
  <c r="G10" i="8" s="1"/>
  <c r="G11" i="8" s="1"/>
  <c r="G12" i="8" s="1"/>
  <c r="G13" i="8" s="1"/>
  <c r="G14" i="8" s="1"/>
  <c r="G15" i="8" s="1"/>
  <c r="G16" i="8" s="1"/>
  <c r="L9" i="7"/>
  <c r="A9" i="7"/>
  <c r="A8" i="7"/>
  <c r="L7" i="7"/>
  <c r="A7" i="7"/>
  <c r="A4" i="7"/>
  <c r="A3" i="7"/>
  <c r="A2" i="7"/>
  <c r="A1" i="7"/>
  <c r="N9" i="13"/>
  <c r="A9" i="13"/>
  <c r="A8" i="13"/>
  <c r="N7" i="13"/>
  <c r="A7" i="13"/>
  <c r="A4" i="13"/>
  <c r="A3" i="13"/>
  <c r="A2" i="13"/>
  <c r="A1" i="13"/>
  <c r="N9" i="12"/>
  <c r="A9" i="12"/>
  <c r="A8" i="12"/>
  <c r="N7" i="12"/>
  <c r="A7" i="12"/>
  <c r="A4" i="12"/>
  <c r="A3" i="12"/>
  <c r="A2" i="12"/>
  <c r="A1" i="12"/>
  <c r="L9" i="5"/>
  <c r="A9" i="5"/>
  <c r="A8" i="5"/>
  <c r="L7" i="5"/>
  <c r="A7" i="5"/>
  <c r="A4" i="5"/>
  <c r="A3" i="5"/>
  <c r="A2" i="5"/>
  <c r="A1" i="5"/>
  <c r="L9" i="4"/>
  <c r="A9" i="4"/>
  <c r="A8" i="4"/>
  <c r="L7" i="4"/>
  <c r="A7" i="4"/>
  <c r="A4" i="4"/>
  <c r="A3" i="4"/>
  <c r="A2" i="4"/>
  <c r="A1" i="4"/>
  <c r="L9" i="11"/>
  <c r="A9" i="11"/>
  <c r="A8" i="11"/>
  <c r="L7" i="11"/>
  <c r="A7" i="11"/>
  <c r="A4" i="11"/>
  <c r="A3" i="11"/>
  <c r="A2" i="11"/>
  <c r="A1" i="11"/>
  <c r="L9" i="10"/>
  <c r="A9" i="10"/>
  <c r="A8" i="10"/>
  <c r="L7" i="10"/>
  <c r="A7" i="10"/>
  <c r="A4" i="10"/>
  <c r="A3" i="10"/>
  <c r="A2" i="10"/>
  <c r="A1" i="10"/>
  <c r="L9" i="3"/>
  <c r="A9" i="3"/>
  <c r="A8" i="3"/>
  <c r="L7" i="3"/>
  <c r="A7" i="3"/>
  <c r="A4" i="3"/>
  <c r="A3" i="3"/>
  <c r="A2" i="3"/>
  <c r="A1" i="3"/>
  <c r="K18" i="2"/>
  <c r="F18" i="2"/>
  <c r="I34" i="3" l="1"/>
  <c r="I28" i="3"/>
  <c r="I20" i="3"/>
  <c r="I32" i="3"/>
  <c r="I24" i="3"/>
  <c r="I22" i="3"/>
  <c r="I26" i="3"/>
  <c r="I30" i="3"/>
  <c r="I34" i="10"/>
  <c r="I32" i="10"/>
  <c r="I24" i="10"/>
  <c r="I28" i="10"/>
  <c r="I20" i="10"/>
  <c r="I22" i="10"/>
  <c r="I26" i="10"/>
  <c r="I30" i="10"/>
  <c r="I9" i="8"/>
  <c r="L8" i="3" s="1"/>
  <c r="I13" i="8"/>
  <c r="L8" i="5" s="1"/>
  <c r="I10" i="8"/>
  <c r="L8" i="10" s="1"/>
  <c r="I14" i="8"/>
  <c r="N8" i="12" s="1"/>
  <c r="I11" i="8"/>
  <c r="L8" i="11" s="1"/>
  <c r="I15" i="8"/>
  <c r="I8" i="8"/>
  <c r="L8" i="2" s="1"/>
  <c r="I12" i="8"/>
  <c r="L8" i="4" s="1"/>
  <c r="N8" i="13" l="1"/>
  <c r="L9" i="2"/>
  <c r="L7" i="2"/>
  <c r="A7" i="2"/>
  <c r="A8" i="2"/>
  <c r="A9" i="2"/>
  <c r="A4" i="2"/>
  <c r="A3" i="2"/>
  <c r="A2" i="2"/>
  <c r="A1" i="2"/>
  <c r="T11" i="13"/>
  <c r="D59" i="1"/>
  <c r="H59" i="1" s="1"/>
  <c r="G59" i="1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T10" i="12" l="1"/>
  <c r="T10" i="13"/>
  <c r="I30" i="13"/>
  <c r="I22" i="13"/>
  <c r="I32" i="13"/>
  <c r="I24" i="13"/>
  <c r="I34" i="13"/>
  <c r="I26" i="13"/>
  <c r="I28" i="13"/>
  <c r="I20" i="13"/>
  <c r="J32" i="13"/>
  <c r="J24" i="13"/>
  <c r="J28" i="13"/>
  <c r="J20" i="13"/>
  <c r="J30" i="13"/>
  <c r="J22" i="13"/>
  <c r="J34" i="13"/>
  <c r="J26" i="13"/>
  <c r="I30" i="12"/>
  <c r="I22" i="12"/>
  <c r="I32" i="12"/>
  <c r="I24" i="12"/>
  <c r="I34" i="12"/>
  <c r="I26" i="12"/>
  <c r="I28" i="12"/>
  <c r="I20" i="12"/>
  <c r="Q20" i="7"/>
  <c r="U20" i="7"/>
  <c r="U34" i="7" s="1"/>
  <c r="V18" i="7"/>
  <c r="V34" i="7" s="1"/>
  <c r="R18" i="7"/>
  <c r="R20" i="7" s="1"/>
  <c r="R12" i="7"/>
  <c r="R10" i="7"/>
  <c r="R34" i="7"/>
  <c r="Q34" i="7"/>
  <c r="R32" i="7"/>
  <c r="Q32" i="7"/>
  <c r="U30" i="7"/>
  <c r="R30" i="7"/>
  <c r="S30" i="7" s="1"/>
  <c r="C30" i="7" s="1"/>
  <c r="Q30" i="7"/>
  <c r="U28" i="7"/>
  <c r="R28" i="7"/>
  <c r="S28" i="7" s="1"/>
  <c r="C28" i="7" s="1"/>
  <c r="Q28" i="7"/>
  <c r="Q26" i="7"/>
  <c r="U24" i="7"/>
  <c r="R24" i="7"/>
  <c r="S24" i="7" s="1"/>
  <c r="C24" i="7" s="1"/>
  <c r="Q24" i="7"/>
  <c r="R22" i="7"/>
  <c r="S22" i="7" s="1"/>
  <c r="C22" i="7" s="1"/>
  <c r="Q22" i="7"/>
  <c r="S20" i="13"/>
  <c r="S34" i="13" s="1"/>
  <c r="X20" i="13"/>
  <c r="Y18" i="13"/>
  <c r="Y34" i="13" s="1"/>
  <c r="T18" i="13"/>
  <c r="T34" i="13" s="1"/>
  <c r="X20" i="12"/>
  <c r="X30" i="12" s="1"/>
  <c r="Y18" i="12"/>
  <c r="Y28" i="12" s="1"/>
  <c r="T18" i="12"/>
  <c r="T20" i="12" s="1"/>
  <c r="S20" i="12"/>
  <c r="T11" i="12"/>
  <c r="Y22" i="12" l="1"/>
  <c r="AA22" i="12" s="1"/>
  <c r="Y30" i="12"/>
  <c r="X24" i="12"/>
  <c r="X26" i="12"/>
  <c r="X32" i="12"/>
  <c r="J32" i="12"/>
  <c r="J24" i="12"/>
  <c r="J34" i="12"/>
  <c r="J26" i="12"/>
  <c r="J28" i="12"/>
  <c r="J20" i="12"/>
  <c r="J30" i="12"/>
  <c r="J22" i="12"/>
  <c r="U22" i="7"/>
  <c r="X34" i="12"/>
  <c r="F30" i="12"/>
  <c r="M30" i="12" s="1"/>
  <c r="I26" i="7"/>
  <c r="G26" i="7"/>
  <c r="Y26" i="12"/>
  <c r="X28" i="12"/>
  <c r="F28" i="12" s="1"/>
  <c r="Y34" i="12"/>
  <c r="F34" i="12" s="1"/>
  <c r="U32" i="7"/>
  <c r="S34" i="7"/>
  <c r="C34" i="7" s="1"/>
  <c r="W34" i="7"/>
  <c r="D34" i="7" s="1"/>
  <c r="E34" i="7" s="1"/>
  <c r="F34" i="7" s="1"/>
  <c r="Y24" i="12"/>
  <c r="F24" i="12" s="1"/>
  <c r="M24" i="12" s="1"/>
  <c r="Y32" i="12"/>
  <c r="S32" i="7"/>
  <c r="C32" i="7" s="1"/>
  <c r="Y20" i="12"/>
  <c r="F20" i="12" s="1"/>
  <c r="X22" i="12"/>
  <c r="U26" i="7"/>
  <c r="R26" i="7"/>
  <c r="S26" i="7" s="1"/>
  <c r="C26" i="7" s="1"/>
  <c r="S20" i="7"/>
  <c r="C20" i="7" s="1"/>
  <c r="V20" i="7"/>
  <c r="W20" i="7" s="1"/>
  <c r="D20" i="7" s="1"/>
  <c r="V22" i="7"/>
  <c r="W22" i="7" s="1"/>
  <c r="D22" i="7" s="1"/>
  <c r="V24" i="7"/>
  <c r="W24" i="7" s="1"/>
  <c r="D24" i="7" s="1"/>
  <c r="V26" i="7"/>
  <c r="W26" i="7" s="1"/>
  <c r="D26" i="7" s="1"/>
  <c r="V28" i="7"/>
  <c r="W28" i="7" s="1"/>
  <c r="D28" i="7" s="1"/>
  <c r="V30" i="7"/>
  <c r="W30" i="7" s="1"/>
  <c r="D30" i="7" s="1"/>
  <c r="V32" i="7"/>
  <c r="T32" i="13"/>
  <c r="T20" i="13"/>
  <c r="E20" i="13" s="1"/>
  <c r="T24" i="13"/>
  <c r="T28" i="13"/>
  <c r="E34" i="13"/>
  <c r="T22" i="13"/>
  <c r="V22" i="13" s="1"/>
  <c r="T26" i="13"/>
  <c r="T30" i="13"/>
  <c r="S32" i="12"/>
  <c r="S30" i="12"/>
  <c r="S24" i="12"/>
  <c r="S34" i="12"/>
  <c r="S28" i="12"/>
  <c r="S26" i="12"/>
  <c r="S22" i="12"/>
  <c r="E20" i="12"/>
  <c r="X22" i="13"/>
  <c r="X24" i="13"/>
  <c r="X26" i="13"/>
  <c r="X30" i="13"/>
  <c r="X34" i="13"/>
  <c r="F34" i="13" s="1"/>
  <c r="T22" i="12"/>
  <c r="V22" i="12" s="1"/>
  <c r="T24" i="12"/>
  <c r="T26" i="12"/>
  <c r="T28" i="12"/>
  <c r="T30" i="12"/>
  <c r="T32" i="12"/>
  <c r="T34" i="12"/>
  <c r="Y20" i="13"/>
  <c r="F20" i="13" s="1"/>
  <c r="S22" i="13"/>
  <c r="E22" i="13" s="1"/>
  <c r="Y22" i="13"/>
  <c r="AA22" i="13" s="1"/>
  <c r="S24" i="13"/>
  <c r="Y24" i="13"/>
  <c r="S26" i="13"/>
  <c r="Y26" i="13"/>
  <c r="S28" i="13"/>
  <c r="Y28" i="13"/>
  <c r="S30" i="13"/>
  <c r="Y30" i="13"/>
  <c r="S32" i="13"/>
  <c r="Y32" i="13"/>
  <c r="X28" i="13"/>
  <c r="X32" i="13"/>
  <c r="E24" i="13" l="1"/>
  <c r="L24" i="13" s="1"/>
  <c r="E26" i="13"/>
  <c r="L26" i="13" s="1"/>
  <c r="F26" i="12"/>
  <c r="M26" i="12" s="1"/>
  <c r="F22" i="12"/>
  <c r="M22" i="12" s="1"/>
  <c r="M34" i="12"/>
  <c r="E28" i="12"/>
  <c r="L28" i="12" s="1"/>
  <c r="F32" i="12"/>
  <c r="M32" i="12" s="1"/>
  <c r="W32" i="7"/>
  <c r="D32" i="7" s="1"/>
  <c r="E32" i="12"/>
  <c r="E32" i="13"/>
  <c r="L32" i="13" s="1"/>
  <c r="E34" i="12"/>
  <c r="G34" i="12" s="1"/>
  <c r="H34" i="12" s="1"/>
  <c r="F24" i="13"/>
  <c r="M24" i="13" s="1"/>
  <c r="M28" i="12"/>
  <c r="F32" i="13"/>
  <c r="M32" i="13" s="1"/>
  <c r="L20" i="13"/>
  <c r="L20" i="12"/>
  <c r="E26" i="7"/>
  <c r="F26" i="7" s="1"/>
  <c r="E32" i="7"/>
  <c r="F32" i="7" s="1"/>
  <c r="E24" i="7"/>
  <c r="F24" i="7" s="1"/>
  <c r="E30" i="7"/>
  <c r="F30" i="7" s="1"/>
  <c r="E22" i="7"/>
  <c r="F22" i="7" s="1"/>
  <c r="E28" i="7"/>
  <c r="F28" i="7" s="1"/>
  <c r="E20" i="7"/>
  <c r="F20" i="7" s="1"/>
  <c r="E28" i="13"/>
  <c r="L28" i="13" s="1"/>
  <c r="L34" i="13"/>
  <c r="E30" i="13"/>
  <c r="L30" i="13" s="1"/>
  <c r="G20" i="13"/>
  <c r="H20" i="13" s="1"/>
  <c r="M20" i="13"/>
  <c r="G34" i="13"/>
  <c r="H34" i="13" s="1"/>
  <c r="M34" i="13"/>
  <c r="F22" i="13"/>
  <c r="L22" i="13"/>
  <c r="F30" i="13"/>
  <c r="G20" i="12"/>
  <c r="H20" i="12" s="1"/>
  <c r="M20" i="12"/>
  <c r="E22" i="12"/>
  <c r="E24" i="12"/>
  <c r="F28" i="13"/>
  <c r="F26" i="13"/>
  <c r="E26" i="12"/>
  <c r="E30" i="12"/>
  <c r="N34" i="13" l="1"/>
  <c r="N20" i="13"/>
  <c r="G32" i="12"/>
  <c r="H32" i="12" s="1"/>
  <c r="G24" i="13"/>
  <c r="H24" i="13" s="1"/>
  <c r="G28" i="12"/>
  <c r="H28" i="12" s="1"/>
  <c r="L32" i="12"/>
  <c r="N32" i="12" s="1"/>
  <c r="N20" i="12"/>
  <c r="N28" i="12"/>
  <c r="L34" i="12"/>
  <c r="N34" i="12" s="1"/>
  <c r="G32" i="13"/>
  <c r="H32" i="13" s="1"/>
  <c r="N32" i="13"/>
  <c r="N24" i="13"/>
  <c r="L26" i="12"/>
  <c r="N26" i="12" s="1"/>
  <c r="G26" i="12"/>
  <c r="H26" i="12" s="1"/>
  <c r="L24" i="12"/>
  <c r="N24" i="12" s="1"/>
  <c r="G24" i="12"/>
  <c r="H24" i="12" s="1"/>
  <c r="G28" i="13"/>
  <c r="H28" i="13" s="1"/>
  <c r="M28" i="13"/>
  <c r="N28" i="13" s="1"/>
  <c r="L22" i="12"/>
  <c r="N22" i="12" s="1"/>
  <c r="G22" i="12"/>
  <c r="H22" i="12" s="1"/>
  <c r="G30" i="13"/>
  <c r="H30" i="13" s="1"/>
  <c r="M30" i="13"/>
  <c r="N30" i="13" s="1"/>
  <c r="L30" i="12"/>
  <c r="N30" i="12" s="1"/>
  <c r="G30" i="12"/>
  <c r="H30" i="12" s="1"/>
  <c r="G26" i="13"/>
  <c r="H26" i="13" s="1"/>
  <c r="M26" i="13"/>
  <c r="N26" i="13" s="1"/>
  <c r="G22" i="13"/>
  <c r="H22" i="13" s="1"/>
  <c r="M22" i="13"/>
  <c r="N22" i="13" s="1"/>
  <c r="Q20" i="5" l="1"/>
  <c r="U20" i="5"/>
  <c r="U34" i="5" s="1"/>
  <c r="V18" i="5"/>
  <c r="V26" i="5" s="1"/>
  <c r="R18" i="5"/>
  <c r="R32" i="5" s="1"/>
  <c r="R11" i="5"/>
  <c r="V34" i="5"/>
  <c r="R34" i="5"/>
  <c r="Q34" i="5"/>
  <c r="V32" i="5"/>
  <c r="Q32" i="5"/>
  <c r="V30" i="5"/>
  <c r="R30" i="5"/>
  <c r="Q30" i="5"/>
  <c r="V28" i="5"/>
  <c r="Q28" i="5"/>
  <c r="R26" i="5"/>
  <c r="Q26" i="5"/>
  <c r="V24" i="5"/>
  <c r="Q24" i="5"/>
  <c r="R22" i="5"/>
  <c r="Q22" i="5"/>
  <c r="V20" i="5"/>
  <c r="U20" i="4"/>
  <c r="U28" i="4" s="1"/>
  <c r="V18" i="4"/>
  <c r="V34" i="4" s="1"/>
  <c r="Q20" i="4"/>
  <c r="Q34" i="4" s="1"/>
  <c r="R18" i="4"/>
  <c r="R34" i="4" s="1"/>
  <c r="U34" i="4"/>
  <c r="U30" i="4"/>
  <c r="V28" i="4"/>
  <c r="U26" i="4"/>
  <c r="U24" i="4"/>
  <c r="U22" i="4"/>
  <c r="R11" i="4"/>
  <c r="V18" i="11"/>
  <c r="V30" i="11" s="1"/>
  <c r="U20" i="11"/>
  <c r="U30" i="11" s="1"/>
  <c r="Q20" i="11"/>
  <c r="Q34" i="11" s="1"/>
  <c r="R18" i="11"/>
  <c r="R20" i="11" s="1"/>
  <c r="R11" i="11"/>
  <c r="R32" i="11"/>
  <c r="R26" i="11"/>
  <c r="R24" i="11"/>
  <c r="R22" i="11"/>
  <c r="U20" i="10"/>
  <c r="U32" i="10" s="1"/>
  <c r="Q20" i="10"/>
  <c r="U34" i="10"/>
  <c r="Q34" i="10"/>
  <c r="Q32" i="10"/>
  <c r="U30" i="10"/>
  <c r="Q30" i="10"/>
  <c r="U28" i="10"/>
  <c r="Q28" i="10"/>
  <c r="U26" i="10"/>
  <c r="Q26" i="10"/>
  <c r="U24" i="10"/>
  <c r="Q24" i="10"/>
  <c r="U22" i="10"/>
  <c r="Q22" i="10"/>
  <c r="V18" i="10"/>
  <c r="V32" i="10" s="1"/>
  <c r="R18" i="10"/>
  <c r="R20" i="10" s="1"/>
  <c r="R11" i="10"/>
  <c r="R11" i="3"/>
  <c r="U20" i="3"/>
  <c r="U32" i="3" s="1"/>
  <c r="V18" i="3"/>
  <c r="V32" i="3" s="1"/>
  <c r="R18" i="3"/>
  <c r="R34" i="3" s="1"/>
  <c r="Q20" i="3"/>
  <c r="Q34" i="3" s="1"/>
  <c r="S34" i="3" s="1"/>
  <c r="C34" i="3" s="1"/>
  <c r="V24" i="3"/>
  <c r="R20" i="3"/>
  <c r="V22" i="5" l="1"/>
  <c r="V24" i="4"/>
  <c r="V30" i="3"/>
  <c r="U24" i="5"/>
  <c r="W24" i="5" s="1"/>
  <c r="D24" i="5" s="1"/>
  <c r="U32" i="5"/>
  <c r="W32" i="5" s="1"/>
  <c r="D32" i="5" s="1"/>
  <c r="U28" i="5"/>
  <c r="V22" i="11"/>
  <c r="V26" i="11"/>
  <c r="V32" i="11"/>
  <c r="W32" i="11" s="1"/>
  <c r="D32" i="11" s="1"/>
  <c r="V34" i="11"/>
  <c r="V28" i="11"/>
  <c r="V32" i="4"/>
  <c r="W32" i="4" s="1"/>
  <c r="D32" i="4" s="1"/>
  <c r="V20" i="11"/>
  <c r="W20" i="11" s="1"/>
  <c r="D20" i="11" s="1"/>
  <c r="V24" i="11"/>
  <c r="V20" i="4"/>
  <c r="W20" i="4" s="1"/>
  <c r="D20" i="4" s="1"/>
  <c r="U32" i="4"/>
  <c r="U28" i="11"/>
  <c r="U34" i="11"/>
  <c r="W34" i="11" s="1"/>
  <c r="D34" i="11" s="1"/>
  <c r="W32" i="10"/>
  <c r="D32" i="10" s="1"/>
  <c r="U22" i="3"/>
  <c r="U34" i="3"/>
  <c r="U30" i="3"/>
  <c r="U24" i="3"/>
  <c r="W24" i="3" s="1"/>
  <c r="D24" i="3" s="1"/>
  <c r="U28" i="3"/>
  <c r="U26" i="3"/>
  <c r="W34" i="5"/>
  <c r="D34" i="5" s="1"/>
  <c r="W28" i="11"/>
  <c r="D28" i="11" s="1"/>
  <c r="W30" i="11"/>
  <c r="D30" i="11" s="1"/>
  <c r="V22" i="3"/>
  <c r="W22" i="3" s="1"/>
  <c r="D22" i="3" s="1"/>
  <c r="V28" i="3"/>
  <c r="V34" i="3"/>
  <c r="W34" i="3" s="1"/>
  <c r="D34" i="3" s="1"/>
  <c r="V22" i="10"/>
  <c r="W22" i="10" s="1"/>
  <c r="D22" i="10" s="1"/>
  <c r="R24" i="10"/>
  <c r="S24" i="10" s="1"/>
  <c r="C24" i="10" s="1"/>
  <c r="V26" i="10"/>
  <c r="W26" i="10" s="1"/>
  <c r="D26" i="10" s="1"/>
  <c r="R28" i="10"/>
  <c r="S28" i="10" s="1"/>
  <c r="C28" i="10" s="1"/>
  <c r="V30" i="10"/>
  <c r="W30" i="10" s="1"/>
  <c r="D30" i="10" s="1"/>
  <c r="R32" i="10"/>
  <c r="S32" i="10" s="1"/>
  <c r="C32" i="10" s="1"/>
  <c r="V34" i="10"/>
  <c r="W34" i="10" s="1"/>
  <c r="D34" i="10" s="1"/>
  <c r="U22" i="11"/>
  <c r="W22" i="11" s="1"/>
  <c r="D22" i="11" s="1"/>
  <c r="U26" i="11"/>
  <c r="W26" i="11" s="1"/>
  <c r="D26" i="11" s="1"/>
  <c r="U32" i="11"/>
  <c r="R34" i="11"/>
  <c r="S34" i="11" s="1"/>
  <c r="C34" i="11" s="1"/>
  <c r="R20" i="4"/>
  <c r="S20" i="4" s="1"/>
  <c r="C20" i="4" s="1"/>
  <c r="V22" i="4"/>
  <c r="W22" i="4" s="1"/>
  <c r="D22" i="4" s="1"/>
  <c r="V30" i="4"/>
  <c r="W30" i="4" s="1"/>
  <c r="D30" i="4" s="1"/>
  <c r="R20" i="5"/>
  <c r="S20" i="5" s="1"/>
  <c r="C20" i="5" s="1"/>
  <c r="U22" i="5"/>
  <c r="W22" i="5" s="1"/>
  <c r="D22" i="5" s="1"/>
  <c r="R28" i="5"/>
  <c r="S28" i="5" s="1"/>
  <c r="C28" i="5" s="1"/>
  <c r="U30" i="5"/>
  <c r="W30" i="5" s="1"/>
  <c r="D30" i="5" s="1"/>
  <c r="W28" i="3"/>
  <c r="D28" i="3" s="1"/>
  <c r="V20" i="3"/>
  <c r="W20" i="3" s="1"/>
  <c r="D20" i="3" s="1"/>
  <c r="V26" i="3"/>
  <c r="W26" i="3" s="1"/>
  <c r="D26" i="3" s="1"/>
  <c r="W32" i="3"/>
  <c r="D32" i="3" s="1"/>
  <c r="S20" i="10"/>
  <c r="C20" i="10" s="1"/>
  <c r="R30" i="11"/>
  <c r="W30" i="3"/>
  <c r="D30" i="3" s="1"/>
  <c r="V20" i="10"/>
  <c r="W20" i="10" s="1"/>
  <c r="D20" i="10" s="1"/>
  <c r="E20" i="10" s="1"/>
  <c r="F20" i="10" s="1"/>
  <c r="R22" i="10"/>
  <c r="S22" i="10" s="1"/>
  <c r="C22" i="10" s="1"/>
  <c r="V24" i="10"/>
  <c r="W24" i="10" s="1"/>
  <c r="D24" i="10" s="1"/>
  <c r="R26" i="10"/>
  <c r="S26" i="10" s="1"/>
  <c r="C26" i="10" s="1"/>
  <c r="V28" i="10"/>
  <c r="W28" i="10" s="1"/>
  <c r="D28" i="10" s="1"/>
  <c r="R30" i="10"/>
  <c r="S30" i="10" s="1"/>
  <c r="C30" i="10" s="1"/>
  <c r="E30" i="10" s="1"/>
  <c r="F30" i="10" s="1"/>
  <c r="R34" i="10"/>
  <c r="S34" i="10" s="1"/>
  <c r="C34" i="10" s="1"/>
  <c r="U24" i="11"/>
  <c r="R28" i="11"/>
  <c r="V26" i="4"/>
  <c r="W26" i="4" s="1"/>
  <c r="D26" i="4" s="1"/>
  <c r="S22" i="5"/>
  <c r="C22" i="5" s="1"/>
  <c r="R24" i="5"/>
  <c r="S24" i="5" s="1"/>
  <c r="C24" i="5" s="1"/>
  <c r="U26" i="5"/>
  <c r="W26" i="5" s="1"/>
  <c r="D26" i="5" s="1"/>
  <c r="S30" i="5"/>
  <c r="C30" i="5" s="1"/>
  <c r="W28" i="4"/>
  <c r="D28" i="4" s="1"/>
  <c r="W34" i="4"/>
  <c r="D34" i="4" s="1"/>
  <c r="W24" i="4"/>
  <c r="D24" i="4" s="1"/>
  <c r="S26" i="5"/>
  <c r="C26" i="5" s="1"/>
  <c r="S34" i="5"/>
  <c r="C34" i="5" s="1"/>
  <c r="W28" i="5"/>
  <c r="D28" i="5" s="1"/>
  <c r="S32" i="5"/>
  <c r="C32" i="5" s="1"/>
  <c r="W20" i="5"/>
  <c r="D20" i="5" s="1"/>
  <c r="E20" i="5" s="1"/>
  <c r="F20" i="5" s="1"/>
  <c r="E20" i="4"/>
  <c r="F20" i="4" s="1"/>
  <c r="S34" i="4"/>
  <c r="C34" i="4" s="1"/>
  <c r="Q22" i="4"/>
  <c r="Q24" i="4"/>
  <c r="Q26" i="4"/>
  <c r="Q28" i="4"/>
  <c r="Q30" i="4"/>
  <c r="Q32" i="4"/>
  <c r="R22" i="4"/>
  <c r="R24" i="4"/>
  <c r="R26" i="4"/>
  <c r="R28" i="4"/>
  <c r="R30" i="4"/>
  <c r="R32" i="4"/>
  <c r="S20" i="11"/>
  <c r="C20" i="11" s="1"/>
  <c r="Q22" i="11"/>
  <c r="S22" i="11" s="1"/>
  <c r="C22" i="11" s="1"/>
  <c r="Q24" i="11"/>
  <c r="S24" i="11" s="1"/>
  <c r="C24" i="11" s="1"/>
  <c r="Q26" i="11"/>
  <c r="S26" i="11" s="1"/>
  <c r="C26" i="11" s="1"/>
  <c r="Q28" i="11"/>
  <c r="S28" i="11" s="1"/>
  <c r="C28" i="11" s="1"/>
  <c r="Q30" i="11"/>
  <c r="S30" i="11" s="1"/>
  <c r="C30" i="11" s="1"/>
  <c r="Q32" i="11"/>
  <c r="S32" i="11" s="1"/>
  <c r="C32" i="11" s="1"/>
  <c r="S20" i="3"/>
  <c r="C20" i="3" s="1"/>
  <c r="Q22" i="3"/>
  <c r="Q24" i="3"/>
  <c r="Q26" i="3"/>
  <c r="Q28" i="3"/>
  <c r="Q30" i="3"/>
  <c r="Q32" i="3"/>
  <c r="R22" i="3"/>
  <c r="R24" i="3"/>
  <c r="R26" i="3"/>
  <c r="R28" i="3"/>
  <c r="R30" i="3"/>
  <c r="R32" i="3"/>
  <c r="R11" i="2"/>
  <c r="R10" i="2"/>
  <c r="I47" i="1"/>
  <c r="H47" i="1"/>
  <c r="I46" i="1"/>
  <c r="H46" i="1"/>
  <c r="I45" i="1"/>
  <c r="H45" i="1"/>
  <c r="I44" i="1"/>
  <c r="R11" i="7" s="1"/>
  <c r="H44" i="1"/>
  <c r="I43" i="1"/>
  <c r="H43" i="1"/>
  <c r="R10" i="5" s="1"/>
  <c r="I42" i="1"/>
  <c r="H42" i="1"/>
  <c r="R10" i="11" s="1"/>
  <c r="I41" i="1"/>
  <c r="H41" i="1"/>
  <c r="I40" i="1"/>
  <c r="E22" i="10" l="1"/>
  <c r="F22" i="10" s="1"/>
  <c r="H32" i="7"/>
  <c r="H22" i="7"/>
  <c r="H34" i="7"/>
  <c r="H24" i="7"/>
  <c r="H30" i="7"/>
  <c r="H28" i="7"/>
  <c r="H20" i="7"/>
  <c r="H26" i="7"/>
  <c r="K34" i="5"/>
  <c r="G26" i="5"/>
  <c r="K26" i="5" s="1"/>
  <c r="G34" i="5"/>
  <c r="G30" i="5"/>
  <c r="J30" i="5" s="1"/>
  <c r="G22" i="5"/>
  <c r="J22" i="5" s="1"/>
  <c r="G24" i="5"/>
  <c r="K24" i="5" s="1"/>
  <c r="G32" i="5"/>
  <c r="K32" i="5" s="1"/>
  <c r="G28" i="5"/>
  <c r="J28" i="5" s="1"/>
  <c r="G20" i="5"/>
  <c r="J20" i="5" s="1"/>
  <c r="K28" i="5"/>
  <c r="G28" i="11"/>
  <c r="K28" i="11" s="1"/>
  <c r="G34" i="11"/>
  <c r="G30" i="11"/>
  <c r="J30" i="11" s="1"/>
  <c r="G26" i="11"/>
  <c r="K26" i="11" s="1"/>
  <c r="G22" i="11"/>
  <c r="J22" i="11" s="1"/>
  <c r="G24" i="11"/>
  <c r="G20" i="11"/>
  <c r="J20" i="11" s="1"/>
  <c r="G32" i="11"/>
  <c r="K32" i="11" s="1"/>
  <c r="L32" i="11" s="1"/>
  <c r="J32" i="11"/>
  <c r="J24" i="11"/>
  <c r="R10" i="3"/>
  <c r="R10" i="4"/>
  <c r="R10" i="10"/>
  <c r="W24" i="11"/>
  <c r="D24" i="11" s="1"/>
  <c r="K24" i="11" s="1"/>
  <c r="E34" i="11"/>
  <c r="F34" i="11" s="1"/>
  <c r="E34" i="10"/>
  <c r="F34" i="10" s="1"/>
  <c r="E28" i="10"/>
  <c r="F28" i="10" s="1"/>
  <c r="S32" i="4"/>
  <c r="C32" i="4" s="1"/>
  <c r="S24" i="4"/>
  <c r="C24" i="4" s="1"/>
  <c r="L24" i="11"/>
  <c r="K20" i="11"/>
  <c r="E32" i="10"/>
  <c r="F32" i="10" s="1"/>
  <c r="E26" i="10"/>
  <c r="F26" i="10" s="1"/>
  <c r="E24" i="5"/>
  <c r="F24" i="5" s="1"/>
  <c r="E30" i="5"/>
  <c r="F30" i="5" s="1"/>
  <c r="K30" i="5"/>
  <c r="E34" i="3"/>
  <c r="F34" i="3" s="1"/>
  <c r="J34" i="5"/>
  <c r="L34" i="5" s="1"/>
  <c r="S32" i="3"/>
  <c r="C32" i="3" s="1"/>
  <c r="S24" i="3"/>
  <c r="C24" i="3" s="1"/>
  <c r="E24" i="3" s="1"/>
  <c r="F24" i="3" s="1"/>
  <c r="E24" i="10"/>
  <c r="F24" i="10" s="1"/>
  <c r="J34" i="11"/>
  <c r="E32" i="5"/>
  <c r="F32" i="5" s="1"/>
  <c r="E34" i="5"/>
  <c r="F34" i="5" s="1"/>
  <c r="E28" i="5"/>
  <c r="F28" i="5" s="1"/>
  <c r="E20" i="11"/>
  <c r="F20" i="11" s="1"/>
  <c r="E28" i="11"/>
  <c r="F28" i="11" s="1"/>
  <c r="E22" i="11"/>
  <c r="F22" i="11" s="1"/>
  <c r="S30" i="4"/>
  <c r="C30" i="4" s="1"/>
  <c r="S22" i="4"/>
  <c r="C22" i="4" s="1"/>
  <c r="E22" i="5"/>
  <c r="F22" i="5" s="1"/>
  <c r="E26" i="5"/>
  <c r="F26" i="5" s="1"/>
  <c r="E32" i="4"/>
  <c r="F32" i="4" s="1"/>
  <c r="S26" i="4"/>
  <c r="C26" i="4" s="1"/>
  <c r="E34" i="4"/>
  <c r="F34" i="4" s="1"/>
  <c r="E24" i="4"/>
  <c r="F24" i="4" s="1"/>
  <c r="S28" i="4"/>
  <c r="C28" i="4" s="1"/>
  <c r="E26" i="11"/>
  <c r="F26" i="11" s="1"/>
  <c r="K34" i="11"/>
  <c r="E24" i="11"/>
  <c r="F24" i="11" s="1"/>
  <c r="E30" i="11"/>
  <c r="F30" i="11" s="1"/>
  <c r="E32" i="11"/>
  <c r="F32" i="11" s="1"/>
  <c r="S28" i="3"/>
  <c r="C28" i="3" s="1"/>
  <c r="E20" i="3"/>
  <c r="F20" i="3" s="1"/>
  <c r="S30" i="3"/>
  <c r="C30" i="3" s="1"/>
  <c r="S26" i="3"/>
  <c r="C26" i="3" s="1"/>
  <c r="S22" i="3"/>
  <c r="C22" i="3" s="1"/>
  <c r="H40" i="1"/>
  <c r="G48" i="1"/>
  <c r="F48" i="1"/>
  <c r="J48" i="1" s="1"/>
  <c r="E48" i="1"/>
  <c r="I48" i="1" s="1"/>
  <c r="D48" i="1"/>
  <c r="H48" i="1" s="1"/>
  <c r="C48" i="1"/>
  <c r="E54" i="1"/>
  <c r="U20" i="2"/>
  <c r="U34" i="2" s="1"/>
  <c r="Q20" i="2"/>
  <c r="Q32" i="2" s="1"/>
  <c r="V18" i="2"/>
  <c r="V32" i="2" s="1"/>
  <c r="G9" i="1"/>
  <c r="E10" i="1"/>
  <c r="E9" i="1"/>
  <c r="D10" i="1"/>
  <c r="D9" i="1"/>
  <c r="C9" i="1"/>
  <c r="R18" i="2" s="1"/>
  <c r="R32" i="2" s="1"/>
  <c r="J24" i="5" l="1"/>
  <c r="L24" i="5" s="1"/>
  <c r="J20" i="7"/>
  <c r="K20" i="7"/>
  <c r="L20" i="7" s="1"/>
  <c r="K34" i="7"/>
  <c r="J34" i="7"/>
  <c r="L34" i="7" s="1"/>
  <c r="J24" i="7"/>
  <c r="K24" i="7"/>
  <c r="L24" i="7" s="1"/>
  <c r="J28" i="7"/>
  <c r="K28" i="7"/>
  <c r="L28" i="7" s="1"/>
  <c r="K22" i="7"/>
  <c r="J22" i="7"/>
  <c r="J26" i="7"/>
  <c r="K26" i="7"/>
  <c r="L26" i="7" s="1"/>
  <c r="J30" i="7"/>
  <c r="K30" i="7"/>
  <c r="L30" i="7" s="1"/>
  <c r="J32" i="7"/>
  <c r="K32" i="7"/>
  <c r="L32" i="7" s="1"/>
  <c r="L28" i="5"/>
  <c r="J32" i="5"/>
  <c r="K22" i="5"/>
  <c r="L22" i="5" s="1"/>
  <c r="L30" i="5"/>
  <c r="K20" i="5"/>
  <c r="L20" i="5" s="1"/>
  <c r="L32" i="5"/>
  <c r="J26" i="5"/>
  <c r="L26" i="5" s="1"/>
  <c r="J26" i="11"/>
  <c r="L26" i="11" s="1"/>
  <c r="K22" i="11"/>
  <c r="L22" i="11" s="1"/>
  <c r="K30" i="11"/>
  <c r="L30" i="11" s="1"/>
  <c r="J28" i="11"/>
  <c r="L28" i="11" s="1"/>
  <c r="L20" i="11"/>
  <c r="G34" i="3"/>
  <c r="G30" i="3"/>
  <c r="K30" i="3" s="1"/>
  <c r="G26" i="3"/>
  <c r="K26" i="3" s="1"/>
  <c r="G22" i="3"/>
  <c r="K22" i="3" s="1"/>
  <c r="G32" i="3"/>
  <c r="K32" i="3" s="1"/>
  <c r="G28" i="3"/>
  <c r="K28" i="3" s="1"/>
  <c r="G24" i="3"/>
  <c r="G20" i="3"/>
  <c r="J32" i="3"/>
  <c r="G30" i="4"/>
  <c r="K30" i="4" s="1"/>
  <c r="G26" i="4"/>
  <c r="K26" i="4" s="1"/>
  <c r="G24" i="4"/>
  <c r="G34" i="4"/>
  <c r="G22" i="4"/>
  <c r="K22" i="4" s="1"/>
  <c r="G28" i="4"/>
  <c r="K28" i="4" s="1"/>
  <c r="G20" i="4"/>
  <c r="G32" i="4"/>
  <c r="G30" i="10"/>
  <c r="G20" i="10"/>
  <c r="G34" i="10"/>
  <c r="G26" i="10"/>
  <c r="G22" i="10"/>
  <c r="G32" i="10"/>
  <c r="G28" i="10"/>
  <c r="G24" i="10"/>
  <c r="E32" i="3"/>
  <c r="F32" i="3" s="1"/>
  <c r="L34" i="11"/>
  <c r="L32" i="3"/>
  <c r="J22" i="4"/>
  <c r="L22" i="4" s="1"/>
  <c r="E22" i="4"/>
  <c r="F22" i="4" s="1"/>
  <c r="J30" i="4"/>
  <c r="L30" i="4" s="1"/>
  <c r="E30" i="4"/>
  <c r="F30" i="4" s="1"/>
  <c r="J28" i="4"/>
  <c r="L28" i="4" s="1"/>
  <c r="E28" i="4"/>
  <c r="F28" i="4" s="1"/>
  <c r="E26" i="4"/>
  <c r="F26" i="4" s="1"/>
  <c r="J26" i="3"/>
  <c r="L26" i="3" s="1"/>
  <c r="E26" i="3"/>
  <c r="F26" i="3" s="1"/>
  <c r="J28" i="3"/>
  <c r="L28" i="3" s="1"/>
  <c r="E28" i="3"/>
  <c r="F28" i="3" s="1"/>
  <c r="J30" i="3"/>
  <c r="L30" i="3" s="1"/>
  <c r="E30" i="3"/>
  <c r="F30" i="3" s="1"/>
  <c r="E22" i="3"/>
  <c r="F22" i="3" s="1"/>
  <c r="E56" i="1"/>
  <c r="V26" i="2"/>
  <c r="V34" i="2"/>
  <c r="W34" i="2" s="1"/>
  <c r="D34" i="2" s="1"/>
  <c r="S32" i="2"/>
  <c r="C32" i="2" s="1"/>
  <c r="J32" i="2" s="1"/>
  <c r="V20" i="2"/>
  <c r="W20" i="2" s="1"/>
  <c r="D20" i="2" s="1"/>
  <c r="K20" i="2" s="1"/>
  <c r="V28" i="2"/>
  <c r="Q26" i="2"/>
  <c r="V22" i="2"/>
  <c r="V30" i="2"/>
  <c r="Q34" i="2"/>
  <c r="V24" i="2"/>
  <c r="U28" i="2"/>
  <c r="U22" i="2"/>
  <c r="U30" i="2"/>
  <c r="U24" i="2"/>
  <c r="U32" i="2"/>
  <c r="W32" i="2" s="1"/>
  <c r="D32" i="2" s="1"/>
  <c r="U26" i="2"/>
  <c r="R26" i="2"/>
  <c r="R34" i="2"/>
  <c r="Q28" i="2"/>
  <c r="R20" i="2"/>
  <c r="S20" i="2" s="1"/>
  <c r="C20" i="2" s="1"/>
  <c r="J20" i="2" s="1"/>
  <c r="R28" i="2"/>
  <c r="Q22" i="2"/>
  <c r="Q30" i="2"/>
  <c r="R22" i="2"/>
  <c r="R30" i="2"/>
  <c r="Q24" i="2"/>
  <c r="R24" i="2"/>
  <c r="J26" i="4" l="1"/>
  <c r="L26" i="4" s="1"/>
  <c r="J22" i="3"/>
  <c r="L22" i="3" s="1"/>
  <c r="L22" i="7"/>
  <c r="K28" i="10"/>
  <c r="J28" i="10"/>
  <c r="L28" i="10" s="1"/>
  <c r="J20" i="4"/>
  <c r="K20" i="4"/>
  <c r="J24" i="4"/>
  <c r="K24" i="4"/>
  <c r="L24" i="4" s="1"/>
  <c r="K20" i="3"/>
  <c r="J20" i="3"/>
  <c r="J32" i="10"/>
  <c r="K32" i="10"/>
  <c r="L32" i="10" s="1"/>
  <c r="J20" i="10"/>
  <c r="K20" i="10"/>
  <c r="J24" i="3"/>
  <c r="K24" i="3"/>
  <c r="K34" i="10"/>
  <c r="J34" i="10"/>
  <c r="J22" i="10"/>
  <c r="K22" i="10"/>
  <c r="L22" i="10" s="1"/>
  <c r="J30" i="10"/>
  <c r="K30" i="10"/>
  <c r="K24" i="10"/>
  <c r="J24" i="10"/>
  <c r="J26" i="10"/>
  <c r="K26" i="10"/>
  <c r="K32" i="4"/>
  <c r="J32" i="4"/>
  <c r="L32" i="4" s="1"/>
  <c r="J34" i="4"/>
  <c r="K34" i="4"/>
  <c r="L34" i="4" s="1"/>
  <c r="J34" i="3"/>
  <c r="K34" i="3"/>
  <c r="L34" i="3" s="1"/>
  <c r="L20" i="2"/>
  <c r="W26" i="2"/>
  <c r="D26" i="2" s="1"/>
  <c r="K26" i="2" s="1"/>
  <c r="S34" i="2"/>
  <c r="C34" i="2" s="1"/>
  <c r="J34" i="2" s="1"/>
  <c r="W30" i="2"/>
  <c r="D30" i="2" s="1"/>
  <c r="K30" i="2" s="1"/>
  <c r="S30" i="2"/>
  <c r="C30" i="2" s="1"/>
  <c r="J30" i="2" s="1"/>
  <c r="S28" i="2"/>
  <c r="C28" i="2" s="1"/>
  <c r="J28" i="2" s="1"/>
  <c r="E32" i="2"/>
  <c r="F32" i="2" s="1"/>
  <c r="K32" i="2"/>
  <c r="L32" i="2" s="1"/>
  <c r="E20" i="2"/>
  <c r="F20" i="2" s="1"/>
  <c r="W28" i="2"/>
  <c r="D28" i="2" s="1"/>
  <c r="S24" i="2"/>
  <c r="C24" i="2" s="1"/>
  <c r="J24" i="2" s="1"/>
  <c r="S22" i="2"/>
  <c r="C22" i="2" s="1"/>
  <c r="W22" i="2"/>
  <c r="D22" i="2" s="1"/>
  <c r="K22" i="2" s="1"/>
  <c r="W24" i="2"/>
  <c r="D24" i="2" s="1"/>
  <c r="S26" i="2"/>
  <c r="C26" i="2" s="1"/>
  <c r="J26" i="2" s="1"/>
  <c r="K34" i="2"/>
  <c r="L26" i="10" l="1"/>
  <c r="L30" i="10"/>
  <c r="L34" i="10"/>
  <c r="L20" i="10"/>
  <c r="L20" i="3"/>
  <c r="L20" i="4"/>
  <c r="L24" i="10"/>
  <c r="L24" i="3"/>
  <c r="L30" i="2"/>
  <c r="L26" i="2"/>
  <c r="L34" i="2"/>
  <c r="E30" i="2"/>
  <c r="F30" i="2" s="1"/>
  <c r="E34" i="2"/>
  <c r="F34" i="2" s="1"/>
  <c r="K24" i="2"/>
  <c r="L24" i="2" s="1"/>
  <c r="E24" i="2"/>
  <c r="F24" i="2" s="1"/>
  <c r="E28" i="2"/>
  <c r="F28" i="2" s="1"/>
  <c r="K28" i="2"/>
  <c r="L28" i="2" s="1"/>
  <c r="E26" i="2"/>
  <c r="F26" i="2" s="1"/>
  <c r="E22" i="2"/>
  <c r="F22" i="2" s="1"/>
  <c r="J22" i="2"/>
  <c r="L22" i="2" s="1"/>
  <c r="D54" i="1" l="1"/>
  <c r="D56" i="1" s="1"/>
  <c r="F54" i="1"/>
  <c r="F56" i="1" s="1"/>
</calcChain>
</file>

<file path=xl/comments1.xml><?xml version="1.0" encoding="utf-8"?>
<comments xmlns="http://schemas.openxmlformats.org/spreadsheetml/2006/main">
  <authors>
    <author> Andrea Schroeder</author>
  </authors>
  <commentList>
    <comment ref="A47" authorId="0">
      <text>
        <r>
          <rPr>
            <b/>
            <sz val="9"/>
            <color indexed="81"/>
            <rFont val="Tahoma"/>
            <family val="2"/>
          </rPr>
          <t> Andrea Schroeder:</t>
        </r>
        <r>
          <rPr>
            <sz val="9"/>
            <color indexed="81"/>
            <rFont val="Tahoma"/>
            <family val="2"/>
          </rPr>
          <t xml:space="preserve">
E I DuPont
</t>
        </r>
      </text>
    </comment>
  </commentList>
</comments>
</file>

<file path=xl/sharedStrings.xml><?xml version="1.0" encoding="utf-8"?>
<sst xmlns="http://schemas.openxmlformats.org/spreadsheetml/2006/main" count="705" uniqueCount="140">
  <si>
    <t>CURRENT</t>
  </si>
  <si>
    <t>Source:  Schedule D-2 F</t>
  </si>
  <si>
    <t>Difference</t>
  </si>
  <si>
    <t>REMOVE DSM MECHANISM</t>
  </si>
  <si>
    <t>REMOVE  GLT MECHANISM</t>
  </si>
  <si>
    <t>REMOVE GSC MECHANISM</t>
  </si>
  <si>
    <t>TOTAL SALES TO ULTIMATE CONSUMERS</t>
  </si>
  <si>
    <t>SALES FOR RESALE</t>
  </si>
  <si>
    <t xml:space="preserve">TOTAL  </t>
  </si>
  <si>
    <t>Distribution Charge</t>
  </si>
  <si>
    <t>Off-peak Distr Chg</t>
  </si>
  <si>
    <t>Admin Charge</t>
  </si>
  <si>
    <t>CGS</t>
  </si>
  <si>
    <t>IGS</t>
  </si>
  <si>
    <t>AAGS</t>
  </si>
  <si>
    <t>RGS/VFD</t>
  </si>
  <si>
    <t>FT</t>
  </si>
  <si>
    <t>DGGS</t>
  </si>
  <si>
    <t>(MCF)</t>
  </si>
  <si>
    <t>IntraCompany</t>
  </si>
  <si>
    <t>Special</t>
  </si>
  <si>
    <t>Sales Customers</t>
  </si>
  <si>
    <t>Rate FT</t>
  </si>
  <si>
    <t>Contract</t>
  </si>
  <si>
    <t>Current</t>
  </si>
  <si>
    <t>BSC</t>
  </si>
  <si>
    <t>BSC (meters &lt; 5000 cfh)</t>
  </si>
  <si>
    <t>BSC (meters 5000 cfh or &gt;)</t>
  </si>
  <si>
    <t>PROPOSED</t>
  </si>
  <si>
    <t>Total</t>
  </si>
  <si>
    <t xml:space="preserve">Proposed </t>
  </si>
  <si>
    <t>Billing Factors</t>
  </si>
  <si>
    <t>Bill</t>
  </si>
  <si>
    <t xml:space="preserve">Increase </t>
  </si>
  <si>
    <t>DSM</t>
  </si>
  <si>
    <t>($)</t>
  </si>
  <si>
    <t>(%)</t>
  </si>
  <si>
    <t>GSC</t>
  </si>
  <si>
    <t>GLT</t>
  </si>
  <si>
    <t>MCF</t>
  </si>
  <si>
    <t>Basic</t>
  </si>
  <si>
    <t>Service</t>
  </si>
  <si>
    <t>$</t>
  </si>
  <si>
    <t>%</t>
  </si>
  <si>
    <t>Charge</t>
  </si>
  <si>
    <t>Residential Gas Service - Rate RGS</t>
  </si>
  <si>
    <t>Commercial Gas Service - Rate CGS</t>
  </si>
  <si>
    <t>Industrial Gas Service - Rate IGS</t>
  </si>
  <si>
    <t>As-Available Gas Service - Rate AAGS</t>
  </si>
  <si>
    <t>Total Firm Transportation Service (Non-Standby) Rate FT</t>
  </si>
  <si>
    <t>Special Contract - Intra-Company Sales</t>
  </si>
  <si>
    <t>Special Contract - Intra-Company Transportation</t>
  </si>
  <si>
    <t>Special Contract</t>
  </si>
  <si>
    <t>Revenue As Billed</t>
  </si>
  <si>
    <t>Volume</t>
  </si>
  <si>
    <t>GSC / MCF</t>
  </si>
  <si>
    <t>DSM / MCF</t>
  </si>
  <si>
    <t>GLT / MCF</t>
  </si>
  <si>
    <t>Source:  Schedule M-2.2</t>
  </si>
  <si>
    <t>meters &lt; 5,000 cfh</t>
  </si>
  <si>
    <t>Commercial (Rate CGS)</t>
  </si>
  <si>
    <t>Residential (Rate RGS) / Volunteer Fire Dept (Rate VFD)</t>
  </si>
  <si>
    <t>meters &gt; 5,000 cfh</t>
  </si>
  <si>
    <t>Industrial (Rate IGS)</t>
  </si>
  <si>
    <t>As Available Gas Service (Rate AAGS)</t>
  </si>
  <si>
    <t>Distributed Generation Gas Service (Rate DGGS)</t>
  </si>
  <si>
    <t>Firm Transportation Service (Rate FT)</t>
  </si>
  <si>
    <t>Admin</t>
  </si>
  <si>
    <t>Source:  Billing Determinants file</t>
  </si>
  <si>
    <t>Average Usage (kWh)</t>
  </si>
  <si>
    <t>LOUISVILLE GAS AND ELECTRIC COMPANY</t>
  </si>
  <si>
    <t>Rate Case Constants</t>
  </si>
  <si>
    <t>For the 2014 Rate Case Filing</t>
  </si>
  <si>
    <t>Rate Case Constants:</t>
  </si>
  <si>
    <t>Company:</t>
  </si>
  <si>
    <t>PSC Case Number:</t>
  </si>
  <si>
    <t>Base Year:</t>
  </si>
  <si>
    <t>FEBRUARY 28, 2015</t>
  </si>
  <si>
    <t>AS OF FEBRUARY 28, 2015</t>
  </si>
  <si>
    <t>MARCH 2014 TO FEBRUARY 2015</t>
  </si>
  <si>
    <t>FROM MARCH 1, 2014 TO FEBRUARY 28, 2015</t>
  </si>
  <si>
    <t>BASE YEAR FOR THE 12 MONTHS ENDED FEBRUARY 28, 2015</t>
  </si>
  <si>
    <t>FOR THE 12 MONTHS ENDED FEBRUARY 28, 2015</t>
  </si>
  <si>
    <t>Forecasted Test Year:</t>
  </si>
  <si>
    <t>JUNE 30, 2016</t>
  </si>
  <si>
    <t>AS OF JUNE 30, 2016</t>
  </si>
  <si>
    <t>JULY 2015 TO JUNE 30, 2016</t>
  </si>
  <si>
    <t>FROM JULY 1, 2015 TO JUNE 30, 2016</t>
  </si>
  <si>
    <t>FORECAST PERIOD FOR THE 12 MONTHS ENDED JUNE 30, 2016</t>
  </si>
  <si>
    <t>FOR THE 12 MONTHS ENDED JUNE 30, 2016</t>
  </si>
  <si>
    <t>Types of Filing:</t>
  </si>
  <si>
    <t>Original:</t>
  </si>
  <si>
    <r>
      <t>TYPE OF FILING: __</t>
    </r>
    <r>
      <rPr>
        <u/>
        <sz val="10"/>
        <rFont val="Arial"/>
        <family val="2"/>
      </rPr>
      <t>X__</t>
    </r>
    <r>
      <rPr>
        <sz val="10"/>
        <rFont val="Arial"/>
        <family val="2"/>
      </rPr>
      <t xml:space="preserve"> ORIGINAL  _____ UPDATED  _____ REVISED</t>
    </r>
  </si>
  <si>
    <t>Updated:</t>
  </si>
  <si>
    <r>
      <t>TYPE OF FILING: ___</t>
    </r>
    <r>
      <rPr>
        <u/>
        <sz val="10"/>
        <rFont val="Arial"/>
        <family val="2"/>
      </rPr>
      <t>__</t>
    </r>
    <r>
      <rPr>
        <sz val="10"/>
        <rFont val="Arial"/>
        <family val="2"/>
      </rPr>
      <t xml:space="preserve"> ORIGINAL  __X__ UPDATED  _____ REVISED</t>
    </r>
  </si>
  <si>
    <t>Revised:</t>
  </si>
  <si>
    <r>
      <t>TYPE OF FILING: ___</t>
    </r>
    <r>
      <rPr>
        <u/>
        <sz val="10"/>
        <rFont val="Arial"/>
        <family val="2"/>
      </rPr>
      <t>__</t>
    </r>
    <r>
      <rPr>
        <sz val="10"/>
        <rFont val="Arial"/>
        <family val="2"/>
      </rPr>
      <t xml:space="preserve"> ORIGINAL  _____ UPDATED  __X__ REVISED</t>
    </r>
  </si>
  <si>
    <t>WITNESS:</t>
  </si>
  <si>
    <t>K. W. BLAKE</t>
  </si>
  <si>
    <t>R. M. CONROY</t>
  </si>
  <si>
    <t>System Average - use for Rate DGGS</t>
  </si>
  <si>
    <t>**Use calculated system average for Rate DGGS</t>
  </si>
  <si>
    <t>CASE NO. 2014-00372</t>
  </si>
  <si>
    <t>Schedule Description:</t>
  </si>
  <si>
    <t>Schedule Number:</t>
  </si>
  <si>
    <t>DATA: ____BASE PERIOD__X___FORECASTED PERIOD</t>
  </si>
  <si>
    <t>WORKPAPER REFERENCE NO(S):________</t>
  </si>
  <si>
    <t>A</t>
  </si>
  <si>
    <t>C</t>
  </si>
  <si>
    <t>D</t>
  </si>
  <si>
    <t>E</t>
  </si>
  <si>
    <t>F</t>
  </si>
  <si>
    <t>H</t>
  </si>
  <si>
    <t>I</t>
  </si>
  <si>
    <t>J</t>
  </si>
  <si>
    <t>B</t>
  </si>
  <si>
    <t>G</t>
  </si>
  <si>
    <t>CGS 1</t>
  </si>
  <si>
    <t>CGS 2</t>
  </si>
  <si>
    <t>IGS 1</t>
  </si>
  <si>
    <t>IGS 2</t>
  </si>
  <si>
    <t>DGGS 1</t>
  </si>
  <si>
    <t>DGGS 2</t>
  </si>
  <si>
    <t># OF CUSTOMERS</t>
  </si>
  <si>
    <t>GLT/Customer</t>
  </si>
  <si>
    <t>Assumptions:</t>
  </si>
  <si>
    <t>**There are no customers currently taking service on Rate DGGS**</t>
  </si>
  <si>
    <t>Billing Factors calculated as a unit charge based on forecast period revenues and volumes</t>
  </si>
  <si>
    <t>Typical Gas Bill Comparison under Present &amp; Proposed Rates</t>
  </si>
  <si>
    <t>Demand Charge (Mcfd)</t>
  </si>
  <si>
    <t>Demand</t>
  </si>
  <si>
    <t>per Mcfd</t>
  </si>
  <si>
    <t>MCFD</t>
  </si>
  <si>
    <t>MCFD is the monthly billing demand and shall not be less than 48 Mcf per the tariff.</t>
  </si>
  <si>
    <t>SCHEDULE N (Gas)</t>
  </si>
  <si>
    <t>Calculations may vary from other schedules due to rounding</t>
  </si>
  <si>
    <t>Base Rate</t>
  </si>
  <si>
    <t>Distribution</t>
  </si>
  <si>
    <t>per Mcf</t>
  </si>
  <si>
    <t xml:space="preserve">Distribution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</si>
</sst>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&quot;$&quot;#,##0.00000_);\(&quot;$&quot;#,##0.00000\)"/>
    <numFmt numFmtId="165" formatCode="[$-409]mmm\-yy;@"/>
    <numFmt numFmtId="166" formatCode="0.0"/>
    <numFmt numFmtId="167" formatCode="&quot;$&quot;#,##0.00000"/>
    <numFmt numFmtId="168" formatCode="0.0%"/>
    <numFmt numFmtId="169" formatCode="#,##0.0"/>
    <numFmt numFmtId="170" formatCode="_(&quot;$&quot;* #,##0.0000000_);_(&quot;$&quot;* \(#,##0.0000000\);_(&quot;$&quot;* &quot;-&quot;??_);_(@_)"/>
    <numFmt numFmtId="171" formatCode="&quot;$&quot;#,##0.0000_);\(&quot;$&quot;#,##0.0000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12" fillId="0" borderId="0"/>
    <xf numFmtId="0" fontId="4" fillId="0" borderId="0"/>
    <xf numFmtId="41" fontId="13" fillId="0" borderId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/>
    <xf numFmtId="0" fontId="3" fillId="0" borderId="0" xfId="0" quotePrefix="1" applyFont="1" applyAlignment="1">
      <alignment horizontal="left"/>
    </xf>
    <xf numFmtId="0" fontId="4" fillId="0" borderId="0" xfId="0" applyFont="1"/>
    <xf numFmtId="0" fontId="4" fillId="0" borderId="1" xfId="2" applyFont="1" applyFill="1" applyBorder="1" applyAlignment="1">
      <alignment horizontal="center" wrapText="1"/>
    </xf>
    <xf numFmtId="0" fontId="4" fillId="0" borderId="0" xfId="2" applyFont="1" applyFill="1" applyBorder="1" applyAlignment="1">
      <alignment horizontal="left"/>
    </xf>
    <xf numFmtId="0" fontId="4" fillId="0" borderId="0" xfId="2" quotePrefix="1" applyFont="1" applyFill="1" applyBorder="1" applyAlignment="1">
      <alignment horizontal="left"/>
    </xf>
    <xf numFmtId="42" fontId="0" fillId="0" borderId="0" xfId="0" applyNumberFormat="1"/>
    <xf numFmtId="42" fontId="0" fillId="0" borderId="1" xfId="0" applyNumberFormat="1" applyBorder="1"/>
    <xf numFmtId="0" fontId="0" fillId="0" borderId="0" xfId="0" applyAlignment="1">
      <alignment horizontal="left" indent="1"/>
    </xf>
    <xf numFmtId="0" fontId="0" fillId="0" borderId="0" xfId="0" quotePrefix="1" applyAlignment="1">
      <alignment horizontal="left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8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0" fillId="2" borderId="0" xfId="0" quotePrefix="1" applyFill="1" applyAlignment="1">
      <alignment horizontal="left"/>
    </xf>
    <xf numFmtId="0" fontId="4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165" fontId="3" fillId="0" borderId="0" xfId="0" applyNumberFormat="1" applyFont="1" applyFill="1" applyAlignment="1">
      <alignment horizontal="center"/>
    </xf>
    <xf numFmtId="165" fontId="3" fillId="0" borderId="0" xfId="0" quotePrefix="1" applyNumberFormat="1" applyFont="1" applyFill="1" applyAlignment="1">
      <alignment horizontal="center" wrapText="1"/>
    </xf>
    <xf numFmtId="0" fontId="3" fillId="0" borderId="0" xfId="0" applyFont="1" applyFill="1"/>
    <xf numFmtId="0" fontId="4" fillId="0" borderId="0" xfId="0" applyFont="1" applyFill="1" applyAlignment="1">
      <alignment horizontal="right"/>
    </xf>
    <xf numFmtId="0" fontId="3" fillId="0" borderId="1" xfId="0" applyFont="1" applyFill="1" applyBorder="1" applyAlignment="1"/>
    <xf numFmtId="167" fontId="3" fillId="0" borderId="0" xfId="0" applyNumberFormat="1" applyFont="1" applyFill="1"/>
    <xf numFmtId="0" fontId="3" fillId="0" borderId="0" xfId="0" applyFont="1" applyFill="1" applyAlignment="1"/>
    <xf numFmtId="0" fontId="6" fillId="0" borderId="0" xfId="0" applyFont="1"/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169" fontId="0" fillId="0" borderId="0" xfId="0" applyNumberFormat="1"/>
    <xf numFmtId="170" fontId="0" fillId="0" borderId="0" xfId="0" applyNumberFormat="1"/>
    <xf numFmtId="169" fontId="0" fillId="0" borderId="1" xfId="0" applyNumberFormat="1" applyBorder="1"/>
    <xf numFmtId="170" fontId="0" fillId="0" borderId="1" xfId="0" applyNumberFormat="1" applyBorder="1"/>
    <xf numFmtId="0" fontId="9" fillId="0" borderId="0" xfId="0" applyFont="1"/>
    <xf numFmtId="0" fontId="9" fillId="0" borderId="0" xfId="0" applyFont="1" applyFill="1"/>
    <xf numFmtId="44" fontId="9" fillId="0" borderId="0" xfId="0" applyNumberFormat="1" applyFont="1" applyFill="1"/>
    <xf numFmtId="168" fontId="9" fillId="0" borderId="0" xfId="1" applyNumberFormat="1" applyFont="1" applyFill="1" applyAlignment="1">
      <alignment horizontal="center"/>
    </xf>
    <xf numFmtId="8" fontId="9" fillId="0" borderId="0" xfId="0" applyNumberFormat="1" applyFont="1"/>
    <xf numFmtId="44" fontId="9" fillId="0" borderId="0" xfId="0" applyNumberFormat="1" applyFont="1" applyFill="1" applyBorder="1"/>
    <xf numFmtId="0" fontId="3" fillId="0" borderId="1" xfId="0" quotePrefix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3" borderId="0" xfId="0" applyFont="1" applyFill="1"/>
    <xf numFmtId="0" fontId="0" fillId="3" borderId="0" xfId="0" applyFill="1"/>
    <xf numFmtId="3" fontId="0" fillId="3" borderId="0" xfId="0" applyNumberFormat="1" applyFill="1"/>
    <xf numFmtId="166" fontId="0" fillId="3" borderId="0" xfId="0" applyNumberFormat="1" applyFill="1" applyAlignment="1">
      <alignment horizontal="center"/>
    </xf>
    <xf numFmtId="0" fontId="4" fillId="0" borderId="0" xfId="3" applyFont="1"/>
    <xf numFmtId="0" fontId="3" fillId="0" borderId="1" xfId="3" applyFont="1" applyBorder="1"/>
    <xf numFmtId="49" fontId="4" fillId="0" borderId="0" xfId="3" applyNumberFormat="1" applyFont="1" applyAlignment="1">
      <alignment horizontal="left"/>
    </xf>
    <xf numFmtId="0" fontId="11" fillId="0" borderId="0" xfId="3" applyFont="1"/>
    <xf numFmtId="0" fontId="0" fillId="0" borderId="0" xfId="0" quotePrefix="1" applyAlignment="1">
      <alignment horizontal="right"/>
    </xf>
    <xf numFmtId="49" fontId="4" fillId="0" borderId="0" xfId="3" quotePrefix="1" applyNumberFormat="1" applyFont="1" applyAlignment="1">
      <alignment horizontal="left"/>
    </xf>
    <xf numFmtId="0" fontId="4" fillId="0" borderId="0" xfId="3" quotePrefix="1" applyFont="1" applyAlignment="1">
      <alignment horizontal="left"/>
    </xf>
    <xf numFmtId="0" fontId="4" fillId="0" borderId="0" xfId="4"/>
    <xf numFmtId="0" fontId="3" fillId="0" borderId="2" xfId="0" quotePrefix="1" applyFont="1" applyFill="1" applyBorder="1" applyAlignment="1">
      <alignment horizontal="left"/>
    </xf>
    <xf numFmtId="0" fontId="4" fillId="0" borderId="2" xfId="0" applyFont="1" applyFill="1" applyBorder="1"/>
    <xf numFmtId="0" fontId="9" fillId="0" borderId="2" xfId="0" applyFont="1" applyBorder="1"/>
    <xf numFmtId="0" fontId="3" fillId="0" borderId="2" xfId="0" applyFont="1" applyFill="1" applyBorder="1" applyAlignment="1"/>
    <xf numFmtId="0" fontId="3" fillId="0" borderId="2" xfId="0" applyFont="1" applyFill="1" applyBorder="1"/>
    <xf numFmtId="14" fontId="9" fillId="0" borderId="0" xfId="0" applyNumberFormat="1" applyFont="1" applyAlignment="1">
      <alignment horizontal="right"/>
    </xf>
    <xf numFmtId="14" fontId="9" fillId="0" borderId="0" xfId="0" quotePrefix="1" applyNumberFormat="1" applyFont="1" applyAlignment="1">
      <alignment horizontal="right"/>
    </xf>
    <xf numFmtId="0" fontId="9" fillId="0" borderId="0" xfId="0" applyFont="1" applyAlignment="1">
      <alignment horizontal="right"/>
    </xf>
    <xf numFmtId="169" fontId="9" fillId="0" borderId="0" xfId="0" applyNumberFormat="1" applyFont="1"/>
    <xf numFmtId="3" fontId="0" fillId="0" borderId="0" xfId="0" applyNumberFormat="1"/>
    <xf numFmtId="44" fontId="0" fillId="0" borderId="0" xfId="0" applyNumberFormat="1" applyFill="1" applyAlignment="1"/>
    <xf numFmtId="0" fontId="4" fillId="0" borderId="0" xfId="0" quotePrefix="1" applyFont="1" applyFill="1" applyAlignment="1">
      <alignment horizontal="left" indent="1"/>
    </xf>
    <xf numFmtId="169" fontId="0" fillId="3" borderId="0" xfId="0" applyNumberFormat="1" applyFill="1" applyAlignment="1">
      <alignment horizontal="center"/>
    </xf>
    <xf numFmtId="0" fontId="9" fillId="0" borderId="0" xfId="0" quotePrefix="1" applyFont="1" applyAlignment="1">
      <alignment horizontal="left" indent="1"/>
    </xf>
    <xf numFmtId="0" fontId="4" fillId="0" borderId="0" xfId="4" applyFont="1"/>
    <xf numFmtId="0" fontId="0" fillId="0" borderId="0" xfId="0" applyFill="1"/>
    <xf numFmtId="14" fontId="4" fillId="0" borderId="0" xfId="3" quotePrefix="1" applyNumberFormat="1" applyFont="1" applyAlignment="1">
      <alignment horizontal="left"/>
    </xf>
    <xf numFmtId="44" fontId="3" fillId="0" borderId="0" xfId="0" applyNumberFormat="1" applyFont="1" applyFill="1"/>
    <xf numFmtId="0" fontId="3" fillId="0" borderId="1" xfId="0" quotePrefix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2" fillId="0" borderId="0" xfId="5"/>
    <xf numFmtId="0" fontId="3" fillId="0" borderId="0" xfId="0" applyFont="1" applyFill="1" applyBorder="1"/>
    <xf numFmtId="0" fontId="2" fillId="0" borderId="0" xfId="0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164" fontId="0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left" indent="1"/>
    </xf>
    <xf numFmtId="0" fontId="0" fillId="0" borderId="0" xfId="0" quotePrefix="1" applyFill="1" applyAlignment="1">
      <alignment horizontal="left"/>
    </xf>
    <xf numFmtId="171" fontId="0" fillId="0" borderId="0" xfId="0" applyNumberFormat="1" applyFill="1" applyAlignment="1">
      <alignment horizontal="center"/>
    </xf>
    <xf numFmtId="0" fontId="0" fillId="4" borderId="0" xfId="0" applyFill="1"/>
    <xf numFmtId="0" fontId="1" fillId="0" borderId="0" xfId="5" applyFont="1"/>
    <xf numFmtId="0" fontId="9" fillId="0" borderId="0" xfId="0" applyFont="1" applyAlignment="1">
      <alignment horizontal="left" indent="1"/>
    </xf>
    <xf numFmtId="169" fontId="9" fillId="0" borderId="3" xfId="0" applyNumberFormat="1" applyFont="1" applyBorder="1"/>
    <xf numFmtId="0" fontId="9" fillId="0" borderId="4" xfId="0" applyFont="1" applyBorder="1"/>
    <xf numFmtId="44" fontId="9" fillId="0" borderId="4" xfId="0" applyNumberFormat="1" applyFont="1" applyFill="1" applyBorder="1"/>
    <xf numFmtId="168" fontId="9" fillId="0" borderId="4" xfId="1" applyNumberFormat="1" applyFont="1" applyFill="1" applyBorder="1" applyAlignment="1">
      <alignment horizontal="center"/>
    </xf>
    <xf numFmtId="168" fontId="9" fillId="0" borderId="5" xfId="1" applyNumberFormat="1" applyFont="1" applyFill="1" applyBorder="1" applyAlignment="1">
      <alignment horizontal="center"/>
    </xf>
    <xf numFmtId="0" fontId="4" fillId="0" borderId="0" xfId="4" quotePrefix="1" applyAlignment="1">
      <alignment horizontal="left"/>
    </xf>
    <xf numFmtId="0" fontId="14" fillId="0" borderId="0" xfId="5" applyFont="1" applyFill="1" applyAlignment="1">
      <alignment horizontal="center"/>
    </xf>
    <xf numFmtId="0" fontId="10" fillId="0" borderId="0" xfId="3" applyFont="1" applyAlignment="1">
      <alignment horizontal="center"/>
    </xf>
    <xf numFmtId="0" fontId="3" fillId="0" borderId="0" xfId="0" quotePrefix="1" applyFont="1" applyFill="1" applyAlignment="1" applyProtection="1">
      <alignment horizontal="right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1" xfId="0" quotePrefix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9" fontId="9" fillId="0" borderId="0" xfId="0" applyNumberFormat="1" applyFont="1" applyAlignment="1">
      <alignment horizontal="center"/>
    </xf>
    <xf numFmtId="14" fontId="9" fillId="0" borderId="0" xfId="0" applyNumberFormat="1" applyFont="1" applyAlignment="1">
      <alignment horizontal="center"/>
    </xf>
  </cellXfs>
  <cellStyles count="9">
    <cellStyle name="Normal" xfId="0" builtinId="0"/>
    <cellStyle name="Normal 10 2" xfId="4"/>
    <cellStyle name="Normal 13" xfId="6"/>
    <cellStyle name="Normal 2" xfId="5"/>
    <cellStyle name="Normal 2 19" xfId="7"/>
    <cellStyle name="Normal 47" xfId="3"/>
    <cellStyle name="Normal 48" xfId="2"/>
    <cellStyle name="Percent" xfId="1" builtinId="5"/>
    <cellStyle name="Percent 2" xfId="8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</sheetPr>
  <dimension ref="A1:O59"/>
  <sheetViews>
    <sheetView zoomScale="80" zoomScaleNormal="80" workbookViewId="0">
      <pane xSplit="1" ySplit="3" topLeftCell="B4" activePane="bottomRight" state="frozen"/>
      <selection activeCell="D45" sqref="D45"/>
      <selection pane="topRight" activeCell="D45" sqref="D45"/>
      <selection pane="bottomLeft" activeCell="D45" sqref="D45"/>
      <selection pane="bottomRight" activeCell="E18" sqref="E18"/>
    </sheetView>
  </sheetViews>
  <sheetFormatPr defaultRowHeight="15" x14ac:dyDescent="0.25"/>
  <cols>
    <col min="1" max="1" width="52" customWidth="1"/>
    <col min="3" max="3" width="18.140625" customWidth="1"/>
    <col min="4" max="4" width="14.5703125" bestFit="1" customWidth="1"/>
    <col min="5" max="5" width="14.140625" customWidth="1"/>
    <col min="6" max="6" width="14.42578125" customWidth="1"/>
    <col min="7" max="8" width="15.5703125" customWidth="1"/>
    <col min="9" max="9" width="15.85546875" bestFit="1" customWidth="1"/>
    <col min="10" max="10" width="17" bestFit="1" customWidth="1"/>
    <col min="11" max="11" width="17.28515625" bestFit="1" customWidth="1"/>
    <col min="12" max="12" width="13.85546875" bestFit="1" customWidth="1"/>
  </cols>
  <sheetData>
    <row r="1" spans="1:14" x14ac:dyDescent="0.25">
      <c r="A1" s="1"/>
      <c r="C1" s="11"/>
      <c r="D1" s="12"/>
      <c r="E1" s="12"/>
      <c r="F1" s="12"/>
      <c r="G1" s="12"/>
      <c r="H1" s="12"/>
      <c r="I1" s="12" t="s">
        <v>19</v>
      </c>
      <c r="J1" s="12" t="s">
        <v>19</v>
      </c>
      <c r="K1" s="12" t="s">
        <v>20</v>
      </c>
      <c r="L1" s="12"/>
      <c r="M1" s="12"/>
      <c r="N1" s="12"/>
    </row>
    <row r="2" spans="1:14" x14ac:dyDescent="0.25">
      <c r="A2" s="1" t="s">
        <v>0</v>
      </c>
      <c r="C2" s="11" t="s">
        <v>15</v>
      </c>
      <c r="D2" s="12" t="s">
        <v>12</v>
      </c>
      <c r="E2" s="12" t="s">
        <v>13</v>
      </c>
      <c r="F2" s="12" t="s">
        <v>14</v>
      </c>
      <c r="G2" s="12" t="s">
        <v>17</v>
      </c>
      <c r="H2" s="12" t="s">
        <v>16</v>
      </c>
      <c r="I2" s="12" t="s">
        <v>21</v>
      </c>
      <c r="J2" s="12" t="s">
        <v>22</v>
      </c>
      <c r="K2" s="12" t="s">
        <v>23</v>
      </c>
    </row>
    <row r="3" spans="1:14" x14ac:dyDescent="0.25">
      <c r="A3" s="1"/>
      <c r="C3" s="15" t="s">
        <v>18</v>
      </c>
      <c r="D3" s="15" t="s">
        <v>18</v>
      </c>
      <c r="E3" s="15" t="s">
        <v>18</v>
      </c>
      <c r="F3" s="15" t="s">
        <v>18</v>
      </c>
      <c r="G3" s="15" t="s">
        <v>18</v>
      </c>
      <c r="H3" s="15" t="s">
        <v>18</v>
      </c>
      <c r="I3" s="15" t="s">
        <v>18</v>
      </c>
      <c r="J3" s="15" t="s">
        <v>18</v>
      </c>
      <c r="K3" s="15" t="s">
        <v>18</v>
      </c>
    </row>
    <row r="4" spans="1:14" x14ac:dyDescent="0.25">
      <c r="C4" s="12"/>
      <c r="D4" s="12"/>
      <c r="E4" s="12"/>
      <c r="F4" s="12"/>
      <c r="G4" s="12"/>
      <c r="H4" s="11"/>
      <c r="I4" s="11"/>
      <c r="J4" s="11"/>
      <c r="K4" s="11"/>
    </row>
    <row r="5" spans="1:14" x14ac:dyDescent="0.25">
      <c r="A5" t="s">
        <v>25</v>
      </c>
      <c r="C5" s="13">
        <v>13.5</v>
      </c>
      <c r="D5" s="13"/>
      <c r="E5" s="13"/>
      <c r="F5" s="13">
        <v>275</v>
      </c>
      <c r="G5" s="13"/>
      <c r="H5" s="13"/>
      <c r="I5" s="13">
        <v>175</v>
      </c>
      <c r="K5" s="13">
        <v>275</v>
      </c>
    </row>
    <row r="6" spans="1:14" x14ac:dyDescent="0.25">
      <c r="A6" t="s">
        <v>26</v>
      </c>
      <c r="C6" s="13"/>
      <c r="D6" s="13">
        <v>35</v>
      </c>
      <c r="E6" s="13">
        <v>35</v>
      </c>
      <c r="F6" s="13"/>
      <c r="G6" s="13">
        <v>35</v>
      </c>
      <c r="H6" s="13"/>
    </row>
    <row r="7" spans="1:14" x14ac:dyDescent="0.25">
      <c r="A7" t="s">
        <v>27</v>
      </c>
      <c r="C7" s="13"/>
      <c r="D7" s="13">
        <v>175</v>
      </c>
      <c r="E7" s="13">
        <v>175</v>
      </c>
      <c r="F7" s="13"/>
      <c r="G7" s="13">
        <v>175</v>
      </c>
      <c r="H7" s="13"/>
    </row>
    <row r="8" spans="1:14" x14ac:dyDescent="0.25">
      <c r="C8" s="13"/>
      <c r="D8" s="13"/>
      <c r="E8" s="13"/>
      <c r="F8" s="13"/>
      <c r="G8" s="13"/>
      <c r="H8" s="13"/>
    </row>
    <row r="9" spans="1:14" x14ac:dyDescent="0.25">
      <c r="A9" t="s">
        <v>9</v>
      </c>
      <c r="C9" s="14">
        <f>0.26419*10</f>
        <v>2.6418999999999997</v>
      </c>
      <c r="D9" s="14">
        <f>0.20999*10</f>
        <v>2.0998999999999999</v>
      </c>
      <c r="E9" s="14">
        <f>0.21452*10</f>
        <v>2.1452</v>
      </c>
      <c r="F9" s="14">
        <v>0.60860000000000003</v>
      </c>
      <c r="G9" s="14">
        <f>0.03095*10</f>
        <v>0.3095</v>
      </c>
      <c r="H9" s="14">
        <v>0.43</v>
      </c>
      <c r="I9" s="14">
        <v>0.32100000000000001</v>
      </c>
      <c r="J9" s="14">
        <v>4.87E-2</v>
      </c>
      <c r="K9" s="14">
        <v>0.10489999999999999</v>
      </c>
      <c r="L9" s="14"/>
      <c r="M9" s="14"/>
      <c r="N9" s="14"/>
    </row>
    <row r="10" spans="1:14" x14ac:dyDescent="0.25">
      <c r="A10" s="9" t="s">
        <v>10</v>
      </c>
      <c r="C10" s="14"/>
      <c r="D10" s="14">
        <f>0.15999*10</f>
        <v>1.5998999999999999</v>
      </c>
      <c r="E10" s="14">
        <f>0.16452*10</f>
        <v>1.6452</v>
      </c>
      <c r="F10" s="14"/>
      <c r="G10" s="14"/>
      <c r="H10" s="14"/>
    </row>
    <row r="11" spans="1:14" x14ac:dyDescent="0.25">
      <c r="C11" s="13"/>
      <c r="D11" s="13"/>
      <c r="E11" s="13"/>
      <c r="F11" s="13"/>
      <c r="G11" s="13"/>
      <c r="H11" s="13"/>
    </row>
    <row r="12" spans="1:14" x14ac:dyDescent="0.25">
      <c r="A12" s="16" t="s">
        <v>129</v>
      </c>
      <c r="C12" s="13"/>
      <c r="D12" s="13"/>
      <c r="E12" s="13"/>
      <c r="F12" s="13"/>
      <c r="G12" s="14">
        <f>1.1402/0.1</f>
        <v>11.402000000000001</v>
      </c>
      <c r="H12" s="13"/>
      <c r="I12" s="13">
        <v>10.86</v>
      </c>
      <c r="J12" s="13">
        <v>2.4300000000000002</v>
      </c>
      <c r="K12" s="13">
        <v>2.75</v>
      </c>
    </row>
    <row r="13" spans="1:14" x14ac:dyDescent="0.25">
      <c r="K13" s="13"/>
    </row>
    <row r="14" spans="1:14" x14ac:dyDescent="0.25">
      <c r="A14" t="s">
        <v>11</v>
      </c>
      <c r="C14" s="14"/>
      <c r="D14" s="14"/>
      <c r="E14" s="14"/>
      <c r="F14" s="14"/>
      <c r="G14" s="14"/>
      <c r="H14" s="13">
        <v>400</v>
      </c>
      <c r="J14" s="13">
        <v>781</v>
      </c>
      <c r="K14" s="13">
        <v>400</v>
      </c>
    </row>
    <row r="16" spans="1:14" x14ac:dyDescent="0.25">
      <c r="A16" s="42" t="s">
        <v>68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</row>
    <row r="17" spans="1:13" x14ac:dyDescent="0.25">
      <c r="A17" s="42" t="s">
        <v>69</v>
      </c>
      <c r="B17" s="44"/>
      <c r="C17" s="45">
        <v>5.7</v>
      </c>
      <c r="D17" s="45">
        <v>36.700000000000003</v>
      </c>
      <c r="E17" s="45">
        <v>442.4</v>
      </c>
      <c r="F17" s="66">
        <v>5803</v>
      </c>
      <c r="G17" s="45">
        <v>0</v>
      </c>
      <c r="H17" s="66">
        <v>12188</v>
      </c>
      <c r="I17" s="44"/>
      <c r="J17" s="44"/>
      <c r="K17" s="44"/>
    </row>
    <row r="19" spans="1:13" x14ac:dyDescent="0.25">
      <c r="A19" s="1"/>
      <c r="C19" s="11"/>
      <c r="D19" s="12"/>
      <c r="E19" s="12"/>
      <c r="F19" s="12"/>
      <c r="G19" s="12"/>
      <c r="H19" s="12"/>
      <c r="I19" s="12" t="s">
        <v>19</v>
      </c>
      <c r="J19" s="12" t="s">
        <v>19</v>
      </c>
      <c r="K19" s="12" t="s">
        <v>20</v>
      </c>
    </row>
    <row r="20" spans="1:13" x14ac:dyDescent="0.25">
      <c r="A20" s="1" t="s">
        <v>28</v>
      </c>
      <c r="C20" s="11" t="s">
        <v>15</v>
      </c>
      <c r="D20" s="12" t="s">
        <v>12</v>
      </c>
      <c r="E20" s="12" t="s">
        <v>13</v>
      </c>
      <c r="F20" s="12" t="s">
        <v>14</v>
      </c>
      <c r="G20" s="12" t="s">
        <v>17</v>
      </c>
      <c r="H20" s="12" t="s">
        <v>16</v>
      </c>
      <c r="I20" s="12" t="s">
        <v>21</v>
      </c>
      <c r="J20" s="12" t="s">
        <v>22</v>
      </c>
      <c r="K20" s="12" t="s">
        <v>23</v>
      </c>
    </row>
    <row r="21" spans="1:13" x14ac:dyDescent="0.25">
      <c r="C21" s="15" t="s">
        <v>18</v>
      </c>
      <c r="D21" s="15" t="s">
        <v>18</v>
      </c>
      <c r="E21" s="15" t="s">
        <v>18</v>
      </c>
      <c r="F21" s="15" t="s">
        <v>18</v>
      </c>
      <c r="G21" s="15" t="s">
        <v>18</v>
      </c>
      <c r="H21" s="15" t="s">
        <v>18</v>
      </c>
      <c r="I21" s="15" t="s">
        <v>18</v>
      </c>
      <c r="J21" s="15" t="s">
        <v>18</v>
      </c>
      <c r="K21" s="15" t="s">
        <v>18</v>
      </c>
    </row>
    <row r="22" spans="1:13" x14ac:dyDescent="0.25">
      <c r="A22" s="69"/>
      <c r="B22" s="69"/>
      <c r="C22" s="76"/>
      <c r="D22" s="76"/>
      <c r="E22" s="76"/>
      <c r="F22" s="76"/>
      <c r="G22" s="76"/>
      <c r="H22" s="77"/>
      <c r="I22" s="77"/>
      <c r="J22" s="77"/>
      <c r="K22" s="77"/>
      <c r="L22" s="69"/>
      <c r="M22" s="69"/>
    </row>
    <row r="23" spans="1:13" x14ac:dyDescent="0.25">
      <c r="A23" s="69" t="s">
        <v>25</v>
      </c>
      <c r="B23" s="69"/>
      <c r="C23" s="13">
        <v>19</v>
      </c>
      <c r="D23" s="13"/>
      <c r="E23" s="13"/>
      <c r="F23" s="13">
        <v>400</v>
      </c>
      <c r="G23" s="13"/>
      <c r="H23" s="13"/>
      <c r="I23" s="13">
        <v>180</v>
      </c>
      <c r="J23" s="69"/>
      <c r="K23" s="13">
        <v>300</v>
      </c>
      <c r="L23" s="69"/>
      <c r="M23" s="69"/>
    </row>
    <row r="24" spans="1:13" x14ac:dyDescent="0.25">
      <c r="A24" s="69" t="s">
        <v>26</v>
      </c>
      <c r="B24" s="69"/>
      <c r="C24" s="13"/>
      <c r="D24" s="13">
        <v>40</v>
      </c>
      <c r="E24" s="13">
        <v>40</v>
      </c>
      <c r="F24" s="13"/>
      <c r="G24" s="13">
        <v>40</v>
      </c>
      <c r="H24" s="13"/>
      <c r="I24" s="69"/>
      <c r="J24" s="69"/>
      <c r="K24" s="69"/>
      <c r="L24" s="69"/>
      <c r="M24" s="69"/>
    </row>
    <row r="25" spans="1:13" x14ac:dyDescent="0.25">
      <c r="A25" s="69" t="s">
        <v>27</v>
      </c>
      <c r="B25" s="69"/>
      <c r="C25" s="13"/>
      <c r="D25" s="13">
        <v>180</v>
      </c>
      <c r="E25" s="13">
        <v>180</v>
      </c>
      <c r="F25" s="13"/>
      <c r="G25" s="13">
        <v>180</v>
      </c>
      <c r="H25" s="13"/>
      <c r="I25" s="69"/>
      <c r="J25" s="69"/>
      <c r="K25" s="69"/>
      <c r="L25" s="69"/>
      <c r="M25" s="69"/>
    </row>
    <row r="26" spans="1:13" x14ac:dyDescent="0.25">
      <c r="A26" s="69"/>
      <c r="B26" s="69"/>
      <c r="C26" s="13"/>
      <c r="D26" s="13"/>
      <c r="E26" s="13"/>
      <c r="F26" s="13"/>
      <c r="G26" s="13"/>
      <c r="H26" s="13"/>
      <c r="I26" s="69"/>
      <c r="J26" s="69"/>
      <c r="K26" s="69"/>
      <c r="L26" s="69"/>
      <c r="M26" s="69"/>
    </row>
    <row r="27" spans="1:13" x14ac:dyDescent="0.25">
      <c r="A27" s="69" t="s">
        <v>9</v>
      </c>
      <c r="B27" s="69"/>
      <c r="C27" s="14">
        <v>2.1324999999999998</v>
      </c>
      <c r="D27" s="78">
        <v>2.3445</v>
      </c>
      <c r="E27" s="78">
        <v>2.4304999999999999</v>
      </c>
      <c r="F27" s="14">
        <v>0.82850000000000001</v>
      </c>
      <c r="G27" s="14">
        <v>0.34539999999999998</v>
      </c>
      <c r="H27" s="14">
        <v>0.44309999999999999</v>
      </c>
      <c r="I27" s="14">
        <v>0.34539999999999998</v>
      </c>
      <c r="J27" s="14">
        <v>5.0799999999999998E-2</v>
      </c>
      <c r="K27" s="14">
        <v>0.111</v>
      </c>
      <c r="L27" s="69"/>
      <c r="M27" s="69"/>
    </row>
    <row r="28" spans="1:13" x14ac:dyDescent="0.25">
      <c r="A28" s="79" t="s">
        <v>10</v>
      </c>
      <c r="B28" s="69"/>
      <c r="C28" s="14"/>
      <c r="D28" s="78">
        <v>1.8445</v>
      </c>
      <c r="E28" s="78">
        <v>1.9305000000000001</v>
      </c>
      <c r="F28" s="14"/>
      <c r="G28" s="14"/>
      <c r="H28" s="14"/>
      <c r="I28" s="69"/>
      <c r="J28" s="69"/>
      <c r="K28" s="69"/>
      <c r="L28" s="69"/>
      <c r="M28" s="69"/>
    </row>
    <row r="29" spans="1:13" x14ac:dyDescent="0.25">
      <c r="A29" s="69"/>
      <c r="B29" s="69"/>
      <c r="C29" s="13"/>
      <c r="D29" s="13"/>
      <c r="E29" s="13"/>
      <c r="F29" s="13"/>
      <c r="G29" s="13"/>
      <c r="H29" s="13"/>
      <c r="I29" s="69"/>
      <c r="J29" s="69"/>
      <c r="K29" s="69"/>
      <c r="L29" s="69"/>
      <c r="M29" s="69"/>
    </row>
    <row r="30" spans="1:13" x14ac:dyDescent="0.25">
      <c r="A30" s="80" t="s">
        <v>129</v>
      </c>
      <c r="B30" s="69"/>
      <c r="C30" s="13"/>
      <c r="D30" s="13"/>
      <c r="E30" s="13"/>
      <c r="F30" s="13"/>
      <c r="G30" s="81">
        <f>1.1685/0.1</f>
        <v>11.685</v>
      </c>
      <c r="H30" s="13"/>
      <c r="I30" s="13">
        <v>11.69</v>
      </c>
      <c r="J30" s="13">
        <v>2.5299999999999998</v>
      </c>
      <c r="K30" s="13">
        <v>2.91</v>
      </c>
      <c r="L30" s="69"/>
      <c r="M30" s="69"/>
    </row>
    <row r="31" spans="1:13" x14ac:dyDescent="0.25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13"/>
      <c r="L31" s="69"/>
      <c r="M31" s="69"/>
    </row>
    <row r="32" spans="1:13" x14ac:dyDescent="0.25">
      <c r="A32" s="69" t="s">
        <v>11</v>
      </c>
      <c r="B32" s="69"/>
      <c r="C32" s="14"/>
      <c r="D32" s="14"/>
      <c r="E32" s="14"/>
      <c r="F32" s="14"/>
      <c r="G32" s="14"/>
      <c r="H32" s="13">
        <v>550</v>
      </c>
      <c r="I32" s="69"/>
      <c r="J32" s="13">
        <v>800</v>
      </c>
      <c r="K32" s="13">
        <v>550</v>
      </c>
      <c r="L32" s="69"/>
      <c r="M32" s="69"/>
    </row>
    <row r="33" spans="1:15" x14ac:dyDescent="0.25">
      <c r="A33" s="69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</row>
    <row r="34" spans="1:15" x14ac:dyDescent="0.25">
      <c r="A34" s="69"/>
      <c r="B34" s="69"/>
      <c r="C34" s="69"/>
      <c r="D34" s="69"/>
      <c r="E34" s="69"/>
      <c r="F34" s="69"/>
      <c r="G34" s="69"/>
      <c r="H34" s="14"/>
      <c r="I34" s="69"/>
      <c r="J34" s="14"/>
      <c r="K34" s="14"/>
      <c r="L34" s="69"/>
      <c r="M34" s="69"/>
    </row>
    <row r="35" spans="1:15" x14ac:dyDescent="0.25">
      <c r="A35" s="82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</row>
    <row r="36" spans="1:15" x14ac:dyDescent="0.25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</row>
    <row r="38" spans="1:15" x14ac:dyDescent="0.25">
      <c r="A38" s="1" t="s">
        <v>58</v>
      </c>
      <c r="C38" s="12" t="s">
        <v>53</v>
      </c>
      <c r="D38" s="12" t="s">
        <v>37</v>
      </c>
      <c r="E38" s="12" t="s">
        <v>34</v>
      </c>
      <c r="F38" s="12" t="s">
        <v>38</v>
      </c>
      <c r="G38" s="28" t="s">
        <v>54</v>
      </c>
      <c r="H38" s="28" t="s">
        <v>55</v>
      </c>
      <c r="I38" s="29" t="s">
        <v>56</v>
      </c>
      <c r="J38" s="29" t="s">
        <v>57</v>
      </c>
      <c r="K38" s="1" t="s">
        <v>123</v>
      </c>
      <c r="L38" s="1" t="s">
        <v>124</v>
      </c>
    </row>
    <row r="39" spans="1:15" x14ac:dyDescent="0.25">
      <c r="C39" s="12"/>
      <c r="D39" s="12"/>
      <c r="E39" s="12"/>
      <c r="F39" s="12"/>
      <c r="G39" s="28" t="s">
        <v>39</v>
      </c>
      <c r="H39" s="28"/>
      <c r="I39" s="28"/>
      <c r="J39" s="28"/>
    </row>
    <row r="40" spans="1:15" x14ac:dyDescent="0.25">
      <c r="A40" s="6" t="s">
        <v>45</v>
      </c>
      <c r="C40" s="7">
        <v>220393502</v>
      </c>
      <c r="D40" s="7">
        <v>105116312</v>
      </c>
      <c r="E40" s="7">
        <v>1917198</v>
      </c>
      <c r="F40" s="7">
        <v>12833669</v>
      </c>
      <c r="G40" s="30">
        <v>19985070.637652706</v>
      </c>
      <c r="H40" s="31">
        <f>+D40/$G40</f>
        <v>5.2597418295813521</v>
      </c>
      <c r="I40" s="31">
        <f t="shared" ref="I40" si="0">+E40/$G40</f>
        <v>9.5931509813526453E-2</v>
      </c>
      <c r="J40" s="31">
        <f>+F40/G40</f>
        <v>0.64216280405938786</v>
      </c>
      <c r="K40" s="63">
        <v>3535389.9999999995</v>
      </c>
      <c r="L40" s="64">
        <f>+F40/K40</f>
        <v>3.6300575042640277</v>
      </c>
      <c r="M40" s="69"/>
    </row>
    <row r="41" spans="1:15" x14ac:dyDescent="0.25">
      <c r="A41" s="6" t="s">
        <v>46</v>
      </c>
      <c r="C41" s="7">
        <v>94537967</v>
      </c>
      <c r="D41" s="7">
        <v>54544208</v>
      </c>
      <c r="E41" s="7">
        <v>1064923</v>
      </c>
      <c r="F41" s="7">
        <v>5604313</v>
      </c>
      <c r="G41" s="30">
        <v>10433869.494509621</v>
      </c>
      <c r="H41" s="31">
        <f t="shared" ref="H41:H48" si="1">+D41/$G41</f>
        <v>5.2276107180276279</v>
      </c>
      <c r="I41" s="31">
        <f t="shared" ref="I41:I48" si="2">+E41/$G41</f>
        <v>0.10206405212949715</v>
      </c>
      <c r="J41" s="31">
        <f t="shared" ref="J41:J47" si="3">+F41/G41</f>
        <v>0.53712699808532505</v>
      </c>
      <c r="K41" s="63">
        <v>284365.00000000012</v>
      </c>
      <c r="L41" s="64">
        <f t="shared" ref="L41:L43" si="4">+F41/K41</f>
        <v>19.708167320169494</v>
      </c>
      <c r="M41" s="69"/>
    </row>
    <row r="42" spans="1:15" x14ac:dyDescent="0.25">
      <c r="A42" s="6" t="s">
        <v>47</v>
      </c>
      <c r="C42" s="7">
        <v>9504797</v>
      </c>
      <c r="D42" s="7">
        <v>6048393</v>
      </c>
      <c r="E42" s="7">
        <v>0</v>
      </c>
      <c r="F42" s="7">
        <v>378798</v>
      </c>
      <c r="G42" s="30">
        <v>1335425.4852254651</v>
      </c>
      <c r="H42" s="31">
        <f t="shared" si="1"/>
        <v>4.5291879381640126</v>
      </c>
      <c r="I42" s="31">
        <f t="shared" si="2"/>
        <v>0</v>
      </c>
      <c r="J42" s="31">
        <f t="shared" si="3"/>
        <v>0.28365341547757422</v>
      </c>
      <c r="K42" s="63">
        <v>3042.9149635036497</v>
      </c>
      <c r="L42" s="64">
        <f t="shared" si="4"/>
        <v>124.48524015401578</v>
      </c>
      <c r="M42" s="69"/>
    </row>
    <row r="43" spans="1:15" x14ac:dyDescent="0.25">
      <c r="A43" s="6" t="s">
        <v>48</v>
      </c>
      <c r="C43" s="7">
        <v>2376096</v>
      </c>
      <c r="D43" s="7">
        <v>1975026</v>
      </c>
      <c r="E43" s="7">
        <v>6737</v>
      </c>
      <c r="F43" s="7">
        <v>123110</v>
      </c>
      <c r="G43" s="30">
        <v>398823.67877300608</v>
      </c>
      <c r="H43" s="31">
        <f t="shared" si="1"/>
        <v>4.9521282339008339</v>
      </c>
      <c r="I43" s="31">
        <f t="shared" si="2"/>
        <v>1.689217656465784E-2</v>
      </c>
      <c r="J43" s="31">
        <f t="shared" si="3"/>
        <v>0.30868277525234183</v>
      </c>
      <c r="K43" s="63">
        <v>69</v>
      </c>
      <c r="L43" s="64">
        <f t="shared" si="4"/>
        <v>1784.2028985507247</v>
      </c>
      <c r="M43" s="69"/>
    </row>
    <row r="44" spans="1:15" x14ac:dyDescent="0.25">
      <c r="A44" s="6" t="s">
        <v>49</v>
      </c>
      <c r="C44" s="7">
        <v>6987867</v>
      </c>
      <c r="D44" s="7">
        <v>0</v>
      </c>
      <c r="E44" s="7">
        <v>1578243</v>
      </c>
      <c r="F44" s="7">
        <v>0</v>
      </c>
      <c r="G44" s="30">
        <v>11554241.323209887</v>
      </c>
      <c r="H44" s="31">
        <f t="shared" si="1"/>
        <v>0</v>
      </c>
      <c r="I44" s="31">
        <f t="shared" si="2"/>
        <v>0.13659425624334701</v>
      </c>
      <c r="J44" s="31">
        <f t="shared" si="3"/>
        <v>0</v>
      </c>
      <c r="K44" s="63">
        <v>0</v>
      </c>
      <c r="L44" s="69"/>
      <c r="M44" s="69"/>
    </row>
    <row r="45" spans="1:15" x14ac:dyDescent="0.25">
      <c r="A45" s="6" t="s">
        <v>50</v>
      </c>
      <c r="C45" s="7">
        <v>4121433</v>
      </c>
      <c r="D45" s="7">
        <v>1840503.8</v>
      </c>
      <c r="E45" s="7">
        <v>0</v>
      </c>
      <c r="F45" s="7">
        <v>0</v>
      </c>
      <c r="G45" s="30">
        <v>376105.8</v>
      </c>
      <c r="H45" s="31">
        <f t="shared" si="1"/>
        <v>4.8935799447921307</v>
      </c>
      <c r="I45" s="31">
        <f t="shared" si="2"/>
        <v>0</v>
      </c>
      <c r="J45" s="31">
        <f t="shared" si="3"/>
        <v>0</v>
      </c>
      <c r="K45" s="63">
        <v>0</v>
      </c>
    </row>
    <row r="46" spans="1:15" x14ac:dyDescent="0.25">
      <c r="A46" s="6" t="s">
        <v>51</v>
      </c>
      <c r="C46" s="7">
        <v>1337173.9000000001</v>
      </c>
      <c r="D46" s="7">
        <v>0</v>
      </c>
      <c r="E46" s="7">
        <v>0</v>
      </c>
      <c r="F46" s="7">
        <v>0</v>
      </c>
      <c r="G46" s="30">
        <v>1398149.9000000001</v>
      </c>
      <c r="H46" s="31">
        <f t="shared" si="1"/>
        <v>0</v>
      </c>
      <c r="I46" s="31">
        <f t="shared" si="2"/>
        <v>0</v>
      </c>
      <c r="J46" s="31">
        <f t="shared" si="3"/>
        <v>0</v>
      </c>
      <c r="K46" s="63">
        <v>0</v>
      </c>
    </row>
    <row r="47" spans="1:15" x14ac:dyDescent="0.25">
      <c r="A47" s="6" t="s">
        <v>52</v>
      </c>
      <c r="C47" s="8">
        <v>237766</v>
      </c>
      <c r="D47" s="8">
        <v>0</v>
      </c>
      <c r="E47" s="8">
        <v>93204</v>
      </c>
      <c r="F47" s="8">
        <v>0</v>
      </c>
      <c r="G47" s="32">
        <v>593147.29931616166</v>
      </c>
      <c r="H47" s="33">
        <f t="shared" si="1"/>
        <v>0</v>
      </c>
      <c r="I47" s="33">
        <f t="shared" si="2"/>
        <v>0.15713466133531201</v>
      </c>
      <c r="J47" s="31">
        <f t="shared" si="3"/>
        <v>0</v>
      </c>
      <c r="K47" s="63">
        <v>0</v>
      </c>
    </row>
    <row r="48" spans="1:15" x14ac:dyDescent="0.25">
      <c r="C48" s="7">
        <f>SUM(C40:C47)</f>
        <v>339496601.89999998</v>
      </c>
      <c r="D48" s="7">
        <f t="shared" ref="D48:G48" si="5">SUM(D40:D47)</f>
        <v>169524442.80000001</v>
      </c>
      <c r="E48" s="7">
        <f t="shared" si="5"/>
        <v>4660305</v>
      </c>
      <c r="F48" s="7">
        <f t="shared" si="5"/>
        <v>18939890</v>
      </c>
      <c r="G48" s="30">
        <f t="shared" si="5"/>
        <v>46074833.61868684</v>
      </c>
      <c r="H48" s="31">
        <f t="shared" si="1"/>
        <v>3.6793283770263034</v>
      </c>
      <c r="I48" s="31">
        <f t="shared" si="2"/>
        <v>0.1011464314460355</v>
      </c>
      <c r="J48" s="31">
        <f t="shared" ref="J48" si="6">+F48/$G48</f>
        <v>0.41106800638165381</v>
      </c>
    </row>
    <row r="49" spans="1:10" x14ac:dyDescent="0.25">
      <c r="J49" s="27"/>
    </row>
    <row r="50" spans="1:10" ht="26.25" x14ac:dyDescent="0.25">
      <c r="D50" s="4" t="s">
        <v>5</v>
      </c>
      <c r="E50" s="4" t="s">
        <v>3</v>
      </c>
      <c r="F50" s="4" t="s">
        <v>4</v>
      </c>
      <c r="J50" s="27"/>
    </row>
    <row r="51" spans="1:10" x14ac:dyDescent="0.25">
      <c r="A51" s="2" t="s">
        <v>1</v>
      </c>
      <c r="J51" s="27"/>
    </row>
    <row r="52" spans="1:10" x14ac:dyDescent="0.25">
      <c r="A52" s="6" t="s">
        <v>6</v>
      </c>
      <c r="D52" s="7">
        <v>167683938.68887091</v>
      </c>
      <c r="E52" s="7">
        <v>4660304.96529717</v>
      </c>
      <c r="F52" s="7">
        <v>18939888.830930006</v>
      </c>
      <c r="J52" s="27"/>
    </row>
    <row r="53" spans="1:10" x14ac:dyDescent="0.25">
      <c r="A53" s="5" t="s">
        <v>7</v>
      </c>
      <c r="D53" s="8">
        <v>1840503.8157089108</v>
      </c>
      <c r="E53" s="8"/>
      <c r="F53" s="8"/>
      <c r="J53" s="27"/>
    </row>
    <row r="54" spans="1:10" x14ac:dyDescent="0.25">
      <c r="A54" t="s">
        <v>8</v>
      </c>
      <c r="D54" s="7">
        <f>SUM(D52:D53)</f>
        <v>169524442.50457981</v>
      </c>
      <c r="E54" s="7">
        <f>SUM(E52:E53)</f>
        <v>4660304.96529717</v>
      </c>
      <c r="F54" s="7">
        <f t="shared" ref="F54" si="7">SUM(F52:F53)</f>
        <v>18939888.830930006</v>
      </c>
    </row>
    <row r="55" spans="1:10" x14ac:dyDescent="0.25">
      <c r="A55" s="3"/>
      <c r="D55" s="7"/>
      <c r="E55" s="7"/>
      <c r="G55" s="7"/>
    </row>
    <row r="56" spans="1:10" x14ac:dyDescent="0.25">
      <c r="A56" s="3" t="s">
        <v>2</v>
      </c>
      <c r="D56" s="7">
        <f>+D48-D54</f>
        <v>0.29542019963264465</v>
      </c>
      <c r="E56" s="7">
        <f t="shared" ref="E56:F56" si="8">+E48-E54</f>
        <v>3.4702830016613007E-2</v>
      </c>
      <c r="F56" s="7">
        <f t="shared" si="8"/>
        <v>1.1690699942409992</v>
      </c>
    </row>
    <row r="57" spans="1:10" x14ac:dyDescent="0.25">
      <c r="A57" s="3"/>
    </row>
    <row r="59" spans="1:10" x14ac:dyDescent="0.25">
      <c r="A59" s="50" t="s">
        <v>100</v>
      </c>
      <c r="D59" s="7">
        <f>+D40+D41+D42+D43+D45</f>
        <v>169524442.80000001</v>
      </c>
      <c r="E59" s="7"/>
      <c r="G59" s="30">
        <f>+G40+G41+G42+G43+G45</f>
        <v>32529295.096160796</v>
      </c>
      <c r="H59" s="31">
        <f t="shared" ref="H59" si="9">+D59/$G59</f>
        <v>5.2114391750225106</v>
      </c>
    </row>
  </sheetData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0"/>
  <sheetViews>
    <sheetView view="pageBreakPreview" zoomScaleNormal="100" zoomScaleSheetLayoutView="100" workbookViewId="0">
      <selection activeCell="A23" sqref="A23"/>
    </sheetView>
  </sheetViews>
  <sheetFormatPr defaultRowHeight="12.75" x14ac:dyDescent="0.2"/>
  <cols>
    <col min="1" max="1" width="9.28515625" style="34" bestFit="1" customWidth="1"/>
    <col min="2" max="2" width="2.140625" style="34" customWidth="1"/>
    <col min="3" max="3" width="9.28515625" style="34" customWidth="1"/>
    <col min="4" max="4" width="1.5703125" style="34" customWidth="1"/>
    <col min="5" max="5" width="10" style="34" customWidth="1"/>
    <col min="6" max="6" width="10.140625" style="34" customWidth="1"/>
    <col min="7" max="7" width="11" style="34" customWidth="1"/>
    <col min="8" max="8" width="9.42578125" style="34" customWidth="1"/>
    <col min="9" max="9" width="8.7109375" style="34" bestFit="1" customWidth="1"/>
    <col min="10" max="10" width="8.28515625" style="34" customWidth="1"/>
    <col min="11" max="11" width="7.42578125" style="34" customWidth="1"/>
    <col min="12" max="12" width="11.5703125" style="34" customWidth="1"/>
    <col min="13" max="14" width="12" style="34" customWidth="1"/>
    <col min="15" max="18" width="4.85546875" style="34" customWidth="1"/>
    <col min="19" max="20" width="9.140625" style="34"/>
    <col min="21" max="21" width="9.5703125" style="34" bestFit="1" customWidth="1"/>
    <col min="22" max="25" width="9.140625" style="34"/>
    <col min="26" max="26" width="9.5703125" style="34" bestFit="1" customWidth="1"/>
    <col min="27" max="16384" width="9.140625" style="34"/>
  </cols>
  <sheetData>
    <row r="1" spans="1:28" x14ac:dyDescent="0.2">
      <c r="A1" s="97" t="str">
        <f>+'Rate Case Constants'!C9</f>
        <v>LOUISVILLE GAS AND ELECTRIC COMPANY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28" x14ac:dyDescent="0.2">
      <c r="A2" s="97" t="str">
        <f>+'Rate Case Constants'!C10</f>
        <v>CASE NO. 2014-00372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28" x14ac:dyDescent="0.2">
      <c r="A3" s="98" t="str">
        <f>+'Rate Case Constants'!C24</f>
        <v>Typical Gas Bill Comparison under Present &amp; Proposed Rates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</row>
    <row r="4" spans="1:28" x14ac:dyDescent="0.2">
      <c r="A4" s="97" t="str">
        <f>+'Rate Case Constants'!C21</f>
        <v>FORECAST PERIOD FOR THE 12 MONTHS ENDED JUNE 30, 2016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</row>
    <row r="6" spans="1:28" x14ac:dyDescent="0.2">
      <c r="A6" s="68"/>
      <c r="B6" s="68"/>
      <c r="C6" s="68"/>
    </row>
    <row r="7" spans="1:28" x14ac:dyDescent="0.2">
      <c r="A7" s="34" t="str">
        <f>+'Rate Case Constants'!C33</f>
        <v>DATA: ____BASE PERIOD__X___FORECASTED PERIOD</v>
      </c>
      <c r="N7" s="59" t="str">
        <f>+'Rate Case Constants'!C25</f>
        <v>SCHEDULE N (Gas)</v>
      </c>
    </row>
    <row r="8" spans="1:28" x14ac:dyDescent="0.2">
      <c r="A8" s="34" t="str">
        <f>+'Rate Case Constants'!C29</f>
        <v>TYPE OF FILING: __X__ ORIGINAL  _____ UPDATED  _____ REVISED</v>
      </c>
      <c r="N8" s="60" t="str">
        <f>+'Rate Case Constants'!I14</f>
        <v>PAGE 7 OF 9</v>
      </c>
    </row>
    <row r="9" spans="1:28" x14ac:dyDescent="0.2">
      <c r="A9" s="34" t="str">
        <f>+'Rate Case Constants'!C34</f>
        <v>WORKPAPER REFERENCE NO(S):________</v>
      </c>
      <c r="N9" s="59" t="str">
        <f>+'Rate Case Constants'!C37</f>
        <v>WITNESS:   R. M. CONROY</v>
      </c>
    </row>
    <row r="10" spans="1:28" x14ac:dyDescent="0.2">
      <c r="N10" s="59"/>
      <c r="S10" s="26" t="s">
        <v>37</v>
      </c>
      <c r="T10" s="22">
        <f>+INPUT!H59</f>
        <v>5.2114391750225106</v>
      </c>
      <c r="U10" s="22"/>
      <c r="V10" s="35" t="s">
        <v>101</v>
      </c>
      <c r="W10" s="35"/>
      <c r="X10" s="35"/>
      <c r="Y10" s="35"/>
      <c r="Z10" s="35"/>
      <c r="AA10" s="35"/>
      <c r="AB10" s="35"/>
    </row>
    <row r="11" spans="1:28" x14ac:dyDescent="0.2">
      <c r="A11" s="54" t="s">
        <v>65</v>
      </c>
      <c r="B11" s="54"/>
      <c r="C11" s="54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6"/>
      <c r="P11" s="56"/>
      <c r="Q11" s="56"/>
      <c r="R11" s="56"/>
      <c r="S11" s="57" t="s">
        <v>34</v>
      </c>
      <c r="T11" s="58">
        <f>+INPUT!I42</f>
        <v>0</v>
      </c>
      <c r="U11" s="75"/>
      <c r="V11" s="17"/>
      <c r="W11" s="17"/>
      <c r="X11" s="23"/>
      <c r="Y11" s="17"/>
      <c r="Z11" s="17"/>
      <c r="AA11" s="17"/>
      <c r="AB11" s="35"/>
    </row>
    <row r="12" spans="1:28" x14ac:dyDescent="0.2">
      <c r="A12" s="17" t="s">
        <v>59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S12" s="26" t="s">
        <v>38</v>
      </c>
      <c r="T12" s="22">
        <v>0</v>
      </c>
      <c r="U12" s="22"/>
      <c r="V12" s="17"/>
      <c r="W12" s="17"/>
      <c r="X12" s="17"/>
      <c r="Y12" s="17"/>
      <c r="Z12" s="17"/>
      <c r="AA12" s="17"/>
      <c r="AB12" s="35"/>
    </row>
    <row r="13" spans="1:28" x14ac:dyDescent="0.2">
      <c r="A13" s="17"/>
      <c r="B13" s="17"/>
      <c r="C13" s="17"/>
      <c r="D13" s="17"/>
      <c r="E13" s="18" t="s">
        <v>107</v>
      </c>
      <c r="F13" s="19" t="s">
        <v>115</v>
      </c>
      <c r="G13" s="19" t="s">
        <v>108</v>
      </c>
      <c r="H13" s="18" t="s">
        <v>109</v>
      </c>
      <c r="I13" s="18" t="s">
        <v>110</v>
      </c>
      <c r="J13" s="18" t="s">
        <v>111</v>
      </c>
      <c r="K13" s="19" t="s">
        <v>116</v>
      </c>
      <c r="L13" s="18" t="s">
        <v>112</v>
      </c>
      <c r="M13" s="18" t="s">
        <v>113</v>
      </c>
      <c r="N13" s="18" t="s">
        <v>114</v>
      </c>
      <c r="S13" s="17"/>
      <c r="T13" s="17"/>
      <c r="U13" s="17"/>
      <c r="V13" s="17"/>
      <c r="W13" s="17"/>
      <c r="X13" s="17"/>
      <c r="Y13" s="17"/>
      <c r="Z13" s="17"/>
      <c r="AA13" s="17"/>
      <c r="AB13" s="35"/>
    </row>
    <row r="14" spans="1:28" x14ac:dyDescent="0.2">
      <c r="A14" s="35"/>
      <c r="B14" s="35"/>
      <c r="C14" s="35"/>
      <c r="D14" s="35"/>
      <c r="E14" s="91" t="s">
        <v>136</v>
      </c>
      <c r="F14" s="91" t="s">
        <v>136</v>
      </c>
      <c r="G14" s="35"/>
      <c r="H14" s="35"/>
      <c r="I14" s="35"/>
      <c r="J14" s="35"/>
      <c r="K14" s="35"/>
      <c r="L14" s="18" t="s">
        <v>29</v>
      </c>
      <c r="M14" s="18" t="s">
        <v>29</v>
      </c>
      <c r="N14" s="35"/>
      <c r="S14" s="24" t="s">
        <v>0</v>
      </c>
      <c r="T14" s="24"/>
      <c r="U14" s="24"/>
      <c r="V14" s="24"/>
      <c r="W14" s="35"/>
      <c r="X14" s="24" t="s">
        <v>28</v>
      </c>
      <c r="Y14" s="24"/>
      <c r="Z14" s="24"/>
      <c r="AA14" s="24"/>
      <c r="AB14" s="35"/>
    </row>
    <row r="15" spans="1:28" x14ac:dyDescent="0.2">
      <c r="A15" s="35"/>
      <c r="B15" s="35"/>
      <c r="C15" s="35"/>
      <c r="D15" s="35"/>
      <c r="E15" s="18" t="s">
        <v>24</v>
      </c>
      <c r="F15" s="18" t="s">
        <v>30</v>
      </c>
      <c r="G15" s="18"/>
      <c r="H15" s="18"/>
      <c r="I15" s="95" t="s">
        <v>31</v>
      </c>
      <c r="J15" s="95"/>
      <c r="K15" s="96"/>
      <c r="L15" s="18" t="s">
        <v>24</v>
      </c>
      <c r="M15" s="18" t="s">
        <v>30</v>
      </c>
      <c r="N15" s="18"/>
      <c r="S15" s="19" t="s">
        <v>40</v>
      </c>
      <c r="T15" s="18"/>
      <c r="U15" s="18"/>
      <c r="V15" s="19"/>
      <c r="W15" s="35"/>
      <c r="X15" s="19" t="s">
        <v>40</v>
      </c>
      <c r="Y15" s="18"/>
      <c r="Z15" s="18"/>
      <c r="AA15" s="19"/>
      <c r="AB15" s="35"/>
    </row>
    <row r="16" spans="1:28" x14ac:dyDescent="0.2">
      <c r="A16" s="18"/>
      <c r="B16" s="18"/>
      <c r="C16" s="18"/>
      <c r="D16" s="18"/>
      <c r="E16" s="18" t="s">
        <v>32</v>
      </c>
      <c r="F16" s="18" t="s">
        <v>32</v>
      </c>
      <c r="G16" s="18" t="s">
        <v>33</v>
      </c>
      <c r="H16" s="18" t="s">
        <v>33</v>
      </c>
      <c r="I16" s="18" t="s">
        <v>37</v>
      </c>
      <c r="J16" s="18" t="s">
        <v>34</v>
      </c>
      <c r="K16" s="18" t="s">
        <v>38</v>
      </c>
      <c r="L16" s="18" t="s">
        <v>32</v>
      </c>
      <c r="M16" s="18" t="s">
        <v>32</v>
      </c>
      <c r="N16" s="18" t="s">
        <v>33</v>
      </c>
      <c r="S16" s="19" t="s">
        <v>41</v>
      </c>
      <c r="T16" s="18" t="s">
        <v>137</v>
      </c>
      <c r="U16" s="18" t="s">
        <v>130</v>
      </c>
      <c r="V16" s="19" t="s">
        <v>29</v>
      </c>
      <c r="W16" s="35"/>
      <c r="X16" s="19" t="s">
        <v>41</v>
      </c>
      <c r="Y16" s="18" t="s">
        <v>137</v>
      </c>
      <c r="Z16" s="18" t="s">
        <v>130</v>
      </c>
      <c r="AA16" s="19" t="s">
        <v>29</v>
      </c>
      <c r="AB16" s="35"/>
    </row>
    <row r="17" spans="1:28" x14ac:dyDescent="0.2">
      <c r="A17" s="18" t="s">
        <v>39</v>
      </c>
      <c r="B17" s="18"/>
      <c r="C17" s="18" t="s">
        <v>132</v>
      </c>
      <c r="D17" s="18"/>
      <c r="E17" s="18"/>
      <c r="F17" s="18"/>
      <c r="G17" s="18" t="s">
        <v>35</v>
      </c>
      <c r="H17" s="19" t="s">
        <v>36</v>
      </c>
      <c r="I17" s="20"/>
      <c r="J17" s="20"/>
      <c r="K17" s="21"/>
      <c r="L17" s="18" t="s">
        <v>35</v>
      </c>
      <c r="M17" s="18" t="s">
        <v>35</v>
      </c>
      <c r="N17" s="19" t="s">
        <v>36</v>
      </c>
      <c r="S17" s="40" t="s">
        <v>44</v>
      </c>
      <c r="T17" s="41" t="s">
        <v>44</v>
      </c>
      <c r="U17" s="73" t="s">
        <v>44</v>
      </c>
      <c r="V17" s="40" t="s">
        <v>32</v>
      </c>
      <c r="W17" s="35"/>
      <c r="X17" s="40" t="s">
        <v>44</v>
      </c>
      <c r="Y17" s="41" t="s">
        <v>44</v>
      </c>
      <c r="Z17" s="73" t="s">
        <v>44</v>
      </c>
      <c r="AA17" s="40" t="s">
        <v>32</v>
      </c>
      <c r="AB17" s="35"/>
    </row>
    <row r="18" spans="1:28" x14ac:dyDescent="0.2">
      <c r="A18" s="18"/>
      <c r="B18" s="18"/>
      <c r="C18" s="18"/>
      <c r="D18" s="18"/>
      <c r="E18" s="18"/>
      <c r="F18" s="18"/>
      <c r="G18" s="18" t="str">
        <f>("[ "&amp;F13&amp;" - "&amp;E13&amp;" ]")</f>
        <v>[ B - A ]</v>
      </c>
      <c r="H18" s="18" t="str">
        <f>("[ "&amp;G13&amp;" / "&amp;E13&amp;" ]")</f>
        <v>[ C / A ]</v>
      </c>
      <c r="I18" s="20"/>
      <c r="J18" s="20"/>
      <c r="K18" s="20"/>
      <c r="L18" s="19" t="str">
        <f>("["&amp;E13&amp;"+"&amp;$I$13&amp;"+"&amp;$J$13&amp;"+"&amp;$K$13&amp;"]")</f>
        <v>[A+E+F+G]</v>
      </c>
      <c r="M18" s="18" t="str">
        <f>("["&amp;F13&amp;"+"&amp;$I$13&amp;"+"&amp;$J$13&amp;"+"&amp;$K$13&amp;"]")</f>
        <v>[B+E+F+G]</v>
      </c>
      <c r="N18" s="18" t="str">
        <f>("[("&amp;M13&amp;" - "&amp;L13&amp;") / "&amp;L13&amp;"]")</f>
        <v>[(I - H) / H]</v>
      </c>
      <c r="S18" s="19"/>
      <c r="T18" s="25">
        <f>+INPUT!$G$9</f>
        <v>0.3095</v>
      </c>
      <c r="U18" s="25">
        <f>+INPUT!$G$12</f>
        <v>11.402000000000001</v>
      </c>
      <c r="V18" s="19"/>
      <c r="W18" s="35"/>
      <c r="X18" s="19"/>
      <c r="Y18" s="25">
        <f>+INPUT!$G$27</f>
        <v>0.34539999999999998</v>
      </c>
      <c r="Z18" s="25">
        <f>+INPUT!$G$30</f>
        <v>11.685</v>
      </c>
      <c r="AA18" s="19"/>
      <c r="AB18" s="35"/>
    </row>
    <row r="19" spans="1:28" x14ac:dyDescent="0.2">
      <c r="A19" s="18"/>
      <c r="B19" s="18"/>
      <c r="C19" s="18"/>
      <c r="D19" s="18"/>
      <c r="E19" s="18"/>
      <c r="F19" s="18"/>
      <c r="H19" s="18"/>
      <c r="I19" s="18"/>
      <c r="J19" s="18"/>
      <c r="K19" s="18"/>
      <c r="L19" s="19"/>
      <c r="M19" s="19"/>
      <c r="N19" s="19"/>
      <c r="S19" s="19"/>
      <c r="T19" s="19" t="s">
        <v>138</v>
      </c>
      <c r="U19" s="18" t="s">
        <v>131</v>
      </c>
      <c r="V19" s="19"/>
      <c r="W19" s="35"/>
      <c r="X19" s="19"/>
      <c r="Y19" s="19" t="s">
        <v>138</v>
      </c>
      <c r="Z19" s="18" t="s">
        <v>131</v>
      </c>
      <c r="AA19" s="19"/>
      <c r="AB19" s="35"/>
    </row>
    <row r="20" spans="1:28" x14ac:dyDescent="0.2">
      <c r="A20" s="62">
        <v>3</v>
      </c>
      <c r="B20" s="62"/>
      <c r="C20" s="62">
        <v>48</v>
      </c>
      <c r="E20" s="36">
        <f>+V20</f>
        <v>583.2299999999999</v>
      </c>
      <c r="F20" s="36">
        <f>+AA20</f>
        <v>601.91999999999996</v>
      </c>
      <c r="G20" s="36">
        <f>+F20-E20</f>
        <v>18.690000000000055</v>
      </c>
      <c r="H20" s="37">
        <f>ROUND(+G20/E20,4)</f>
        <v>3.2000000000000001E-2</v>
      </c>
      <c r="I20" s="36">
        <f>ROUND($A20*$T$10,2)</f>
        <v>15.63</v>
      </c>
      <c r="J20" s="36">
        <f>ROUND($A20*$T$11,2)</f>
        <v>0</v>
      </c>
      <c r="K20" s="36">
        <f>ROUND($A20*$T$12,2)</f>
        <v>0</v>
      </c>
      <c r="L20" s="36">
        <f>+E20+I20+J20+K20</f>
        <v>598.8599999999999</v>
      </c>
      <c r="M20" s="36">
        <f>+F20+I20+J20+K20</f>
        <v>617.54999999999995</v>
      </c>
      <c r="N20" s="37">
        <f>ROUND((M20-L20)/L20,4)</f>
        <v>3.1199999999999999E-2</v>
      </c>
      <c r="S20" s="38">
        <f>+INPUT!$G$6</f>
        <v>35</v>
      </c>
      <c r="T20" s="38">
        <f>ROUND($T$18*$A20,2)</f>
        <v>0.93</v>
      </c>
      <c r="U20" s="38">
        <f>ROUND($U$18*$C20,2)</f>
        <v>547.29999999999995</v>
      </c>
      <c r="V20" s="38">
        <f>SUM(S20:U20)</f>
        <v>583.2299999999999</v>
      </c>
      <c r="X20" s="38">
        <f>+INPUT!$G$24</f>
        <v>40</v>
      </c>
      <c r="Y20" s="38">
        <f>ROUND($Y$18*$A20,2)</f>
        <v>1.04</v>
      </c>
      <c r="Z20" s="38">
        <f>ROUND($Z$18*$C20,2)</f>
        <v>560.88</v>
      </c>
      <c r="AA20" s="38">
        <f>SUM(X20:Z20)</f>
        <v>601.91999999999996</v>
      </c>
    </row>
    <row r="21" spans="1:28" x14ac:dyDescent="0.2">
      <c r="A21" s="62"/>
      <c r="B21" s="62"/>
      <c r="C21" s="62"/>
      <c r="E21" s="35"/>
      <c r="F21" s="35"/>
      <c r="L21" s="35"/>
      <c r="M21" s="35"/>
      <c r="N21" s="35"/>
    </row>
    <row r="22" spans="1:28" x14ac:dyDescent="0.2">
      <c r="A22" s="62">
        <v>5</v>
      </c>
      <c r="B22" s="62"/>
      <c r="C22" s="62">
        <v>48</v>
      </c>
      <c r="E22" s="36">
        <f>+V22</f>
        <v>583.84999999999991</v>
      </c>
      <c r="F22" s="36">
        <f>+AA22</f>
        <v>602.61</v>
      </c>
      <c r="G22" s="36">
        <f>+F22-E22</f>
        <v>18.760000000000105</v>
      </c>
      <c r="H22" s="37">
        <f>ROUND(+G22/E22,4)</f>
        <v>3.2099999999999997E-2</v>
      </c>
      <c r="I22" s="36">
        <f>ROUND($A22*$T$10,2)</f>
        <v>26.06</v>
      </c>
      <c r="J22" s="36">
        <f>ROUND($A22*$T$11,2)</f>
        <v>0</v>
      </c>
      <c r="K22" s="36">
        <f>ROUND($A22*$T$12,2)</f>
        <v>0</v>
      </c>
      <c r="L22" s="36">
        <f>+E22+I22+J22+K22</f>
        <v>609.90999999999985</v>
      </c>
      <c r="M22" s="36">
        <f>+F22+I22+J22+K22</f>
        <v>628.66999999999996</v>
      </c>
      <c r="N22" s="37">
        <f>ROUND((M22-L22)/L22,4)</f>
        <v>3.0800000000000001E-2</v>
      </c>
      <c r="S22" s="38">
        <f>+$S$20</f>
        <v>35</v>
      </c>
      <c r="T22" s="38">
        <f>ROUND($T$18*$A22,2)</f>
        <v>1.55</v>
      </c>
      <c r="U22" s="38">
        <f>ROUND($U$18*$C22,2)</f>
        <v>547.29999999999995</v>
      </c>
      <c r="V22" s="38">
        <f>SUM(S22:U22)</f>
        <v>583.84999999999991</v>
      </c>
      <c r="X22" s="38">
        <f>+$X$20</f>
        <v>40</v>
      </c>
      <c r="Y22" s="38">
        <f>ROUND($Y$18*$A22,2)</f>
        <v>1.73</v>
      </c>
      <c r="Z22" s="38">
        <f>ROUND($Z$18*$C22,2)</f>
        <v>560.88</v>
      </c>
      <c r="AA22" s="38">
        <f>SUM(X22:Z22)</f>
        <v>602.61</v>
      </c>
    </row>
    <row r="23" spans="1:28" x14ac:dyDescent="0.2">
      <c r="A23" s="62"/>
      <c r="B23" s="62"/>
      <c r="C23" s="62"/>
      <c r="E23" s="36"/>
      <c r="F23" s="36"/>
      <c r="L23" s="36"/>
      <c r="M23" s="36"/>
      <c r="N23" s="37"/>
    </row>
    <row r="24" spans="1:28" x14ac:dyDescent="0.2">
      <c r="A24" s="62">
        <v>10</v>
      </c>
      <c r="B24" s="62"/>
      <c r="C24" s="62">
        <v>48</v>
      </c>
      <c r="E24" s="36">
        <f>+V24</f>
        <v>585.4</v>
      </c>
      <c r="F24" s="36">
        <f>+AA24</f>
        <v>604.33000000000004</v>
      </c>
      <c r="G24" s="36">
        <f>+F24-E24</f>
        <v>18.930000000000064</v>
      </c>
      <c r="H24" s="37">
        <f>ROUND(+G24/E24,4)</f>
        <v>3.2300000000000002E-2</v>
      </c>
      <c r="I24" s="36">
        <f>ROUND($A24*$T$10,2)</f>
        <v>52.11</v>
      </c>
      <c r="J24" s="36">
        <f>ROUND($A24*$T$11,2)</f>
        <v>0</v>
      </c>
      <c r="K24" s="36">
        <f>ROUND($A24*$T$12,2)</f>
        <v>0</v>
      </c>
      <c r="L24" s="36">
        <f>+E24+I24+J24+K24</f>
        <v>637.51</v>
      </c>
      <c r="M24" s="36">
        <f>+F24+I24+J24+K24</f>
        <v>656.44</v>
      </c>
      <c r="N24" s="37">
        <f>ROUND((M24-L24)/L24,4)</f>
        <v>2.9700000000000001E-2</v>
      </c>
      <c r="S24" s="38">
        <f>+$S$20</f>
        <v>35</v>
      </c>
      <c r="T24" s="38">
        <f>ROUND($T$18*$A24,2)</f>
        <v>3.1</v>
      </c>
      <c r="U24" s="38">
        <f>ROUND($U$18*$C24,2)</f>
        <v>547.29999999999995</v>
      </c>
      <c r="V24" s="38">
        <f>SUM(S24:U24)</f>
        <v>585.4</v>
      </c>
      <c r="X24" s="38">
        <f>+$X$20</f>
        <v>40</v>
      </c>
      <c r="Y24" s="38">
        <f>ROUND($Y$18*$A24,2)</f>
        <v>3.45</v>
      </c>
      <c r="Z24" s="38">
        <f>ROUND($Z$18*$C24,2)</f>
        <v>560.88</v>
      </c>
      <c r="AA24" s="38">
        <f>SUM(X24:Z24)</f>
        <v>604.33000000000004</v>
      </c>
    </row>
    <row r="25" spans="1:28" x14ac:dyDescent="0.2">
      <c r="A25" s="62"/>
      <c r="B25" s="62"/>
      <c r="C25" s="62"/>
      <c r="E25" s="35"/>
      <c r="F25" s="35"/>
      <c r="L25" s="35"/>
      <c r="M25" s="35"/>
      <c r="N25" s="35"/>
    </row>
    <row r="26" spans="1:28" x14ac:dyDescent="0.2">
      <c r="A26" s="62">
        <v>20</v>
      </c>
      <c r="B26" s="62"/>
      <c r="C26" s="62">
        <v>48</v>
      </c>
      <c r="E26" s="39">
        <f>+V26</f>
        <v>588.49</v>
      </c>
      <c r="F26" s="39">
        <f>+AA26</f>
        <v>607.79</v>
      </c>
      <c r="G26" s="36">
        <f>+F26-E26</f>
        <v>19.299999999999955</v>
      </c>
      <c r="H26" s="37">
        <f>ROUND(+G26/E26,4)</f>
        <v>3.2800000000000003E-2</v>
      </c>
      <c r="I26" s="36">
        <f>ROUND($A26*$T$10,2)</f>
        <v>104.23</v>
      </c>
      <c r="J26" s="36">
        <f>ROUND($A26*$T$11,2)</f>
        <v>0</v>
      </c>
      <c r="K26" s="36">
        <f>ROUND($A26*$T$12,2)</f>
        <v>0</v>
      </c>
      <c r="L26" s="39">
        <f>+E26+I26+J26+K26</f>
        <v>692.72</v>
      </c>
      <c r="M26" s="39">
        <f>+F26+I26+J26+K26</f>
        <v>712.02</v>
      </c>
      <c r="N26" s="37">
        <f>ROUND((M26-L26)/L26,4)</f>
        <v>2.7900000000000001E-2</v>
      </c>
      <c r="S26" s="38">
        <f>+$S$20</f>
        <v>35</v>
      </c>
      <c r="T26" s="38">
        <f>ROUND($T$18*$A26,2)</f>
        <v>6.19</v>
      </c>
      <c r="U26" s="38">
        <f>ROUND($U$18*$C26,2)</f>
        <v>547.29999999999995</v>
      </c>
      <c r="V26" s="38">
        <f>SUM(S26:U26)</f>
        <v>588.49</v>
      </c>
      <c r="X26" s="38">
        <f>+$X$20</f>
        <v>40</v>
      </c>
      <c r="Y26" s="38">
        <f>ROUND($Y$18*$A26,2)</f>
        <v>6.91</v>
      </c>
      <c r="Z26" s="38">
        <f>ROUND($Z$18*$C26,2)</f>
        <v>560.88</v>
      </c>
      <c r="AA26" s="38">
        <f>SUM(X26:Z26)</f>
        <v>607.79</v>
      </c>
    </row>
    <row r="27" spans="1:28" x14ac:dyDescent="0.2">
      <c r="A27" s="62"/>
      <c r="B27" s="62"/>
      <c r="C27" s="62"/>
      <c r="E27" s="35"/>
      <c r="F27" s="35"/>
      <c r="L27" s="35"/>
      <c r="M27" s="35"/>
      <c r="N27" s="35"/>
    </row>
    <row r="28" spans="1:28" x14ac:dyDescent="0.2">
      <c r="A28" s="62">
        <v>40</v>
      </c>
      <c r="B28" s="62"/>
      <c r="C28" s="62">
        <v>48</v>
      </c>
      <c r="E28" s="36">
        <f>+V28</f>
        <v>594.67999999999995</v>
      </c>
      <c r="F28" s="36">
        <f>+AA28</f>
        <v>614.70000000000005</v>
      </c>
      <c r="G28" s="36">
        <f>+F28-E28</f>
        <v>20.020000000000095</v>
      </c>
      <c r="H28" s="37">
        <f>ROUND(+G28/E28,4)</f>
        <v>3.3700000000000001E-2</v>
      </c>
      <c r="I28" s="36">
        <f>ROUND($A28*$T$10,2)</f>
        <v>208.46</v>
      </c>
      <c r="J28" s="36">
        <f>ROUND($A28*$T$11,2)</f>
        <v>0</v>
      </c>
      <c r="K28" s="36">
        <f>ROUND($A28*$T$12,2)</f>
        <v>0</v>
      </c>
      <c r="L28" s="36">
        <f>+E28+I28+J28+K28</f>
        <v>803.14</v>
      </c>
      <c r="M28" s="36">
        <f>+F28+I28+J28+K28</f>
        <v>823.16000000000008</v>
      </c>
      <c r="N28" s="37">
        <f>ROUND((M28-L28)/L28,4)</f>
        <v>2.4899999999999999E-2</v>
      </c>
      <c r="S28" s="38">
        <f>+$S$20</f>
        <v>35</v>
      </c>
      <c r="T28" s="38">
        <f>ROUND($T$18*$A28,2)</f>
        <v>12.38</v>
      </c>
      <c r="U28" s="38">
        <f>ROUND($U$18*$C28,2)</f>
        <v>547.29999999999995</v>
      </c>
      <c r="V28" s="38">
        <f>SUM(S28:U28)</f>
        <v>594.67999999999995</v>
      </c>
      <c r="X28" s="38">
        <f>+$X$20</f>
        <v>40</v>
      </c>
      <c r="Y28" s="38">
        <f>ROUND($Y$18*$A28,2)</f>
        <v>13.82</v>
      </c>
      <c r="Z28" s="38">
        <f>ROUND($Z$18*$C28,2)</f>
        <v>560.88</v>
      </c>
      <c r="AA28" s="38">
        <f>SUM(X28:Z28)</f>
        <v>614.70000000000005</v>
      </c>
    </row>
    <row r="29" spans="1:28" x14ac:dyDescent="0.2">
      <c r="A29" s="62"/>
      <c r="B29" s="62"/>
      <c r="C29" s="62"/>
      <c r="E29" s="35"/>
      <c r="F29" s="35"/>
      <c r="L29" s="35"/>
      <c r="M29" s="35"/>
      <c r="N29" s="35"/>
    </row>
    <row r="30" spans="1:28" x14ac:dyDescent="0.2">
      <c r="A30" s="62">
        <v>60</v>
      </c>
      <c r="B30" s="62"/>
      <c r="C30" s="62">
        <v>48</v>
      </c>
      <c r="E30" s="36">
        <f>+V30</f>
        <v>600.87</v>
      </c>
      <c r="F30" s="36">
        <f>+AA30</f>
        <v>621.6</v>
      </c>
      <c r="G30" s="36">
        <f>+F30-E30</f>
        <v>20.730000000000018</v>
      </c>
      <c r="H30" s="37">
        <f>ROUND(+G30/E30,4)</f>
        <v>3.4500000000000003E-2</v>
      </c>
      <c r="I30" s="36">
        <f>ROUND($A30*$T$10,2)</f>
        <v>312.69</v>
      </c>
      <c r="J30" s="36">
        <f>ROUND($A30*$T$11,2)</f>
        <v>0</v>
      </c>
      <c r="K30" s="36">
        <f>ROUND($A30*$T$12,2)</f>
        <v>0</v>
      </c>
      <c r="L30" s="36">
        <f>+E30+I30+J30+K30</f>
        <v>913.56</v>
      </c>
      <c r="M30" s="36">
        <f>+F30+I30+J30+K30</f>
        <v>934.29</v>
      </c>
      <c r="N30" s="37">
        <f>ROUND((M30-L30)/L30,4)</f>
        <v>2.2700000000000001E-2</v>
      </c>
      <c r="S30" s="38">
        <f>+$S$20</f>
        <v>35</v>
      </c>
      <c r="T30" s="38">
        <f>ROUND($T$18*$A30,2)</f>
        <v>18.57</v>
      </c>
      <c r="U30" s="38">
        <f>ROUND($U$18*$C30,2)</f>
        <v>547.29999999999995</v>
      </c>
      <c r="V30" s="38">
        <f>SUM(S30:U30)</f>
        <v>600.87</v>
      </c>
      <c r="X30" s="38">
        <f>+$X$20</f>
        <v>40</v>
      </c>
      <c r="Y30" s="38">
        <f>ROUND($Y$18*$A30,2)</f>
        <v>20.72</v>
      </c>
      <c r="Z30" s="38">
        <f>ROUND($Z$18*$C30,2)</f>
        <v>560.88</v>
      </c>
      <c r="AA30" s="38">
        <f>SUM(X30:Z30)</f>
        <v>621.6</v>
      </c>
    </row>
    <row r="31" spans="1:28" x14ac:dyDescent="0.2">
      <c r="A31" s="62"/>
      <c r="B31" s="62"/>
      <c r="C31" s="62"/>
      <c r="E31" s="35"/>
      <c r="F31" s="35"/>
      <c r="L31" s="35"/>
      <c r="M31" s="35"/>
      <c r="N31" s="35"/>
    </row>
    <row r="32" spans="1:28" x14ac:dyDescent="0.2">
      <c r="A32" s="62">
        <v>80</v>
      </c>
      <c r="B32" s="62"/>
      <c r="C32" s="62">
        <v>48</v>
      </c>
      <c r="E32" s="36">
        <f>+V32</f>
        <v>607.05999999999995</v>
      </c>
      <c r="F32" s="36">
        <f>+AA32</f>
        <v>628.51</v>
      </c>
      <c r="G32" s="36">
        <f>+F32-E32</f>
        <v>21.450000000000045</v>
      </c>
      <c r="H32" s="37">
        <f>ROUND(+G32/E32,4)</f>
        <v>3.5299999999999998E-2</v>
      </c>
      <c r="I32" s="36">
        <f>ROUND($A32*$T$10,2)</f>
        <v>416.92</v>
      </c>
      <c r="J32" s="36">
        <f>ROUND($A32*$T$11,2)</f>
        <v>0</v>
      </c>
      <c r="K32" s="36">
        <f>ROUND($A32*$T$12,2)</f>
        <v>0</v>
      </c>
      <c r="L32" s="36">
        <f>+E32+I32+J32+K32</f>
        <v>1023.98</v>
      </c>
      <c r="M32" s="36">
        <f>+F32+I32+J32+K32</f>
        <v>1045.43</v>
      </c>
      <c r="N32" s="37">
        <f>ROUND((M32-L32)/L32,4)</f>
        <v>2.0899999999999998E-2</v>
      </c>
      <c r="S32" s="38">
        <f>+$S$20</f>
        <v>35</v>
      </c>
      <c r="T32" s="38">
        <f>ROUND($T$18*$A32,2)</f>
        <v>24.76</v>
      </c>
      <c r="U32" s="38">
        <f>ROUND($U$18*$C32,2)</f>
        <v>547.29999999999995</v>
      </c>
      <c r="V32" s="38">
        <f>SUM(S32:U32)</f>
        <v>607.05999999999995</v>
      </c>
      <c r="X32" s="38">
        <f>+$X$20</f>
        <v>40</v>
      </c>
      <c r="Y32" s="38">
        <f>ROUND($Y$18*$A32,2)</f>
        <v>27.63</v>
      </c>
      <c r="Z32" s="38">
        <f>ROUND($Z$18*$C32,2)</f>
        <v>560.88</v>
      </c>
      <c r="AA32" s="38">
        <f>SUM(X32:Z32)</f>
        <v>628.51</v>
      </c>
    </row>
    <row r="33" spans="1:27" x14ac:dyDescent="0.2">
      <c r="A33" s="62"/>
      <c r="B33" s="62"/>
      <c r="C33" s="62"/>
      <c r="E33" s="35"/>
      <c r="F33" s="35"/>
      <c r="L33" s="35"/>
      <c r="M33" s="35"/>
      <c r="N33" s="35"/>
    </row>
    <row r="34" spans="1:27" x14ac:dyDescent="0.2">
      <c r="A34" s="62">
        <v>100</v>
      </c>
      <c r="B34" s="62"/>
      <c r="C34" s="62">
        <v>48</v>
      </c>
      <c r="E34" s="36">
        <f>+V34</f>
        <v>613.25</v>
      </c>
      <c r="F34" s="36">
        <f>+AA34</f>
        <v>635.41999999999996</v>
      </c>
      <c r="G34" s="36">
        <f>+F34-E34</f>
        <v>22.169999999999959</v>
      </c>
      <c r="H34" s="37">
        <f>ROUND(+G34/E34,4)</f>
        <v>3.6200000000000003E-2</v>
      </c>
      <c r="I34" s="36">
        <f>ROUND($A34*$T$10,2)</f>
        <v>521.14</v>
      </c>
      <c r="J34" s="36">
        <f>ROUND($A34*$T$11,2)</f>
        <v>0</v>
      </c>
      <c r="K34" s="36">
        <f>ROUND($A34*$T$12,2)</f>
        <v>0</v>
      </c>
      <c r="L34" s="36">
        <f>+E34+I34+J34+K34</f>
        <v>1134.3899999999999</v>
      </c>
      <c r="M34" s="36">
        <f>+F34+I34+J34+K34</f>
        <v>1156.56</v>
      </c>
      <c r="N34" s="37">
        <f>ROUND((M34-L34)/L34,4)</f>
        <v>1.95E-2</v>
      </c>
      <c r="S34" s="38">
        <f>+$S$20</f>
        <v>35</v>
      </c>
      <c r="T34" s="38">
        <f>ROUND($T$18*$A34,2)</f>
        <v>30.95</v>
      </c>
      <c r="U34" s="38">
        <f>ROUND($U$18*$C34,2)</f>
        <v>547.29999999999995</v>
      </c>
      <c r="V34" s="38">
        <f>SUM(S34:U34)</f>
        <v>613.25</v>
      </c>
      <c r="X34" s="38">
        <f>+$X$20</f>
        <v>40</v>
      </c>
      <c r="Y34" s="38">
        <f>ROUND($Y$18*$A34,2)</f>
        <v>34.54</v>
      </c>
      <c r="Z34" s="38">
        <f>ROUND($Z$18*$C34,2)</f>
        <v>560.88</v>
      </c>
      <c r="AA34" s="38">
        <f>SUM(X34:Z34)</f>
        <v>635.41999999999996</v>
      </c>
    </row>
    <row r="35" spans="1:27" x14ac:dyDescent="0.2">
      <c r="L35" s="35"/>
      <c r="M35" s="35"/>
      <c r="N35" s="35"/>
    </row>
    <row r="36" spans="1:27" x14ac:dyDescent="0.2">
      <c r="A36" s="34" t="s">
        <v>125</v>
      </c>
      <c r="E36" s="61"/>
      <c r="F36" s="62"/>
      <c r="L36" s="36"/>
      <c r="M36" s="36"/>
      <c r="N36" s="37"/>
    </row>
    <row r="37" spans="1:27" x14ac:dyDescent="0.2">
      <c r="A37" s="65" t="str">
        <f>("Average usage = "&amp;INPUT!G17&amp;" Mcf per month")</f>
        <v>Average usage = 0 Mcf per month</v>
      </c>
      <c r="B37" s="65"/>
      <c r="C37" s="65"/>
      <c r="F37" s="34" t="s">
        <v>126</v>
      </c>
    </row>
    <row r="38" spans="1:27" x14ac:dyDescent="0.2">
      <c r="A38" s="67" t="s">
        <v>127</v>
      </c>
      <c r="B38" s="67"/>
      <c r="C38" s="67"/>
    </row>
    <row r="39" spans="1:27" x14ac:dyDescent="0.2">
      <c r="A39" s="67" t="s">
        <v>133</v>
      </c>
    </row>
    <row r="40" spans="1:27" x14ac:dyDescent="0.2">
      <c r="A40" s="84" t="str">
        <f>+'Rate Case Constants'!$C$26</f>
        <v>Calculations may vary from other schedules due to rounding</v>
      </c>
    </row>
  </sheetData>
  <mergeCells count="5">
    <mergeCell ref="I15:K15"/>
    <mergeCell ref="A1:N1"/>
    <mergeCell ref="A2:N2"/>
    <mergeCell ref="A3:N3"/>
    <mergeCell ref="A4:N4"/>
  </mergeCells>
  <printOptions horizontalCentered="1"/>
  <pageMargins left="0.7" right="0.7" top="0.75" bottom="0.75" header="0.3" footer="0.3"/>
  <pageSetup scale="9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0"/>
  <sheetViews>
    <sheetView view="pageBreakPreview" zoomScaleNormal="100" zoomScaleSheetLayoutView="100" workbookViewId="0">
      <selection activeCell="A23" sqref="A23"/>
    </sheetView>
  </sheetViews>
  <sheetFormatPr defaultRowHeight="12.75" x14ac:dyDescent="0.2"/>
  <cols>
    <col min="1" max="1" width="9.28515625" style="34" bestFit="1" customWidth="1"/>
    <col min="2" max="2" width="1.5703125" style="34" customWidth="1"/>
    <col min="3" max="3" width="9.28515625" style="34" customWidth="1"/>
    <col min="4" max="4" width="2" style="34" customWidth="1"/>
    <col min="5" max="5" width="10.140625" style="34" bestFit="1" customWidth="1"/>
    <col min="6" max="6" width="10.85546875" style="34" customWidth="1"/>
    <col min="7" max="8" width="12" style="34" customWidth="1"/>
    <col min="9" max="9" width="9.140625" style="34" bestFit="1" customWidth="1"/>
    <col min="10" max="11" width="7.28515625" style="34" customWidth="1"/>
    <col min="12" max="14" width="12" style="34" customWidth="1"/>
    <col min="15" max="18" width="3.140625" style="34" customWidth="1"/>
    <col min="19" max="20" width="9.140625" style="34"/>
    <col min="21" max="21" width="11" style="34" customWidth="1"/>
    <col min="22" max="22" width="10.7109375" style="34" customWidth="1"/>
    <col min="23" max="25" width="9.140625" style="34"/>
    <col min="26" max="26" width="10.140625" style="34" customWidth="1"/>
    <col min="27" max="16384" width="9.140625" style="34"/>
  </cols>
  <sheetData>
    <row r="1" spans="1:28" x14ac:dyDescent="0.2">
      <c r="A1" s="97" t="str">
        <f>+'Rate Case Constants'!C9</f>
        <v>LOUISVILLE GAS AND ELECTRIC COMPANY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28" x14ac:dyDescent="0.2">
      <c r="A2" s="97" t="str">
        <f>+'Rate Case Constants'!C10</f>
        <v>CASE NO. 2014-00372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28" x14ac:dyDescent="0.2">
      <c r="A3" s="98" t="str">
        <f>+'Rate Case Constants'!C24</f>
        <v>Typical Gas Bill Comparison under Present &amp; Proposed Rates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</row>
    <row r="4" spans="1:28" x14ac:dyDescent="0.2">
      <c r="A4" s="97" t="str">
        <f>+'Rate Case Constants'!C21</f>
        <v>FORECAST PERIOD FOR THE 12 MONTHS ENDED JUNE 30, 2016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</row>
    <row r="6" spans="1:28" x14ac:dyDescent="0.2">
      <c r="A6" s="68"/>
      <c r="B6" s="68"/>
      <c r="C6" s="68"/>
    </row>
    <row r="7" spans="1:28" x14ac:dyDescent="0.2">
      <c r="A7" s="34" t="str">
        <f>+'Rate Case Constants'!C33</f>
        <v>DATA: ____BASE PERIOD__X___FORECASTED PERIOD</v>
      </c>
      <c r="N7" s="59" t="str">
        <f>+'Rate Case Constants'!C25</f>
        <v>SCHEDULE N (Gas)</v>
      </c>
    </row>
    <row r="8" spans="1:28" x14ac:dyDescent="0.2">
      <c r="A8" s="34" t="str">
        <f>+'Rate Case Constants'!C29</f>
        <v>TYPE OF FILING: __X__ ORIGINAL  _____ UPDATED  _____ REVISED</v>
      </c>
      <c r="N8" s="60" t="str">
        <f>+'Rate Case Constants'!I15</f>
        <v>PAGE 8 OF 9</v>
      </c>
    </row>
    <row r="9" spans="1:28" x14ac:dyDescent="0.2">
      <c r="A9" s="34" t="str">
        <f>+'Rate Case Constants'!C34</f>
        <v>WORKPAPER REFERENCE NO(S):________</v>
      </c>
      <c r="N9" s="59" t="str">
        <f>+'Rate Case Constants'!C37</f>
        <v>WITNESS:   R. M. CONROY</v>
      </c>
    </row>
    <row r="10" spans="1:28" x14ac:dyDescent="0.2">
      <c r="N10" s="59"/>
      <c r="S10" s="26" t="s">
        <v>37</v>
      </c>
      <c r="T10" s="22">
        <f>+INPUT!H59</f>
        <v>5.2114391750225106</v>
      </c>
      <c r="U10" s="22"/>
      <c r="V10" s="35" t="s">
        <v>101</v>
      </c>
      <c r="W10" s="35"/>
      <c r="X10" s="35"/>
      <c r="Y10" s="35"/>
      <c r="Z10" s="35"/>
      <c r="AA10" s="35"/>
      <c r="AB10" s="35"/>
    </row>
    <row r="11" spans="1:28" x14ac:dyDescent="0.2">
      <c r="A11" s="54" t="s">
        <v>65</v>
      </c>
      <c r="B11" s="54"/>
      <c r="C11" s="54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6"/>
      <c r="P11" s="56"/>
      <c r="Q11" s="56"/>
      <c r="R11" s="56"/>
      <c r="S11" s="57" t="s">
        <v>34</v>
      </c>
      <c r="T11" s="58">
        <f>+INPUT!I42</f>
        <v>0</v>
      </c>
      <c r="U11" s="75"/>
      <c r="V11" s="17"/>
      <c r="W11" s="17"/>
      <c r="X11" s="23"/>
      <c r="Y11" s="17"/>
      <c r="Z11" s="17"/>
      <c r="AA11" s="17"/>
      <c r="AB11" s="35"/>
    </row>
    <row r="12" spans="1:28" x14ac:dyDescent="0.2">
      <c r="A12" s="17" t="s">
        <v>62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S12" s="26" t="s">
        <v>38</v>
      </c>
      <c r="T12" s="22">
        <v>0</v>
      </c>
      <c r="U12" s="22"/>
      <c r="V12" s="17"/>
      <c r="W12" s="17"/>
      <c r="X12" s="17"/>
      <c r="Y12" s="17"/>
      <c r="Z12" s="17"/>
      <c r="AA12" s="17"/>
      <c r="AB12" s="35"/>
    </row>
    <row r="13" spans="1:28" x14ac:dyDescent="0.2">
      <c r="A13" s="17"/>
      <c r="B13" s="17"/>
      <c r="C13" s="17"/>
      <c r="D13" s="17"/>
      <c r="E13" s="18" t="s">
        <v>107</v>
      </c>
      <c r="F13" s="19" t="s">
        <v>115</v>
      </c>
      <c r="G13" s="19" t="s">
        <v>108</v>
      </c>
      <c r="H13" s="18" t="s">
        <v>109</v>
      </c>
      <c r="I13" s="18" t="s">
        <v>110</v>
      </c>
      <c r="J13" s="18" t="s">
        <v>111</v>
      </c>
      <c r="K13" s="19" t="s">
        <v>116</v>
      </c>
      <c r="L13" s="18" t="s">
        <v>112</v>
      </c>
      <c r="M13" s="18" t="s">
        <v>113</v>
      </c>
      <c r="N13" s="18" t="s">
        <v>114</v>
      </c>
      <c r="S13" s="17"/>
      <c r="T13" s="17"/>
      <c r="U13" s="17"/>
      <c r="V13" s="17"/>
      <c r="W13" s="17"/>
      <c r="X13" s="17"/>
      <c r="Y13" s="17"/>
      <c r="Z13" s="17"/>
      <c r="AA13" s="17"/>
      <c r="AB13" s="35"/>
    </row>
    <row r="14" spans="1:28" x14ac:dyDescent="0.2">
      <c r="A14" s="35"/>
      <c r="B14" s="35"/>
      <c r="C14" s="35"/>
      <c r="D14" s="35"/>
      <c r="E14" s="91" t="s">
        <v>136</v>
      </c>
      <c r="F14" s="91" t="s">
        <v>136</v>
      </c>
      <c r="G14" s="35"/>
      <c r="H14" s="35"/>
      <c r="I14" s="35"/>
      <c r="J14" s="35"/>
      <c r="K14" s="35"/>
      <c r="L14" s="18" t="s">
        <v>29</v>
      </c>
      <c r="M14" s="18" t="s">
        <v>29</v>
      </c>
      <c r="N14" s="35"/>
      <c r="S14" s="24" t="s">
        <v>0</v>
      </c>
      <c r="T14" s="24"/>
      <c r="U14" s="24"/>
      <c r="V14" s="24"/>
      <c r="W14" s="35"/>
      <c r="X14" s="24" t="s">
        <v>28</v>
      </c>
      <c r="Y14" s="24"/>
      <c r="Z14" s="24"/>
      <c r="AA14" s="24"/>
      <c r="AB14" s="35"/>
    </row>
    <row r="15" spans="1:28" x14ac:dyDescent="0.2">
      <c r="A15" s="35"/>
      <c r="B15" s="35"/>
      <c r="C15" s="35"/>
      <c r="D15" s="35"/>
      <c r="E15" s="18" t="s">
        <v>24</v>
      </c>
      <c r="F15" s="18" t="s">
        <v>30</v>
      </c>
      <c r="G15" s="18"/>
      <c r="H15" s="18"/>
      <c r="I15" s="95" t="s">
        <v>31</v>
      </c>
      <c r="J15" s="95"/>
      <c r="K15" s="96"/>
      <c r="L15" s="18" t="s">
        <v>24</v>
      </c>
      <c r="M15" s="18" t="s">
        <v>30</v>
      </c>
      <c r="N15" s="18"/>
      <c r="S15" s="19" t="s">
        <v>40</v>
      </c>
      <c r="T15" s="18"/>
      <c r="U15" s="18"/>
      <c r="V15" s="19"/>
      <c r="W15" s="35"/>
      <c r="X15" s="19" t="s">
        <v>40</v>
      </c>
      <c r="Y15" s="18"/>
      <c r="Z15" s="18"/>
      <c r="AA15" s="19"/>
      <c r="AB15" s="35"/>
    </row>
    <row r="16" spans="1:28" x14ac:dyDescent="0.2">
      <c r="A16" s="18"/>
      <c r="B16" s="18"/>
      <c r="C16" s="18"/>
      <c r="D16" s="18"/>
      <c r="E16" s="18" t="s">
        <v>32</v>
      </c>
      <c r="F16" s="18" t="s">
        <v>32</v>
      </c>
      <c r="G16" s="18" t="s">
        <v>33</v>
      </c>
      <c r="H16" s="18" t="s">
        <v>33</v>
      </c>
      <c r="I16" s="18" t="s">
        <v>37</v>
      </c>
      <c r="J16" s="18" t="s">
        <v>34</v>
      </c>
      <c r="K16" s="18" t="s">
        <v>38</v>
      </c>
      <c r="L16" s="18" t="s">
        <v>32</v>
      </c>
      <c r="M16" s="18" t="s">
        <v>32</v>
      </c>
      <c r="N16" s="18" t="s">
        <v>33</v>
      </c>
      <c r="S16" s="19" t="s">
        <v>41</v>
      </c>
      <c r="T16" s="18" t="s">
        <v>137</v>
      </c>
      <c r="U16" s="18" t="s">
        <v>130</v>
      </c>
      <c r="V16" s="19" t="s">
        <v>29</v>
      </c>
      <c r="W16" s="35"/>
      <c r="X16" s="19" t="s">
        <v>41</v>
      </c>
      <c r="Y16" s="18" t="s">
        <v>137</v>
      </c>
      <c r="Z16" s="18" t="s">
        <v>130</v>
      </c>
      <c r="AA16" s="19" t="s">
        <v>29</v>
      </c>
      <c r="AB16" s="35"/>
    </row>
    <row r="17" spans="1:28" x14ac:dyDescent="0.2">
      <c r="A17" s="18" t="s">
        <v>39</v>
      </c>
      <c r="B17" s="18"/>
      <c r="C17" s="18" t="s">
        <v>132</v>
      </c>
      <c r="D17" s="18"/>
      <c r="E17" s="18"/>
      <c r="F17" s="18"/>
      <c r="G17" s="18" t="s">
        <v>35</v>
      </c>
      <c r="H17" s="19" t="s">
        <v>36</v>
      </c>
      <c r="I17" s="20"/>
      <c r="J17" s="20"/>
      <c r="K17" s="21"/>
      <c r="L17" s="18" t="s">
        <v>35</v>
      </c>
      <c r="M17" s="18" t="s">
        <v>35</v>
      </c>
      <c r="N17" s="19" t="s">
        <v>36</v>
      </c>
      <c r="S17" s="40" t="s">
        <v>44</v>
      </c>
      <c r="T17" s="41" t="s">
        <v>44</v>
      </c>
      <c r="U17" s="73" t="s">
        <v>44</v>
      </c>
      <c r="V17" s="72" t="s">
        <v>32</v>
      </c>
      <c r="W17" s="35"/>
      <c r="X17" s="40" t="s">
        <v>44</v>
      </c>
      <c r="Y17" s="41" t="s">
        <v>44</v>
      </c>
      <c r="Z17" s="73" t="s">
        <v>44</v>
      </c>
      <c r="AA17" s="72" t="s">
        <v>32</v>
      </c>
      <c r="AB17" s="35"/>
    </row>
    <row r="18" spans="1:28" x14ac:dyDescent="0.2">
      <c r="A18" s="18"/>
      <c r="B18" s="18"/>
      <c r="C18" s="18"/>
      <c r="D18" s="18"/>
      <c r="E18" s="18"/>
      <c r="F18" s="18"/>
      <c r="G18" s="18" t="str">
        <f>("[ "&amp;F13&amp;" - "&amp;E13&amp;" ]")</f>
        <v>[ B - A ]</v>
      </c>
      <c r="H18" s="18" t="str">
        <f>("[ "&amp;G13&amp;" / "&amp;E13&amp;" ]")</f>
        <v>[ C / A ]</v>
      </c>
      <c r="I18" s="20"/>
      <c r="J18" s="20"/>
      <c r="K18" s="20"/>
      <c r="L18" s="19" t="str">
        <f>("["&amp;E13&amp;"+"&amp;$I$13&amp;"+"&amp;$J$13&amp;"+"&amp;$K$13&amp;"]")</f>
        <v>[A+E+F+G]</v>
      </c>
      <c r="M18" s="18" t="str">
        <f>("["&amp;F13&amp;"+"&amp;$I$13&amp;"+"&amp;$J$13&amp;"+"&amp;$K$13&amp;"]")</f>
        <v>[B+E+F+G]</v>
      </c>
      <c r="N18" s="18" t="str">
        <f>("[("&amp;M13&amp;" - "&amp;L13&amp;") / "&amp;L13&amp;"]")</f>
        <v>[(I - H) / H]</v>
      </c>
      <c r="S18" s="19"/>
      <c r="T18" s="25">
        <f>+INPUT!$G$9</f>
        <v>0.3095</v>
      </c>
      <c r="U18" s="25">
        <f>+INPUT!$G$12</f>
        <v>11.402000000000001</v>
      </c>
      <c r="V18" s="19"/>
      <c r="W18" s="35"/>
      <c r="X18" s="19"/>
      <c r="Y18" s="25">
        <f>+INPUT!$G$27</f>
        <v>0.34539999999999998</v>
      </c>
      <c r="Z18" s="25">
        <f>+INPUT!$G$30</f>
        <v>11.685</v>
      </c>
      <c r="AA18" s="19"/>
      <c r="AB18" s="35"/>
    </row>
    <row r="19" spans="1:28" x14ac:dyDescent="0.2">
      <c r="A19" s="18"/>
      <c r="B19" s="18"/>
      <c r="C19" s="18"/>
      <c r="D19" s="18"/>
      <c r="E19" s="18"/>
      <c r="F19" s="18"/>
      <c r="H19" s="18"/>
      <c r="I19" s="18"/>
      <c r="J19" s="18"/>
      <c r="K19" s="18"/>
      <c r="L19" s="19"/>
      <c r="M19" s="19"/>
      <c r="N19" s="19"/>
      <c r="S19" s="19"/>
      <c r="T19" s="19" t="s">
        <v>138</v>
      </c>
      <c r="U19" s="18" t="s">
        <v>131</v>
      </c>
      <c r="V19" s="19"/>
      <c r="W19" s="35"/>
      <c r="X19" s="19"/>
      <c r="Y19" s="19" t="s">
        <v>138</v>
      </c>
      <c r="Z19" s="18" t="s">
        <v>131</v>
      </c>
      <c r="AA19" s="19"/>
      <c r="AB19" s="35"/>
    </row>
    <row r="20" spans="1:28" x14ac:dyDescent="0.2">
      <c r="A20" s="62">
        <v>3</v>
      </c>
      <c r="B20" s="62"/>
      <c r="C20" s="62">
        <v>48</v>
      </c>
      <c r="E20" s="36">
        <f>+V20</f>
        <v>723.23</v>
      </c>
      <c r="F20" s="36">
        <f>+AA20</f>
        <v>741.92</v>
      </c>
      <c r="G20" s="36">
        <f>+F20-E20</f>
        <v>18.689999999999941</v>
      </c>
      <c r="H20" s="37">
        <f>ROUND(+G20/E20,4)</f>
        <v>2.58E-2</v>
      </c>
      <c r="I20" s="36">
        <f>ROUND($A20*$T$10,2)</f>
        <v>15.63</v>
      </c>
      <c r="J20" s="36">
        <f>ROUND($A20*$T$11,2)</f>
        <v>0</v>
      </c>
      <c r="K20" s="36">
        <f>ROUND($A20*$T$12,2)</f>
        <v>0</v>
      </c>
      <c r="L20" s="36">
        <f>+E20+I20+J20+K20</f>
        <v>738.86</v>
      </c>
      <c r="M20" s="36">
        <f>+F20+I20+J20+K20</f>
        <v>757.55</v>
      </c>
      <c r="N20" s="37">
        <f>ROUND((M20-L20)/L20,4)</f>
        <v>2.53E-2</v>
      </c>
      <c r="S20" s="38">
        <f>+INPUT!$G$7</f>
        <v>175</v>
      </c>
      <c r="T20" s="38">
        <f>ROUND($T$18*$A20,2)</f>
        <v>0.93</v>
      </c>
      <c r="U20" s="38">
        <f>ROUND($U$18*$C20,2)</f>
        <v>547.29999999999995</v>
      </c>
      <c r="V20" s="38">
        <f>SUM(S20:U20)</f>
        <v>723.23</v>
      </c>
      <c r="X20" s="38">
        <f>+INPUT!$G$25</f>
        <v>180</v>
      </c>
      <c r="Y20" s="38">
        <f>ROUND($Y$18*$A20,2)</f>
        <v>1.04</v>
      </c>
      <c r="Z20" s="38">
        <f>ROUND($Z$18*$C20,2)</f>
        <v>560.88</v>
      </c>
      <c r="AA20" s="38">
        <f>SUM(X20:Z20)</f>
        <v>741.92</v>
      </c>
    </row>
    <row r="21" spans="1:28" x14ac:dyDescent="0.2">
      <c r="A21" s="62"/>
      <c r="B21" s="62"/>
      <c r="C21" s="62"/>
      <c r="E21" s="35"/>
      <c r="F21" s="35"/>
      <c r="L21" s="35"/>
      <c r="M21" s="35"/>
      <c r="N21" s="35"/>
    </row>
    <row r="22" spans="1:28" x14ac:dyDescent="0.2">
      <c r="A22" s="62">
        <v>5</v>
      </c>
      <c r="B22" s="62"/>
      <c r="C22" s="62">
        <v>48</v>
      </c>
      <c r="E22" s="36">
        <f>+V22</f>
        <v>723.84999999999991</v>
      </c>
      <c r="F22" s="36">
        <f>+AA22</f>
        <v>742.61</v>
      </c>
      <c r="G22" s="36">
        <f>+F22-E22</f>
        <v>18.760000000000105</v>
      </c>
      <c r="H22" s="37">
        <f>ROUND(+G22/E22,4)</f>
        <v>2.5899999999999999E-2</v>
      </c>
      <c r="I22" s="36">
        <f>ROUND($A22*$T$10,2)</f>
        <v>26.06</v>
      </c>
      <c r="J22" s="36">
        <f>ROUND($A22*$T$11,2)</f>
        <v>0</v>
      </c>
      <c r="K22" s="36">
        <f>ROUND($A22*$T$12,2)</f>
        <v>0</v>
      </c>
      <c r="L22" s="36">
        <f>+E22+I22+J22+K22</f>
        <v>749.90999999999985</v>
      </c>
      <c r="M22" s="36">
        <f>+F22+I22+J22+K22</f>
        <v>768.67</v>
      </c>
      <c r="N22" s="37">
        <f>ROUND((M22-L22)/L22,4)</f>
        <v>2.5000000000000001E-2</v>
      </c>
      <c r="S22" s="38">
        <f>+$S$20</f>
        <v>175</v>
      </c>
      <c r="T22" s="38">
        <f>ROUND($T$18*$A22,2)</f>
        <v>1.55</v>
      </c>
      <c r="U22" s="38">
        <f>ROUND($U$18*$C22,2)</f>
        <v>547.29999999999995</v>
      </c>
      <c r="V22" s="38">
        <f>SUM(S22:U22)</f>
        <v>723.84999999999991</v>
      </c>
      <c r="X22" s="38">
        <f>+$X$20</f>
        <v>180</v>
      </c>
      <c r="Y22" s="38">
        <f>ROUND($Y$18*$A22,2)</f>
        <v>1.73</v>
      </c>
      <c r="Z22" s="38">
        <f>ROUND($Z$18*$C22,2)</f>
        <v>560.88</v>
      </c>
      <c r="AA22" s="38">
        <f>SUM(X22:Z22)</f>
        <v>742.61</v>
      </c>
    </row>
    <row r="23" spans="1:28" x14ac:dyDescent="0.2">
      <c r="A23" s="62"/>
      <c r="B23" s="62"/>
      <c r="C23" s="62"/>
      <c r="E23" s="36"/>
      <c r="F23" s="36"/>
      <c r="L23" s="36"/>
      <c r="M23" s="36"/>
      <c r="N23" s="37"/>
    </row>
    <row r="24" spans="1:28" x14ac:dyDescent="0.2">
      <c r="A24" s="62">
        <v>10</v>
      </c>
      <c r="B24" s="62"/>
      <c r="C24" s="62">
        <v>48</v>
      </c>
      <c r="E24" s="36">
        <f>+V24</f>
        <v>725.4</v>
      </c>
      <c r="F24" s="36">
        <f>+AA24</f>
        <v>744.32999999999993</v>
      </c>
      <c r="G24" s="36">
        <f>+F24-E24</f>
        <v>18.92999999999995</v>
      </c>
      <c r="H24" s="37">
        <f>ROUND(+G24/E24,4)</f>
        <v>2.6100000000000002E-2</v>
      </c>
      <c r="I24" s="36">
        <f>ROUND($A24*$T$10,2)</f>
        <v>52.11</v>
      </c>
      <c r="J24" s="36">
        <f>ROUND($A24*$T$11,2)</f>
        <v>0</v>
      </c>
      <c r="K24" s="36">
        <f>ROUND($A24*$T$12,2)</f>
        <v>0</v>
      </c>
      <c r="L24" s="36">
        <f>+E24+I24+J24+K24</f>
        <v>777.51</v>
      </c>
      <c r="M24" s="36">
        <f>+F24+I24+J24+K24</f>
        <v>796.43999999999994</v>
      </c>
      <c r="N24" s="37">
        <f>ROUND((M24-L24)/L24,4)</f>
        <v>2.4299999999999999E-2</v>
      </c>
      <c r="S24" s="38">
        <f>+$S$20</f>
        <v>175</v>
      </c>
      <c r="T24" s="38">
        <f>ROUND($T$18*$A24,2)</f>
        <v>3.1</v>
      </c>
      <c r="U24" s="38">
        <f>ROUND($U$18*$C24,2)</f>
        <v>547.29999999999995</v>
      </c>
      <c r="V24" s="38">
        <f>SUM(S24:U24)</f>
        <v>725.4</v>
      </c>
      <c r="X24" s="38">
        <f>+$X$20</f>
        <v>180</v>
      </c>
      <c r="Y24" s="38">
        <f>ROUND($Y$18*$A24,2)</f>
        <v>3.45</v>
      </c>
      <c r="Z24" s="38">
        <f>ROUND($Z$18*$C24,2)</f>
        <v>560.88</v>
      </c>
      <c r="AA24" s="38">
        <f>SUM(X24:Z24)</f>
        <v>744.32999999999993</v>
      </c>
    </row>
    <row r="25" spans="1:28" x14ac:dyDescent="0.2">
      <c r="A25" s="62"/>
      <c r="B25" s="62"/>
      <c r="C25" s="62"/>
      <c r="E25" s="35"/>
      <c r="F25" s="35"/>
      <c r="L25" s="35"/>
      <c r="M25" s="35"/>
      <c r="N25" s="35"/>
    </row>
    <row r="26" spans="1:28" x14ac:dyDescent="0.2">
      <c r="A26" s="62">
        <v>20</v>
      </c>
      <c r="B26" s="62"/>
      <c r="C26" s="62">
        <v>48</v>
      </c>
      <c r="E26" s="39">
        <f>+V26</f>
        <v>728.49</v>
      </c>
      <c r="F26" s="39">
        <f>+AA26</f>
        <v>747.79</v>
      </c>
      <c r="G26" s="36">
        <f>+F26-E26</f>
        <v>19.299999999999955</v>
      </c>
      <c r="H26" s="37">
        <f>ROUND(+G26/E26,4)</f>
        <v>2.6499999999999999E-2</v>
      </c>
      <c r="I26" s="36">
        <f>ROUND($A26*$T$10,2)</f>
        <v>104.23</v>
      </c>
      <c r="J26" s="36">
        <f>ROUND($A26*$T$11,2)</f>
        <v>0</v>
      </c>
      <c r="K26" s="36">
        <f>ROUND($A26*$T$12,2)</f>
        <v>0</v>
      </c>
      <c r="L26" s="39">
        <f>+E26+I26+J26+K26</f>
        <v>832.72</v>
      </c>
      <c r="M26" s="39">
        <f>+F26+I26+J26+K26</f>
        <v>852.02</v>
      </c>
      <c r="N26" s="37">
        <f>ROUND((M26-L26)/L26,4)</f>
        <v>2.3199999999999998E-2</v>
      </c>
      <c r="S26" s="38">
        <f>+$S$20</f>
        <v>175</v>
      </c>
      <c r="T26" s="38">
        <f>ROUND($T$18*$A26,2)</f>
        <v>6.19</v>
      </c>
      <c r="U26" s="38">
        <f>ROUND($U$18*$C26,2)</f>
        <v>547.29999999999995</v>
      </c>
      <c r="V26" s="38">
        <f>SUM(S26:U26)</f>
        <v>728.49</v>
      </c>
      <c r="X26" s="38">
        <f>+$X$20</f>
        <v>180</v>
      </c>
      <c r="Y26" s="38">
        <f>ROUND($Y$18*$A26,2)</f>
        <v>6.91</v>
      </c>
      <c r="Z26" s="38">
        <f>ROUND($Z$18*$C26,2)</f>
        <v>560.88</v>
      </c>
      <c r="AA26" s="38">
        <f>SUM(X26:Z26)</f>
        <v>747.79</v>
      </c>
    </row>
    <row r="27" spans="1:28" x14ac:dyDescent="0.2">
      <c r="A27" s="62"/>
      <c r="B27" s="62"/>
      <c r="C27" s="62"/>
      <c r="E27" s="35"/>
      <c r="F27" s="35"/>
      <c r="L27" s="35"/>
      <c r="M27" s="35"/>
      <c r="N27" s="35"/>
    </row>
    <row r="28" spans="1:28" x14ac:dyDescent="0.2">
      <c r="A28" s="62">
        <v>40</v>
      </c>
      <c r="B28" s="62"/>
      <c r="C28" s="62">
        <v>48</v>
      </c>
      <c r="E28" s="36">
        <f>+V28</f>
        <v>734.68</v>
      </c>
      <c r="F28" s="36">
        <f>+AA28</f>
        <v>754.7</v>
      </c>
      <c r="G28" s="36">
        <f>+F28-E28</f>
        <v>20.020000000000095</v>
      </c>
      <c r="H28" s="37">
        <f>ROUND(+G28/E28,4)</f>
        <v>2.7199999999999998E-2</v>
      </c>
      <c r="I28" s="36">
        <f>ROUND($A28*$T$10,2)</f>
        <v>208.46</v>
      </c>
      <c r="J28" s="36">
        <f>ROUND($A28*$T$11,2)</f>
        <v>0</v>
      </c>
      <c r="K28" s="36">
        <f>ROUND($A28*$T$12,2)</f>
        <v>0</v>
      </c>
      <c r="L28" s="36">
        <f>+E28+I28+J28+K28</f>
        <v>943.14</v>
      </c>
      <c r="M28" s="36">
        <f>+F28+I28+J28+K28</f>
        <v>963.16000000000008</v>
      </c>
      <c r="N28" s="37">
        <f>ROUND((M28-L28)/L28,4)</f>
        <v>2.12E-2</v>
      </c>
      <c r="S28" s="38">
        <f>+$S$20</f>
        <v>175</v>
      </c>
      <c r="T28" s="38">
        <f>ROUND($T$18*$A28,2)</f>
        <v>12.38</v>
      </c>
      <c r="U28" s="38">
        <f>ROUND($U$18*$C28,2)</f>
        <v>547.29999999999995</v>
      </c>
      <c r="V28" s="38">
        <f>SUM(S28:U28)</f>
        <v>734.68</v>
      </c>
      <c r="X28" s="38">
        <f>+$X$20</f>
        <v>180</v>
      </c>
      <c r="Y28" s="38">
        <f>ROUND($Y$18*$A28,2)</f>
        <v>13.82</v>
      </c>
      <c r="Z28" s="38">
        <f>ROUND($Z$18*$C28,2)</f>
        <v>560.88</v>
      </c>
      <c r="AA28" s="38">
        <f>SUM(X28:Z28)</f>
        <v>754.7</v>
      </c>
    </row>
    <row r="29" spans="1:28" x14ac:dyDescent="0.2">
      <c r="A29" s="62"/>
      <c r="B29" s="62"/>
      <c r="C29" s="62"/>
      <c r="E29" s="35"/>
      <c r="F29" s="35"/>
      <c r="L29" s="35"/>
      <c r="M29" s="35"/>
      <c r="N29" s="35"/>
    </row>
    <row r="30" spans="1:28" x14ac:dyDescent="0.2">
      <c r="A30" s="62">
        <v>60</v>
      </c>
      <c r="B30" s="62"/>
      <c r="C30" s="62">
        <v>48</v>
      </c>
      <c r="E30" s="36">
        <f>+V30</f>
        <v>740.86999999999989</v>
      </c>
      <c r="F30" s="36">
        <f>+AA30</f>
        <v>761.6</v>
      </c>
      <c r="G30" s="36">
        <f>+F30-E30</f>
        <v>20.730000000000132</v>
      </c>
      <c r="H30" s="37">
        <f>ROUND(+G30/E30,4)</f>
        <v>2.8000000000000001E-2</v>
      </c>
      <c r="I30" s="36">
        <f>ROUND($A30*$T$10,2)</f>
        <v>312.69</v>
      </c>
      <c r="J30" s="36">
        <f>ROUND($A30*$T$11,2)</f>
        <v>0</v>
      </c>
      <c r="K30" s="36">
        <f>ROUND($A30*$T$12,2)</f>
        <v>0</v>
      </c>
      <c r="L30" s="36">
        <f>+E30+I30+J30+K30</f>
        <v>1053.56</v>
      </c>
      <c r="M30" s="36">
        <f>+F30+I30+J30+K30</f>
        <v>1074.29</v>
      </c>
      <c r="N30" s="37">
        <f>ROUND((M30-L30)/L30,4)</f>
        <v>1.9699999999999999E-2</v>
      </c>
      <c r="S30" s="38">
        <f>+$S$20</f>
        <v>175</v>
      </c>
      <c r="T30" s="38">
        <f>ROUND($T$18*$A30,2)</f>
        <v>18.57</v>
      </c>
      <c r="U30" s="38">
        <f>ROUND($U$18*$C30,2)</f>
        <v>547.29999999999995</v>
      </c>
      <c r="V30" s="38">
        <f>SUM(S30:U30)</f>
        <v>740.86999999999989</v>
      </c>
      <c r="X30" s="38">
        <f>+$X$20</f>
        <v>180</v>
      </c>
      <c r="Y30" s="38">
        <f>ROUND($Y$18*$A30,2)</f>
        <v>20.72</v>
      </c>
      <c r="Z30" s="38">
        <f>ROUND($Z$18*$C30,2)</f>
        <v>560.88</v>
      </c>
      <c r="AA30" s="38">
        <f>SUM(X30:Z30)</f>
        <v>761.6</v>
      </c>
    </row>
    <row r="31" spans="1:28" x14ac:dyDescent="0.2">
      <c r="A31" s="62"/>
      <c r="B31" s="62"/>
      <c r="C31" s="62"/>
      <c r="E31" s="35"/>
      <c r="F31" s="35"/>
      <c r="L31" s="35"/>
      <c r="M31" s="35"/>
      <c r="N31" s="35"/>
    </row>
    <row r="32" spans="1:28" x14ac:dyDescent="0.2">
      <c r="A32" s="62">
        <v>80</v>
      </c>
      <c r="B32" s="62"/>
      <c r="C32" s="62">
        <v>48</v>
      </c>
      <c r="E32" s="36">
        <f>+V32</f>
        <v>747.06</v>
      </c>
      <c r="F32" s="36">
        <f>+AA32</f>
        <v>768.51</v>
      </c>
      <c r="G32" s="36">
        <f>+F32-E32</f>
        <v>21.450000000000045</v>
      </c>
      <c r="H32" s="37">
        <f>ROUND(+G32/E32,4)</f>
        <v>2.87E-2</v>
      </c>
      <c r="I32" s="36">
        <f>ROUND($A32*$T$10,2)</f>
        <v>416.92</v>
      </c>
      <c r="J32" s="36">
        <f>ROUND($A32*$T$11,2)</f>
        <v>0</v>
      </c>
      <c r="K32" s="36">
        <f>ROUND($A32*$T$12,2)</f>
        <v>0</v>
      </c>
      <c r="L32" s="36">
        <f>+E32+I32+J32+K32</f>
        <v>1163.98</v>
      </c>
      <c r="M32" s="36">
        <f>+F32+I32+J32+K32</f>
        <v>1185.43</v>
      </c>
      <c r="N32" s="37">
        <f>ROUND((M32-L32)/L32,4)</f>
        <v>1.84E-2</v>
      </c>
      <c r="S32" s="38">
        <f>+$S$20</f>
        <v>175</v>
      </c>
      <c r="T32" s="38">
        <f>ROUND($T$18*$A32,2)</f>
        <v>24.76</v>
      </c>
      <c r="U32" s="38">
        <f>ROUND($U$18*$C32,2)</f>
        <v>547.29999999999995</v>
      </c>
      <c r="V32" s="38">
        <f>SUM(S32:U32)</f>
        <v>747.06</v>
      </c>
      <c r="X32" s="38">
        <f>+$X$20</f>
        <v>180</v>
      </c>
      <c r="Y32" s="38">
        <f>ROUND($Y$18*$A32,2)</f>
        <v>27.63</v>
      </c>
      <c r="Z32" s="38">
        <f>ROUND($Z$18*$C32,2)</f>
        <v>560.88</v>
      </c>
      <c r="AA32" s="38">
        <f>SUM(X32:Z32)</f>
        <v>768.51</v>
      </c>
    </row>
    <row r="33" spans="1:27" x14ac:dyDescent="0.2">
      <c r="A33" s="62"/>
      <c r="B33" s="62"/>
      <c r="C33" s="62"/>
      <c r="E33" s="35"/>
      <c r="F33" s="35"/>
      <c r="L33" s="35"/>
      <c r="M33" s="35"/>
      <c r="N33" s="35"/>
    </row>
    <row r="34" spans="1:27" x14ac:dyDescent="0.2">
      <c r="A34" s="62">
        <v>100</v>
      </c>
      <c r="B34" s="62"/>
      <c r="C34" s="62">
        <v>48</v>
      </c>
      <c r="E34" s="36">
        <f>+V34</f>
        <v>753.25</v>
      </c>
      <c r="F34" s="36">
        <f>+AA34</f>
        <v>775.42</v>
      </c>
      <c r="G34" s="36">
        <f>+F34-E34</f>
        <v>22.169999999999959</v>
      </c>
      <c r="H34" s="37">
        <f>ROUND(+G34/E34,4)</f>
        <v>2.9399999999999999E-2</v>
      </c>
      <c r="I34" s="36">
        <f>ROUND($A34*$T$10,2)</f>
        <v>521.14</v>
      </c>
      <c r="J34" s="36">
        <f>ROUND($A34*$T$11,2)</f>
        <v>0</v>
      </c>
      <c r="K34" s="36">
        <f>ROUND($A34*$T$12,2)</f>
        <v>0</v>
      </c>
      <c r="L34" s="36">
        <f>+E34+I34+J34+K34</f>
        <v>1274.3899999999999</v>
      </c>
      <c r="M34" s="36">
        <f>+F34+I34+J34+K34</f>
        <v>1296.56</v>
      </c>
      <c r="N34" s="37">
        <f>ROUND((M34-L34)/L34,4)</f>
        <v>1.7399999999999999E-2</v>
      </c>
      <c r="S34" s="38">
        <f>+$S$20</f>
        <v>175</v>
      </c>
      <c r="T34" s="38">
        <f>ROUND($T$18*$A34,2)</f>
        <v>30.95</v>
      </c>
      <c r="U34" s="38">
        <f>ROUND($U$18*$C34,2)</f>
        <v>547.29999999999995</v>
      </c>
      <c r="V34" s="38">
        <f>SUM(S34:U34)</f>
        <v>753.25</v>
      </c>
      <c r="X34" s="38">
        <f>+$X$20</f>
        <v>180</v>
      </c>
      <c r="Y34" s="38">
        <f>ROUND($Y$18*$A34,2)</f>
        <v>34.54</v>
      </c>
      <c r="Z34" s="38">
        <f>ROUND($Z$18*$C34,2)</f>
        <v>560.88</v>
      </c>
      <c r="AA34" s="38">
        <f>SUM(X34:Z34)</f>
        <v>775.42</v>
      </c>
    </row>
    <row r="35" spans="1:27" x14ac:dyDescent="0.2">
      <c r="L35" s="35"/>
      <c r="M35" s="35"/>
      <c r="N35" s="35"/>
    </row>
    <row r="36" spans="1:27" x14ac:dyDescent="0.2">
      <c r="A36" s="34" t="s">
        <v>125</v>
      </c>
      <c r="E36" s="61"/>
      <c r="F36" s="62"/>
      <c r="L36" s="36"/>
      <c r="M36" s="36"/>
      <c r="N36" s="37"/>
    </row>
    <row r="37" spans="1:27" x14ac:dyDescent="0.2">
      <c r="A37" s="65" t="str">
        <f>("Average usage = "&amp;INPUT!G17&amp;" Mcf per month")</f>
        <v>Average usage = 0 Mcf per month</v>
      </c>
      <c r="B37" s="65"/>
      <c r="C37" s="65"/>
      <c r="F37" s="34" t="s">
        <v>126</v>
      </c>
    </row>
    <row r="38" spans="1:27" x14ac:dyDescent="0.2">
      <c r="A38" s="67" t="s">
        <v>127</v>
      </c>
      <c r="B38" s="67"/>
      <c r="C38" s="67"/>
    </row>
    <row r="39" spans="1:27" x14ac:dyDescent="0.2">
      <c r="A39" s="67" t="s">
        <v>133</v>
      </c>
    </row>
    <row r="40" spans="1:27" x14ac:dyDescent="0.2">
      <c r="A40" s="84" t="str">
        <f>+'Rate Case Constants'!$C$26</f>
        <v>Calculations may vary from other schedules due to rounding</v>
      </c>
    </row>
  </sheetData>
  <mergeCells count="5">
    <mergeCell ref="I15:K15"/>
    <mergeCell ref="A1:N1"/>
    <mergeCell ref="A2:N2"/>
    <mergeCell ref="A3:N3"/>
    <mergeCell ref="A4:N4"/>
  </mergeCells>
  <printOptions horizontalCentered="1"/>
  <pageMargins left="0.7" right="0.7" top="0.75" bottom="0.75" header="0.3" footer="0.3"/>
  <pageSetup scale="9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1"/>
  <sheetViews>
    <sheetView view="pageBreakPreview" zoomScaleNormal="100" zoomScaleSheetLayoutView="100" workbookViewId="0">
      <selection activeCell="A38" sqref="A38"/>
    </sheetView>
  </sheetViews>
  <sheetFormatPr defaultRowHeight="12.75" x14ac:dyDescent="0.2"/>
  <cols>
    <col min="1" max="1" width="9.28515625" style="34" bestFit="1" customWidth="1"/>
    <col min="2" max="2" width="2" style="34" customWidth="1"/>
    <col min="3" max="6" width="12" style="34" customWidth="1"/>
    <col min="7" max="7" width="8.7109375" style="34" bestFit="1" customWidth="1"/>
    <col min="8" max="12" width="12" style="34" customWidth="1"/>
    <col min="13" max="16" width="4.28515625" style="34" customWidth="1"/>
    <col min="17" max="17" width="10.42578125" style="34" customWidth="1"/>
    <col min="18" max="18" width="10.85546875" style="34" bestFit="1" customWidth="1"/>
    <col min="19" max="19" width="11.85546875" style="34" customWidth="1"/>
    <col min="20" max="20" width="9.140625" style="34"/>
    <col min="21" max="21" width="10.5703125" style="34" customWidth="1"/>
    <col min="22" max="22" width="10.85546875" style="34" bestFit="1" customWidth="1"/>
    <col min="23" max="23" width="11.5703125" style="34" customWidth="1"/>
    <col min="24" max="16384" width="9.140625" style="34"/>
  </cols>
  <sheetData>
    <row r="1" spans="1:28" x14ac:dyDescent="0.2">
      <c r="A1" s="97" t="str">
        <f>+'Rate Case Constants'!C9</f>
        <v>LOUISVILLE GAS AND ELECTRIC COMPANY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28" x14ac:dyDescent="0.2">
      <c r="A2" s="97" t="str">
        <f>+'Rate Case Constants'!C10</f>
        <v>CASE NO. 2014-00372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1:28" x14ac:dyDescent="0.2">
      <c r="A3" s="98" t="str">
        <f>+'Rate Case Constants'!C24</f>
        <v>Typical Gas Bill Comparison under Present &amp; Proposed Rates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28" x14ac:dyDescent="0.2">
      <c r="A4" s="97" t="str">
        <f>+'Rate Case Constants'!C21</f>
        <v>FORECAST PERIOD FOR THE 12 MONTHS ENDED JUNE 30, 2016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</row>
    <row r="6" spans="1:28" x14ac:dyDescent="0.2">
      <c r="A6" s="68"/>
    </row>
    <row r="7" spans="1:28" x14ac:dyDescent="0.2">
      <c r="A7" s="34" t="str">
        <f>+'Rate Case Constants'!C33</f>
        <v>DATA: ____BASE PERIOD__X___FORECASTED PERIOD</v>
      </c>
      <c r="L7" s="59" t="str">
        <f>+'Rate Case Constants'!C25</f>
        <v>SCHEDULE N (Gas)</v>
      </c>
    </row>
    <row r="8" spans="1:28" x14ac:dyDescent="0.2">
      <c r="A8" s="34" t="str">
        <f>+'Rate Case Constants'!C29</f>
        <v>TYPE OF FILING: __X__ ORIGINAL  _____ UPDATED  _____ REVISED</v>
      </c>
      <c r="L8" s="60" t="str">
        <f>+'Rate Case Constants'!I16</f>
        <v>PAGE 9 OF 9</v>
      </c>
    </row>
    <row r="9" spans="1:28" x14ac:dyDescent="0.2">
      <c r="A9" s="34" t="str">
        <f>+'Rate Case Constants'!C34</f>
        <v>WORKPAPER REFERENCE NO(S):________</v>
      </c>
      <c r="L9" s="59" t="str">
        <f>+'Rate Case Constants'!C37</f>
        <v>WITNESS:   R. M. CONROY</v>
      </c>
    </row>
    <row r="10" spans="1:28" x14ac:dyDescent="0.2">
      <c r="L10" s="59"/>
      <c r="Q10" s="26" t="s">
        <v>37</v>
      </c>
      <c r="R10" s="22">
        <f>+INPUT!H44</f>
        <v>0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</row>
    <row r="11" spans="1:28" x14ac:dyDescent="0.2">
      <c r="A11" s="54" t="s">
        <v>66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6"/>
      <c r="N11" s="56"/>
      <c r="O11" s="56"/>
      <c r="P11" s="56"/>
      <c r="Q11" s="57" t="s">
        <v>34</v>
      </c>
      <c r="R11" s="58">
        <f>+INPUT!I44</f>
        <v>0.13659425624334701</v>
      </c>
      <c r="S11" s="17"/>
      <c r="T11" s="17"/>
      <c r="U11" s="23"/>
      <c r="V11" s="17"/>
      <c r="W11" s="17"/>
      <c r="X11" s="35"/>
      <c r="Y11" s="35"/>
      <c r="Z11" s="35"/>
      <c r="AA11" s="35"/>
      <c r="AB11" s="35"/>
    </row>
    <row r="12" spans="1:28" x14ac:dyDescent="0.2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Q12" s="26" t="s">
        <v>38</v>
      </c>
      <c r="R12" s="22">
        <f>+INPUT!J44</f>
        <v>0</v>
      </c>
      <c r="S12" s="17"/>
      <c r="T12" s="17"/>
      <c r="U12" s="17"/>
      <c r="V12" s="17"/>
      <c r="W12" s="17"/>
      <c r="X12" s="35"/>
      <c r="Y12" s="35"/>
      <c r="Z12" s="35"/>
      <c r="AA12" s="35"/>
      <c r="AB12" s="35"/>
    </row>
    <row r="13" spans="1:28" x14ac:dyDescent="0.2">
      <c r="A13" s="17"/>
      <c r="B13" s="17"/>
      <c r="C13" s="18" t="s">
        <v>107</v>
      </c>
      <c r="D13" s="19" t="s">
        <v>115</v>
      </c>
      <c r="E13" s="19" t="s">
        <v>108</v>
      </c>
      <c r="F13" s="18" t="s">
        <v>109</v>
      </c>
      <c r="G13" s="18" t="s">
        <v>110</v>
      </c>
      <c r="H13" s="18" t="s">
        <v>111</v>
      </c>
      <c r="I13" s="19" t="s">
        <v>116</v>
      </c>
      <c r="J13" s="18" t="s">
        <v>112</v>
      </c>
      <c r="K13" s="18" t="s">
        <v>113</v>
      </c>
      <c r="L13" s="18" t="s">
        <v>114</v>
      </c>
      <c r="Q13" s="17"/>
      <c r="R13" s="17"/>
      <c r="S13" s="17"/>
      <c r="T13" s="17"/>
      <c r="U13" s="17"/>
      <c r="V13" s="17"/>
      <c r="W13" s="17"/>
      <c r="X13" s="35"/>
      <c r="Y13" s="35"/>
      <c r="Z13" s="35"/>
      <c r="AA13" s="35"/>
      <c r="AB13" s="35"/>
    </row>
    <row r="14" spans="1:28" x14ac:dyDescent="0.2">
      <c r="A14" s="35"/>
      <c r="B14" s="35"/>
      <c r="C14" s="91" t="s">
        <v>136</v>
      </c>
      <c r="D14" s="91" t="s">
        <v>136</v>
      </c>
      <c r="E14" s="35"/>
      <c r="F14" s="35"/>
      <c r="G14" s="35"/>
      <c r="H14" s="35"/>
      <c r="I14" s="35"/>
      <c r="J14" s="18" t="s">
        <v>29</v>
      </c>
      <c r="K14" s="18" t="s">
        <v>29</v>
      </c>
      <c r="L14" s="35"/>
      <c r="Q14" s="24" t="s">
        <v>0</v>
      </c>
      <c r="R14" s="24"/>
      <c r="S14" s="24"/>
      <c r="T14" s="35"/>
      <c r="U14" s="24" t="s">
        <v>28</v>
      </c>
      <c r="V14" s="24"/>
      <c r="W14" s="24"/>
      <c r="X14" s="35"/>
      <c r="Y14" s="35"/>
      <c r="Z14" s="35"/>
      <c r="AA14" s="35"/>
      <c r="AB14" s="35"/>
    </row>
    <row r="15" spans="1:28" x14ac:dyDescent="0.2">
      <c r="A15" s="35"/>
      <c r="B15" s="35"/>
      <c r="C15" s="18" t="s">
        <v>24</v>
      </c>
      <c r="D15" s="18" t="s">
        <v>30</v>
      </c>
      <c r="E15" s="18"/>
      <c r="F15" s="18"/>
      <c r="G15" s="95" t="s">
        <v>31</v>
      </c>
      <c r="H15" s="95"/>
      <c r="I15" s="96"/>
      <c r="J15" s="18" t="s">
        <v>24</v>
      </c>
      <c r="K15" s="18" t="s">
        <v>30</v>
      </c>
      <c r="L15" s="18"/>
      <c r="Q15" s="19"/>
      <c r="R15" s="18"/>
      <c r="S15" s="19"/>
      <c r="T15" s="35"/>
      <c r="U15" s="19"/>
      <c r="V15" s="18"/>
      <c r="W15" s="19"/>
      <c r="X15" s="35"/>
      <c r="Y15" s="35"/>
      <c r="Z15" s="35"/>
      <c r="AA15" s="35"/>
      <c r="AB15" s="35"/>
    </row>
    <row r="16" spans="1:28" x14ac:dyDescent="0.2">
      <c r="A16" s="18"/>
      <c r="B16" s="18"/>
      <c r="C16" s="18" t="s">
        <v>32</v>
      </c>
      <c r="D16" s="18" t="s">
        <v>32</v>
      </c>
      <c r="E16" s="18" t="s">
        <v>33</v>
      </c>
      <c r="F16" s="18" t="s">
        <v>33</v>
      </c>
      <c r="G16" s="18" t="s">
        <v>37</v>
      </c>
      <c r="H16" s="18" t="s">
        <v>34</v>
      </c>
      <c r="I16" s="18" t="s">
        <v>38</v>
      </c>
      <c r="J16" s="18" t="s">
        <v>32</v>
      </c>
      <c r="K16" s="18" t="s">
        <v>32</v>
      </c>
      <c r="L16" s="18" t="s">
        <v>33</v>
      </c>
      <c r="Q16" s="19" t="s">
        <v>67</v>
      </c>
      <c r="R16" s="18" t="s">
        <v>137</v>
      </c>
      <c r="S16" s="19" t="s">
        <v>29</v>
      </c>
      <c r="T16" s="35"/>
      <c r="U16" s="19" t="s">
        <v>67</v>
      </c>
      <c r="V16" s="18" t="s">
        <v>137</v>
      </c>
      <c r="W16" s="19" t="s">
        <v>29</v>
      </c>
      <c r="X16" s="35"/>
      <c r="Y16" s="22"/>
      <c r="Z16" s="18" t="s">
        <v>42</v>
      </c>
      <c r="AA16" s="18"/>
      <c r="AB16" s="18" t="s">
        <v>43</v>
      </c>
    </row>
    <row r="17" spans="1:28" x14ac:dyDescent="0.2">
      <c r="A17" s="18" t="s">
        <v>39</v>
      </c>
      <c r="B17" s="18"/>
      <c r="C17" s="18"/>
      <c r="D17" s="18"/>
      <c r="E17" s="18" t="s">
        <v>35</v>
      </c>
      <c r="F17" s="19" t="s">
        <v>36</v>
      </c>
      <c r="G17" s="20"/>
      <c r="H17" s="20"/>
      <c r="I17" s="21"/>
      <c r="J17" s="18" t="s">
        <v>35</v>
      </c>
      <c r="K17" s="18" t="s">
        <v>35</v>
      </c>
      <c r="L17" s="19" t="s">
        <v>36</v>
      </c>
      <c r="Q17" s="40" t="s">
        <v>44</v>
      </c>
      <c r="R17" s="41" t="s">
        <v>44</v>
      </c>
      <c r="S17" s="40" t="s">
        <v>32</v>
      </c>
      <c r="T17" s="35"/>
      <c r="U17" s="40" t="s">
        <v>44</v>
      </c>
      <c r="V17" s="41" t="s">
        <v>44</v>
      </c>
      <c r="W17" s="40" t="s">
        <v>32</v>
      </c>
      <c r="X17" s="35"/>
      <c r="Y17" s="22"/>
      <c r="Z17" s="18" t="s">
        <v>2</v>
      </c>
      <c r="AA17" s="18"/>
      <c r="AB17" s="18" t="s">
        <v>2</v>
      </c>
    </row>
    <row r="18" spans="1:28" x14ac:dyDescent="0.2">
      <c r="A18" s="18"/>
      <c r="B18" s="18"/>
      <c r="C18" s="18"/>
      <c r="D18" s="18"/>
      <c r="E18" s="18" t="str">
        <f>("[ "&amp;D13&amp;" - "&amp;C13&amp;" ]")</f>
        <v>[ B - A ]</v>
      </c>
      <c r="F18" s="18" t="str">
        <f>("[ "&amp;E13&amp;" / "&amp;C13&amp;" ]")</f>
        <v>[ C / A ]</v>
      </c>
      <c r="G18" s="20"/>
      <c r="H18" s="20"/>
      <c r="I18" s="20"/>
      <c r="J18" s="19" t="str">
        <f>("["&amp;C13&amp;"+"&amp;$G$13&amp;"+"&amp;$H$13&amp;"+"&amp;$I$13&amp;"]")</f>
        <v>[A+E+F+G]</v>
      </c>
      <c r="K18" s="18" t="str">
        <f>("["&amp;D13&amp;"+"&amp;$G$13&amp;"+"&amp;$H$13&amp;"+"&amp;$I$13&amp;"]")</f>
        <v>[B+E+F+G]</v>
      </c>
      <c r="L18" s="18" t="str">
        <f>("[("&amp;K13&amp;" - "&amp;J13&amp;") / "&amp;J13&amp;"]")</f>
        <v>[(I - H) / H]</v>
      </c>
      <c r="Q18" s="19"/>
      <c r="R18" s="25">
        <f>+INPUT!$H$9</f>
        <v>0.43</v>
      </c>
      <c r="S18" s="19"/>
      <c r="T18" s="35"/>
      <c r="U18" s="19"/>
      <c r="V18" s="25">
        <f>+INPUT!$H$27</f>
        <v>0.44309999999999999</v>
      </c>
      <c r="W18" s="19"/>
      <c r="X18" s="35"/>
      <c r="Y18" s="22"/>
      <c r="Z18" s="18"/>
      <c r="AA18" s="18"/>
      <c r="AB18" s="18"/>
    </row>
    <row r="19" spans="1:28" x14ac:dyDescent="0.2">
      <c r="A19" s="18"/>
      <c r="B19" s="18"/>
      <c r="C19" s="18"/>
      <c r="D19" s="18"/>
      <c r="F19" s="18"/>
      <c r="G19" s="18"/>
      <c r="H19" s="18"/>
      <c r="I19" s="18"/>
      <c r="J19" s="19"/>
      <c r="K19" s="19"/>
      <c r="L19" s="19"/>
      <c r="Q19" s="19"/>
      <c r="R19" s="19" t="s">
        <v>138</v>
      </c>
      <c r="S19" s="19"/>
      <c r="T19" s="35"/>
      <c r="U19" s="19"/>
      <c r="V19" s="19" t="s">
        <v>138</v>
      </c>
      <c r="W19" s="19"/>
      <c r="X19" s="35"/>
      <c r="Y19" s="22"/>
      <c r="Z19" s="18"/>
      <c r="AA19" s="18"/>
      <c r="AB19" s="18"/>
    </row>
    <row r="20" spans="1:28" x14ac:dyDescent="0.2">
      <c r="A20" s="62">
        <v>1000</v>
      </c>
      <c r="C20" s="36">
        <f>+S20</f>
        <v>830</v>
      </c>
      <c r="D20" s="36">
        <f>+W20</f>
        <v>993.1</v>
      </c>
      <c r="E20" s="36">
        <f>+D20-C20</f>
        <v>163.10000000000002</v>
      </c>
      <c r="F20" s="37">
        <f>ROUND(+E20/C20,4)</f>
        <v>0.19650000000000001</v>
      </c>
      <c r="G20" s="36">
        <f>ROUND($A20*$R$10,2)</f>
        <v>0</v>
      </c>
      <c r="H20" s="36">
        <f>ROUND($A20*$R$11,2)</f>
        <v>136.59</v>
      </c>
      <c r="I20" s="36">
        <f>ROUND($A20*$R$12,2)</f>
        <v>0</v>
      </c>
      <c r="J20" s="36">
        <f>+C20+G20+H20+I20</f>
        <v>966.59</v>
      </c>
      <c r="K20" s="36">
        <f>+D20+G20+H20+I20</f>
        <v>1129.69</v>
      </c>
      <c r="L20" s="37">
        <f>ROUND((K20-J20)/J20,4)</f>
        <v>0.16869999999999999</v>
      </c>
      <c r="Q20" s="38">
        <f>+INPUT!$H$14</f>
        <v>400</v>
      </c>
      <c r="R20" s="38">
        <f>ROUND($R$18*$A20,2)</f>
        <v>430</v>
      </c>
      <c r="S20" s="38">
        <f>SUM(Q20:R20)</f>
        <v>830</v>
      </c>
      <c r="U20" s="38">
        <f>+INPUT!$H$32</f>
        <v>550</v>
      </c>
      <c r="V20" s="38">
        <f>ROUND($V$18*$A20,2)</f>
        <v>443.1</v>
      </c>
      <c r="W20" s="38">
        <f>SUM(U20:V20)</f>
        <v>993.1</v>
      </c>
    </row>
    <row r="21" spans="1:28" x14ac:dyDescent="0.2">
      <c r="A21" s="62"/>
      <c r="C21" s="35"/>
      <c r="D21" s="35"/>
      <c r="J21" s="35"/>
      <c r="K21" s="35"/>
      <c r="L21" s="35"/>
    </row>
    <row r="22" spans="1:28" x14ac:dyDescent="0.2">
      <c r="A22" s="62">
        <v>5000</v>
      </c>
      <c r="C22" s="36">
        <f>+S22</f>
        <v>2550</v>
      </c>
      <c r="D22" s="36">
        <f>+W22</f>
        <v>2765.5</v>
      </c>
      <c r="E22" s="36">
        <f>+D22-C22</f>
        <v>215.5</v>
      </c>
      <c r="F22" s="37">
        <f>ROUND(+E22/C22,4)</f>
        <v>8.4500000000000006E-2</v>
      </c>
      <c r="G22" s="36">
        <f>ROUND($A22*$R$10,2)</f>
        <v>0</v>
      </c>
      <c r="H22" s="36">
        <f>ROUND($A22*$R$11,2)</f>
        <v>682.97</v>
      </c>
      <c r="I22" s="36">
        <f>ROUND($A22*$R$12,2)</f>
        <v>0</v>
      </c>
      <c r="J22" s="36">
        <f>+C22+G22+H22+I22</f>
        <v>3232.9700000000003</v>
      </c>
      <c r="K22" s="36">
        <f>+D22+G22+H22+I22</f>
        <v>3448.4700000000003</v>
      </c>
      <c r="L22" s="37">
        <f>ROUND((K22-J22)/J22,4)</f>
        <v>6.6699999999999995E-2</v>
      </c>
      <c r="Q22" s="38">
        <f>+$Q$20</f>
        <v>400</v>
      </c>
      <c r="R22" s="38">
        <f>ROUND($R$18*$A22,2)</f>
        <v>2150</v>
      </c>
      <c r="S22" s="38">
        <f>SUM(Q22:R22)</f>
        <v>2550</v>
      </c>
      <c r="U22" s="38">
        <f>+$U$20</f>
        <v>550</v>
      </c>
      <c r="V22" s="38">
        <f>ROUND($V$18*$A22,2)</f>
        <v>2215.5</v>
      </c>
      <c r="W22" s="38">
        <f>SUM(U22:V22)</f>
        <v>2765.5</v>
      </c>
    </row>
    <row r="23" spans="1:28" x14ac:dyDescent="0.2">
      <c r="A23" s="62"/>
      <c r="C23" s="36"/>
      <c r="D23" s="36"/>
      <c r="J23" s="36"/>
      <c r="K23" s="36"/>
      <c r="L23" s="37"/>
    </row>
    <row r="24" spans="1:28" x14ac:dyDescent="0.2">
      <c r="A24" s="62">
        <v>10000</v>
      </c>
      <c r="C24" s="36">
        <f>+S24</f>
        <v>4700</v>
      </c>
      <c r="D24" s="36">
        <f>+W24</f>
        <v>4981</v>
      </c>
      <c r="E24" s="36">
        <f>+D24-C24</f>
        <v>281</v>
      </c>
      <c r="F24" s="37">
        <f>ROUND(+E24/C24,4)</f>
        <v>5.9799999999999999E-2</v>
      </c>
      <c r="G24" s="36">
        <f>ROUND($A24*$R$10,2)</f>
        <v>0</v>
      </c>
      <c r="H24" s="36">
        <f>ROUND($A24*$R$11,2)</f>
        <v>1365.94</v>
      </c>
      <c r="I24" s="36">
        <f>ROUND($A24*$R$12,2)</f>
        <v>0</v>
      </c>
      <c r="J24" s="36">
        <f>+C24+G24+H24+I24</f>
        <v>6065.9400000000005</v>
      </c>
      <c r="K24" s="36">
        <f>+D24+G24+H24+I24</f>
        <v>6346.9400000000005</v>
      </c>
      <c r="L24" s="37">
        <f>ROUND((K24-J24)/J24,4)</f>
        <v>4.6300000000000001E-2</v>
      </c>
      <c r="Q24" s="38">
        <f>+$Q$20</f>
        <v>400</v>
      </c>
      <c r="R24" s="38">
        <f>ROUND($R$18*$A24,2)</f>
        <v>4300</v>
      </c>
      <c r="S24" s="38">
        <f>SUM(Q24:R24)</f>
        <v>4700</v>
      </c>
      <c r="U24" s="38">
        <f>+$U$20</f>
        <v>550</v>
      </c>
      <c r="V24" s="38">
        <f>ROUND($V$18*$A24,2)</f>
        <v>4431</v>
      </c>
      <c r="W24" s="38">
        <f>SUM(U24:V24)</f>
        <v>4981</v>
      </c>
    </row>
    <row r="25" spans="1:28" x14ac:dyDescent="0.2">
      <c r="A25" s="62"/>
      <c r="C25" s="35"/>
      <c r="D25" s="35"/>
      <c r="J25" s="35"/>
      <c r="K25" s="35"/>
      <c r="L25" s="35"/>
    </row>
    <row r="26" spans="1:28" x14ac:dyDescent="0.2">
      <c r="A26" s="62">
        <v>12500</v>
      </c>
      <c r="C26" s="39">
        <f>+S26</f>
        <v>5775</v>
      </c>
      <c r="D26" s="39">
        <f>+W26</f>
        <v>6088.75</v>
      </c>
      <c r="E26" s="36">
        <f>+D26-C26</f>
        <v>313.75</v>
      </c>
      <c r="F26" s="37">
        <f>ROUND(+E26/C26,4)</f>
        <v>5.4300000000000001E-2</v>
      </c>
      <c r="G26" s="36">
        <f>ROUND($A26*$R$10,2)</f>
        <v>0</v>
      </c>
      <c r="H26" s="36">
        <f>ROUND($A26*$R$11,2)</f>
        <v>1707.43</v>
      </c>
      <c r="I26" s="36">
        <f>ROUND($A26*$R$12,2)</f>
        <v>0</v>
      </c>
      <c r="J26" s="39">
        <f>+C26+G26+H26+I26</f>
        <v>7482.43</v>
      </c>
      <c r="K26" s="39">
        <f>+D26+G26+H26+I26</f>
        <v>7796.18</v>
      </c>
      <c r="L26" s="37">
        <f>ROUND((K26-J26)/J26,4)</f>
        <v>4.19E-2</v>
      </c>
      <c r="Q26" s="38">
        <f>+$Q$20</f>
        <v>400</v>
      </c>
      <c r="R26" s="38">
        <f>ROUND($R$18*$A26,2)</f>
        <v>5375</v>
      </c>
      <c r="S26" s="38">
        <f>SUM(Q26:R26)</f>
        <v>5775</v>
      </c>
      <c r="U26" s="38">
        <f>+$U$20</f>
        <v>550</v>
      </c>
      <c r="V26" s="38">
        <f>ROUND($V$18*$A26,2)</f>
        <v>5538.75</v>
      </c>
      <c r="W26" s="38">
        <f>SUM(U26:V26)</f>
        <v>6088.75</v>
      </c>
    </row>
    <row r="27" spans="1:28" x14ac:dyDescent="0.2">
      <c r="A27" s="62"/>
      <c r="C27" s="35"/>
      <c r="D27" s="35"/>
      <c r="J27" s="35"/>
      <c r="K27" s="35"/>
      <c r="L27" s="35"/>
    </row>
    <row r="28" spans="1:28" x14ac:dyDescent="0.2">
      <c r="A28" s="62">
        <v>15000</v>
      </c>
      <c r="C28" s="36">
        <f>+S28</f>
        <v>6850</v>
      </c>
      <c r="D28" s="36">
        <f>+W28</f>
        <v>7196.5</v>
      </c>
      <c r="E28" s="36">
        <f>+D28-C28</f>
        <v>346.5</v>
      </c>
      <c r="F28" s="37">
        <f>ROUND(+E28/C28,4)</f>
        <v>5.0599999999999999E-2</v>
      </c>
      <c r="G28" s="36">
        <f>ROUND($A28*$R$10,2)</f>
        <v>0</v>
      </c>
      <c r="H28" s="36">
        <f>ROUND($A28*$R$11,2)</f>
        <v>2048.91</v>
      </c>
      <c r="I28" s="36">
        <f>ROUND($A28*$R$12,2)</f>
        <v>0</v>
      </c>
      <c r="J28" s="36">
        <f>+C28+G28+H28+I28</f>
        <v>8898.91</v>
      </c>
      <c r="K28" s="36">
        <f>+D28+G28+H28+I28</f>
        <v>9245.41</v>
      </c>
      <c r="L28" s="37">
        <f>ROUND((K28-J28)/J28,4)</f>
        <v>3.8899999999999997E-2</v>
      </c>
      <c r="Q28" s="38">
        <f>+$Q$20</f>
        <v>400</v>
      </c>
      <c r="R28" s="38">
        <f>ROUND($R$18*$A28,2)</f>
        <v>6450</v>
      </c>
      <c r="S28" s="38">
        <f>SUM(Q28:R28)</f>
        <v>6850</v>
      </c>
      <c r="U28" s="38">
        <f>+$U$20</f>
        <v>550</v>
      </c>
      <c r="V28" s="38">
        <f>ROUND($V$18*$A28,2)</f>
        <v>6646.5</v>
      </c>
      <c r="W28" s="38">
        <f>SUM(U28:V28)</f>
        <v>7196.5</v>
      </c>
    </row>
    <row r="29" spans="1:28" x14ac:dyDescent="0.2">
      <c r="A29" s="62"/>
      <c r="C29" s="35"/>
      <c r="D29" s="35"/>
      <c r="J29" s="35"/>
      <c r="K29" s="35"/>
      <c r="L29" s="35"/>
    </row>
    <row r="30" spans="1:28" x14ac:dyDescent="0.2">
      <c r="A30" s="62">
        <v>25000</v>
      </c>
      <c r="C30" s="36">
        <f>+S30</f>
        <v>11150</v>
      </c>
      <c r="D30" s="36">
        <f>+W30</f>
        <v>11627.5</v>
      </c>
      <c r="E30" s="36">
        <f>+D30-C30</f>
        <v>477.5</v>
      </c>
      <c r="F30" s="37">
        <f>ROUND(+E30/C30,4)</f>
        <v>4.2799999999999998E-2</v>
      </c>
      <c r="G30" s="36">
        <f>ROUND($A30*$R$10,2)</f>
        <v>0</v>
      </c>
      <c r="H30" s="36">
        <f>ROUND($A30*$R$11,2)</f>
        <v>3414.86</v>
      </c>
      <c r="I30" s="36">
        <f>ROUND($A30*$R$12,2)</f>
        <v>0</v>
      </c>
      <c r="J30" s="36">
        <f>+C30+G30+H30+I30</f>
        <v>14564.86</v>
      </c>
      <c r="K30" s="36">
        <f>+D30+G30+H30+I30</f>
        <v>15042.36</v>
      </c>
      <c r="L30" s="37">
        <f>ROUND((K30-J30)/J30,4)</f>
        <v>3.2800000000000003E-2</v>
      </c>
      <c r="Q30" s="38">
        <f>+$Q$20</f>
        <v>400</v>
      </c>
      <c r="R30" s="38">
        <f>ROUND($R$18*$A30,2)</f>
        <v>10750</v>
      </c>
      <c r="S30" s="38">
        <f>SUM(Q30:R30)</f>
        <v>11150</v>
      </c>
      <c r="U30" s="38">
        <f>+$U$20</f>
        <v>550</v>
      </c>
      <c r="V30" s="38">
        <f>ROUND($V$18*$A30,2)</f>
        <v>11077.5</v>
      </c>
      <c r="W30" s="38">
        <f>SUM(U30:V30)</f>
        <v>11627.5</v>
      </c>
    </row>
    <row r="31" spans="1:28" x14ac:dyDescent="0.2">
      <c r="A31" s="62"/>
      <c r="C31" s="35"/>
      <c r="D31" s="35"/>
      <c r="J31" s="35"/>
      <c r="K31" s="35"/>
      <c r="L31" s="35"/>
    </row>
    <row r="32" spans="1:28" x14ac:dyDescent="0.2">
      <c r="A32" s="62">
        <v>50000</v>
      </c>
      <c r="C32" s="36">
        <f>+S32</f>
        <v>21900</v>
      </c>
      <c r="D32" s="36">
        <f>+W32</f>
        <v>22705</v>
      </c>
      <c r="E32" s="36">
        <f>+D32-C32</f>
        <v>805</v>
      </c>
      <c r="F32" s="37">
        <f>ROUND(+E32/C32,4)</f>
        <v>3.6799999999999999E-2</v>
      </c>
      <c r="G32" s="36">
        <f>ROUND($A32*$R$10,2)</f>
        <v>0</v>
      </c>
      <c r="H32" s="36">
        <f>ROUND($A32*$R$11,2)</f>
        <v>6829.71</v>
      </c>
      <c r="I32" s="36">
        <f>ROUND($A32*$R$12,2)</f>
        <v>0</v>
      </c>
      <c r="J32" s="36">
        <f>+C32+G32+H32+I32</f>
        <v>28729.71</v>
      </c>
      <c r="K32" s="36">
        <f>+D32+G32+H32+I32</f>
        <v>29534.71</v>
      </c>
      <c r="L32" s="37">
        <f>ROUND((K32-J32)/J32,4)</f>
        <v>2.8000000000000001E-2</v>
      </c>
      <c r="Q32" s="38">
        <f>+$Q$20</f>
        <v>400</v>
      </c>
      <c r="R32" s="38">
        <f>ROUND($R$18*$A32,2)</f>
        <v>21500</v>
      </c>
      <c r="S32" s="38">
        <f>SUM(Q32:R32)</f>
        <v>21900</v>
      </c>
      <c r="U32" s="38">
        <f>+$U$20</f>
        <v>550</v>
      </c>
      <c r="V32" s="38">
        <f>ROUND($V$18*$A32,2)</f>
        <v>22155</v>
      </c>
      <c r="W32" s="38">
        <f>SUM(U32:V32)</f>
        <v>22705</v>
      </c>
    </row>
    <row r="33" spans="1:23" x14ac:dyDescent="0.2">
      <c r="A33" s="62"/>
      <c r="C33" s="35"/>
      <c r="D33" s="35"/>
      <c r="J33" s="35"/>
      <c r="K33" s="35"/>
      <c r="L33" s="35"/>
    </row>
    <row r="34" spans="1:23" x14ac:dyDescent="0.2">
      <c r="A34" s="62">
        <v>75000</v>
      </c>
      <c r="C34" s="36">
        <f>+S34</f>
        <v>32650</v>
      </c>
      <c r="D34" s="36">
        <f>+W34</f>
        <v>33782.5</v>
      </c>
      <c r="E34" s="36">
        <f>+D34-C34</f>
        <v>1132.5</v>
      </c>
      <c r="F34" s="37">
        <f>ROUND(+E34/C34,4)</f>
        <v>3.4700000000000002E-2</v>
      </c>
      <c r="G34" s="36">
        <f>ROUND($A34*$R$10,2)</f>
        <v>0</v>
      </c>
      <c r="H34" s="36">
        <f>ROUND($A34*$R$11,2)</f>
        <v>10244.57</v>
      </c>
      <c r="I34" s="36">
        <f>ROUND($A34*$R$12,2)</f>
        <v>0</v>
      </c>
      <c r="J34" s="36">
        <f>+C34+G34+H34+I34</f>
        <v>42894.57</v>
      </c>
      <c r="K34" s="36">
        <f>+D34+G34+H34+I34</f>
        <v>44027.07</v>
      </c>
      <c r="L34" s="37">
        <f>ROUND((K34-J34)/J34,4)</f>
        <v>2.64E-2</v>
      </c>
      <c r="Q34" s="38">
        <f>+$Q$20</f>
        <v>400</v>
      </c>
      <c r="R34" s="38">
        <f>ROUND($R$18*$A34,2)</f>
        <v>32250</v>
      </c>
      <c r="S34" s="38">
        <f>SUM(Q34:R34)</f>
        <v>32650</v>
      </c>
      <c r="U34" s="38">
        <f>+$U$20</f>
        <v>550</v>
      </c>
      <c r="V34" s="38">
        <f>ROUND($V$18*$A34,2)</f>
        <v>33232.5</v>
      </c>
      <c r="W34" s="38">
        <f>SUM(U34:V34)</f>
        <v>33782.5</v>
      </c>
    </row>
    <row r="35" spans="1:23" x14ac:dyDescent="0.2">
      <c r="J35" s="35"/>
      <c r="K35" s="35"/>
      <c r="L35" s="35"/>
    </row>
    <row r="36" spans="1:23" x14ac:dyDescent="0.2">
      <c r="A36" s="34" t="s">
        <v>125</v>
      </c>
      <c r="C36" s="61"/>
      <c r="D36" s="62"/>
      <c r="J36" s="36"/>
      <c r="K36" s="36"/>
      <c r="L36" s="37"/>
    </row>
    <row r="37" spans="1:23" x14ac:dyDescent="0.2">
      <c r="A37" s="65" t="str">
        <f>("Average usage = "&amp;TEXT(INPUT!H17,"0,000")&amp;" Mcf per month")</f>
        <v>Average usage = 12,188 Mcf per month</v>
      </c>
    </row>
    <row r="38" spans="1:23" x14ac:dyDescent="0.2">
      <c r="A38" s="67" t="s">
        <v>127</v>
      </c>
    </row>
    <row r="39" spans="1:23" x14ac:dyDescent="0.2">
      <c r="A39" s="84" t="str">
        <f>+'Rate Case Constants'!$C$26</f>
        <v>Calculations may vary from other schedules due to rounding</v>
      </c>
    </row>
    <row r="41" spans="1:23" x14ac:dyDescent="0.2">
      <c r="P41" s="18"/>
    </row>
  </sheetData>
  <mergeCells count="5">
    <mergeCell ref="G15:I15"/>
    <mergeCell ref="A1:L1"/>
    <mergeCell ref="A2:L2"/>
    <mergeCell ref="A3:L3"/>
    <mergeCell ref="A4:L4"/>
  </mergeCells>
  <printOptions horizontalCentered="1"/>
  <pageMargins left="0.7" right="0.7" top="1.25" bottom="0.75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I48"/>
  <sheetViews>
    <sheetView zoomScale="80" zoomScaleNormal="80" workbookViewId="0">
      <selection activeCell="I10" sqref="I10"/>
    </sheetView>
  </sheetViews>
  <sheetFormatPr defaultRowHeight="15" x14ac:dyDescent="0.25"/>
  <cols>
    <col min="1" max="1" width="39.140625" style="46" bestFit="1" customWidth="1"/>
    <col min="2" max="2" width="1.7109375" style="46" customWidth="1"/>
    <col min="3" max="3" width="57.42578125" style="46" bestFit="1" customWidth="1"/>
    <col min="8" max="8" width="17" bestFit="1" customWidth="1"/>
    <col min="9" max="9" width="15.5703125" customWidth="1"/>
  </cols>
  <sheetData>
    <row r="1" spans="1:9" ht="15.75" x14ac:dyDescent="0.25">
      <c r="A1" s="92" t="s">
        <v>70</v>
      </c>
      <c r="B1" s="92"/>
      <c r="C1" s="92"/>
    </row>
    <row r="2" spans="1:9" ht="15.75" x14ac:dyDescent="0.25">
      <c r="A2" s="92" t="s">
        <v>71</v>
      </c>
      <c r="B2" s="92"/>
      <c r="C2" s="92"/>
    </row>
    <row r="3" spans="1:9" ht="15.75" x14ac:dyDescent="0.25">
      <c r="A3" s="92" t="s">
        <v>72</v>
      </c>
      <c r="B3" s="92"/>
      <c r="C3" s="92"/>
    </row>
    <row r="8" spans="1:9" x14ac:dyDescent="0.25">
      <c r="A8" s="47" t="s">
        <v>73</v>
      </c>
      <c r="G8">
        <v>1</v>
      </c>
      <c r="H8" t="s">
        <v>15</v>
      </c>
      <c r="I8" t="str">
        <f t="shared" ref="I8:I16" si="0">("PAGE "&amp;G8&amp;" OF "&amp;$G$20)</f>
        <v>PAGE 1 OF 9</v>
      </c>
    </row>
    <row r="9" spans="1:9" x14ac:dyDescent="0.25">
      <c r="A9" s="46" t="s">
        <v>74</v>
      </c>
      <c r="C9" s="48" t="s">
        <v>70</v>
      </c>
      <c r="G9">
        <f>1+G8</f>
        <v>2</v>
      </c>
      <c r="H9" t="s">
        <v>117</v>
      </c>
      <c r="I9" t="str">
        <f t="shared" si="0"/>
        <v>PAGE 2 OF 9</v>
      </c>
    </row>
    <row r="10" spans="1:9" x14ac:dyDescent="0.25">
      <c r="A10" s="46" t="s">
        <v>75</v>
      </c>
      <c r="C10" s="51" t="s">
        <v>102</v>
      </c>
      <c r="G10">
        <f t="shared" ref="G10:G16" si="1">1+G9</f>
        <v>3</v>
      </c>
      <c r="H10" t="s">
        <v>118</v>
      </c>
      <c r="I10" t="str">
        <f t="shared" si="0"/>
        <v>PAGE 3 OF 9</v>
      </c>
    </row>
    <row r="11" spans="1:9" x14ac:dyDescent="0.25">
      <c r="A11" s="46" t="s">
        <v>76</v>
      </c>
      <c r="C11" s="48" t="s">
        <v>77</v>
      </c>
      <c r="G11">
        <f t="shared" si="1"/>
        <v>4</v>
      </c>
      <c r="H11" t="s">
        <v>119</v>
      </c>
      <c r="I11" t="str">
        <f t="shared" si="0"/>
        <v>PAGE 4 OF 9</v>
      </c>
    </row>
    <row r="12" spans="1:9" x14ac:dyDescent="0.25">
      <c r="C12" s="48" t="s">
        <v>78</v>
      </c>
      <c r="G12">
        <f t="shared" si="1"/>
        <v>5</v>
      </c>
      <c r="H12" t="s">
        <v>120</v>
      </c>
      <c r="I12" t="str">
        <f t="shared" si="0"/>
        <v>PAGE 5 OF 9</v>
      </c>
    </row>
    <row r="13" spans="1:9" x14ac:dyDescent="0.25">
      <c r="C13" s="48" t="s">
        <v>79</v>
      </c>
      <c r="G13">
        <f t="shared" si="1"/>
        <v>6</v>
      </c>
      <c r="H13" t="s">
        <v>14</v>
      </c>
      <c r="I13" t="str">
        <f t="shared" si="0"/>
        <v>PAGE 6 OF 9</v>
      </c>
    </row>
    <row r="14" spans="1:9" x14ac:dyDescent="0.25">
      <c r="C14" s="48" t="s">
        <v>80</v>
      </c>
      <c r="G14">
        <f t="shared" si="1"/>
        <v>7</v>
      </c>
      <c r="H14" t="s">
        <v>121</v>
      </c>
      <c r="I14" t="str">
        <f t="shared" si="0"/>
        <v>PAGE 7 OF 9</v>
      </c>
    </row>
    <row r="15" spans="1:9" x14ac:dyDescent="0.25">
      <c r="C15" s="48" t="s">
        <v>81</v>
      </c>
      <c r="G15">
        <f t="shared" si="1"/>
        <v>8</v>
      </c>
      <c r="H15" s="10" t="s">
        <v>122</v>
      </c>
      <c r="I15" t="str">
        <f t="shared" si="0"/>
        <v>PAGE 8 OF 9</v>
      </c>
    </row>
    <row r="16" spans="1:9" x14ac:dyDescent="0.25">
      <c r="C16" s="48" t="s">
        <v>82</v>
      </c>
      <c r="G16">
        <f t="shared" si="1"/>
        <v>9</v>
      </c>
      <c r="H16" t="s">
        <v>16</v>
      </c>
      <c r="I16" t="str">
        <f t="shared" si="0"/>
        <v>PAGE 9 OF 9</v>
      </c>
    </row>
    <row r="17" spans="1:7" x14ac:dyDescent="0.25">
      <c r="A17" s="46" t="s">
        <v>83</v>
      </c>
      <c r="C17" s="48" t="s">
        <v>84</v>
      </c>
    </row>
    <row r="18" spans="1:7" x14ac:dyDescent="0.25">
      <c r="C18" s="48" t="s">
        <v>85</v>
      </c>
    </row>
    <row r="19" spans="1:7" x14ac:dyDescent="0.25">
      <c r="C19" s="48" t="s">
        <v>86</v>
      </c>
    </row>
    <row r="20" spans="1:7" x14ac:dyDescent="0.25">
      <c r="C20" s="48" t="s">
        <v>87</v>
      </c>
      <c r="G20">
        <f>COUNT(G8:G19)</f>
        <v>9</v>
      </c>
    </row>
    <row r="21" spans="1:7" x14ac:dyDescent="0.25">
      <c r="C21" s="48" t="s">
        <v>88</v>
      </c>
    </row>
    <row r="22" spans="1:7" x14ac:dyDescent="0.25">
      <c r="C22" s="48" t="s">
        <v>89</v>
      </c>
    </row>
    <row r="24" spans="1:7" x14ac:dyDescent="0.25">
      <c r="A24" s="52" t="s">
        <v>103</v>
      </c>
      <c r="C24" s="70" t="s">
        <v>128</v>
      </c>
    </row>
    <row r="25" spans="1:7" x14ac:dyDescent="0.25">
      <c r="A25" s="52" t="s">
        <v>104</v>
      </c>
      <c r="C25" s="70" t="s">
        <v>134</v>
      </c>
    </row>
    <row r="26" spans="1:7" x14ac:dyDescent="0.25">
      <c r="A26" s="83" t="s">
        <v>125</v>
      </c>
      <c r="B26" s="74"/>
      <c r="C26" s="90" t="s">
        <v>135</v>
      </c>
    </row>
    <row r="27" spans="1:7" x14ac:dyDescent="0.25">
      <c r="C27" s="53"/>
    </row>
    <row r="28" spans="1:7" x14ac:dyDescent="0.25">
      <c r="A28" s="47" t="s">
        <v>90</v>
      </c>
      <c r="C28" s="49"/>
    </row>
    <row r="29" spans="1:7" x14ac:dyDescent="0.25">
      <c r="A29" s="46" t="s">
        <v>91</v>
      </c>
      <c r="C29" s="46" t="s">
        <v>92</v>
      </c>
    </row>
    <row r="30" spans="1:7" x14ac:dyDescent="0.25">
      <c r="A30" s="46" t="s">
        <v>93</v>
      </c>
      <c r="C30" s="46" t="s">
        <v>94</v>
      </c>
    </row>
    <row r="31" spans="1:7" x14ac:dyDescent="0.25">
      <c r="A31" s="46" t="s">
        <v>95</v>
      </c>
      <c r="C31" s="46" t="s">
        <v>96</v>
      </c>
    </row>
    <row r="33" spans="1:3" x14ac:dyDescent="0.25">
      <c r="C33" s="53" t="s">
        <v>105</v>
      </c>
    </row>
    <row r="34" spans="1:3" x14ac:dyDescent="0.25">
      <c r="C34" s="53" t="s">
        <v>106</v>
      </c>
    </row>
    <row r="35" spans="1:3" x14ac:dyDescent="0.25">
      <c r="A35" s="47" t="s">
        <v>97</v>
      </c>
    </row>
    <row r="36" spans="1:3" x14ac:dyDescent="0.25">
      <c r="A36" s="46" t="s">
        <v>98</v>
      </c>
      <c r="C36" s="46" t="str">
        <f>CONCATENATE($A$35,"   ", A36)</f>
        <v>WITNESS:   K. W. BLAKE</v>
      </c>
    </row>
    <row r="37" spans="1:3" x14ac:dyDescent="0.25">
      <c r="A37" s="46" t="s">
        <v>99</v>
      </c>
      <c r="C37" s="46" t="str">
        <f t="shared" ref="C37:C48" si="2">CONCATENATE($A$35,"   ", A37)</f>
        <v>WITNESS:   R. M. CONROY</v>
      </c>
    </row>
    <row r="38" spans="1:3" x14ac:dyDescent="0.25">
      <c r="C38" s="46" t="str">
        <f t="shared" si="2"/>
        <v xml:space="preserve">WITNESS:   </v>
      </c>
    </row>
    <row r="39" spans="1:3" x14ac:dyDescent="0.25">
      <c r="C39" s="46" t="str">
        <f t="shared" si="2"/>
        <v xml:space="preserve">WITNESS:   </v>
      </c>
    </row>
    <row r="40" spans="1:3" x14ac:dyDescent="0.25">
      <c r="C40" s="46" t="str">
        <f t="shared" si="2"/>
        <v xml:space="preserve">WITNESS:   </v>
      </c>
    </row>
    <row r="41" spans="1:3" x14ac:dyDescent="0.25">
      <c r="C41" s="46" t="str">
        <f t="shared" si="2"/>
        <v xml:space="preserve">WITNESS:   </v>
      </c>
    </row>
    <row r="42" spans="1:3" x14ac:dyDescent="0.25">
      <c r="C42" s="46" t="str">
        <f t="shared" si="2"/>
        <v xml:space="preserve">WITNESS:   </v>
      </c>
    </row>
    <row r="43" spans="1:3" x14ac:dyDescent="0.25">
      <c r="C43" s="46" t="str">
        <f t="shared" si="2"/>
        <v xml:space="preserve">WITNESS:   </v>
      </c>
    </row>
    <row r="44" spans="1:3" x14ac:dyDescent="0.25">
      <c r="C44" s="46" t="str">
        <f t="shared" si="2"/>
        <v xml:space="preserve">WITNESS:   </v>
      </c>
    </row>
    <row r="45" spans="1:3" x14ac:dyDescent="0.25">
      <c r="C45" s="46" t="str">
        <f t="shared" si="2"/>
        <v xml:space="preserve">WITNESS:   </v>
      </c>
    </row>
    <row r="46" spans="1:3" x14ac:dyDescent="0.25">
      <c r="C46" s="46" t="str">
        <f t="shared" si="2"/>
        <v xml:space="preserve">WITNESS:   </v>
      </c>
    </row>
    <row r="47" spans="1:3" x14ac:dyDescent="0.25">
      <c r="C47" s="46" t="str">
        <f t="shared" si="2"/>
        <v xml:space="preserve">WITNESS:   </v>
      </c>
    </row>
    <row r="48" spans="1:3" x14ac:dyDescent="0.25">
      <c r="C48" s="46" t="str">
        <f t="shared" si="2"/>
        <v xml:space="preserve">WITNESS:   </v>
      </c>
    </row>
  </sheetData>
  <mergeCells count="3">
    <mergeCell ref="A1:C1"/>
    <mergeCell ref="A2:C2"/>
    <mergeCell ref="A3:C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"/>
  <sheetViews>
    <sheetView topLeftCell="A2" workbookViewId="0">
      <selection activeCell="C47" sqref="C47"/>
    </sheetView>
  </sheetViews>
  <sheetFormatPr defaultRowHeight="12.75" x14ac:dyDescent="0.2"/>
  <cols>
    <col min="1" max="16384" width="9.140625" style="74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9"/>
  <sheetViews>
    <sheetView tabSelected="1" view="pageBreakPreview" zoomScaleNormal="100" zoomScaleSheetLayoutView="100" workbookViewId="0">
      <selection activeCell="A38" sqref="A38"/>
    </sheetView>
  </sheetViews>
  <sheetFormatPr defaultRowHeight="12.75" x14ac:dyDescent="0.2"/>
  <cols>
    <col min="1" max="1" width="9.28515625" style="34" bestFit="1" customWidth="1"/>
    <col min="2" max="2" width="2" style="34" customWidth="1"/>
    <col min="3" max="6" width="12" style="34" customWidth="1"/>
    <col min="7" max="7" width="8.7109375" style="34" bestFit="1" customWidth="1"/>
    <col min="8" max="12" width="12" style="34" customWidth="1"/>
    <col min="13" max="16" width="4.28515625" style="34" customWidth="1"/>
    <col min="17" max="17" width="9.28515625" style="34" bestFit="1" customWidth="1"/>
    <col min="18" max="18" width="10.85546875" style="34" bestFit="1" customWidth="1"/>
    <col min="19" max="19" width="9.28515625" style="34" bestFit="1" customWidth="1"/>
    <col min="20" max="20" width="9.140625" style="34"/>
    <col min="21" max="21" width="9.28515625" style="34" bestFit="1" customWidth="1"/>
    <col min="22" max="22" width="10.85546875" style="34" bestFit="1" customWidth="1"/>
    <col min="23" max="23" width="9.28515625" style="34" bestFit="1" customWidth="1"/>
    <col min="24" max="16384" width="9.140625" style="34"/>
  </cols>
  <sheetData>
    <row r="1" spans="1:28" x14ac:dyDescent="0.2">
      <c r="A1" s="97" t="str">
        <f>+'Rate Case Constants'!C9</f>
        <v>LOUISVILLE GAS AND ELECTRIC COMPANY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28" x14ac:dyDescent="0.2">
      <c r="A2" s="97" t="str">
        <f>+'Rate Case Constants'!C10</f>
        <v>CASE NO. 2014-00372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1:28" x14ac:dyDescent="0.2">
      <c r="A3" s="98" t="str">
        <f>+'Rate Case Constants'!C24</f>
        <v>Typical Gas Bill Comparison under Present &amp; Proposed Rates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28" x14ac:dyDescent="0.2">
      <c r="A4" s="97" t="str">
        <f>+'Rate Case Constants'!C21</f>
        <v>FORECAST PERIOD FOR THE 12 MONTHS ENDED JUNE 30, 2016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R4" s="93"/>
      <c r="S4" s="94"/>
      <c r="T4" s="94"/>
      <c r="U4" s="94"/>
      <c r="V4" s="94"/>
      <c r="W4" s="94"/>
      <c r="X4" s="94"/>
      <c r="Y4" s="94"/>
      <c r="Z4" s="94"/>
    </row>
    <row r="6" spans="1:28" x14ac:dyDescent="0.2">
      <c r="A6" s="68"/>
    </row>
    <row r="7" spans="1:28" x14ac:dyDescent="0.2">
      <c r="A7" s="34" t="str">
        <f>+'Rate Case Constants'!C33</f>
        <v>DATA: ____BASE PERIOD__X___FORECASTED PERIOD</v>
      </c>
      <c r="L7" s="59" t="str">
        <f>+'Rate Case Constants'!C25</f>
        <v>SCHEDULE N (Gas)</v>
      </c>
    </row>
    <row r="8" spans="1:28" x14ac:dyDescent="0.2">
      <c r="A8" s="34" t="str">
        <f>+'Rate Case Constants'!C29</f>
        <v>TYPE OF FILING: __X__ ORIGINAL  _____ UPDATED  _____ REVISED</v>
      </c>
      <c r="L8" s="60" t="str">
        <f>+'Rate Case Constants'!I8</f>
        <v>PAGE 1 OF 9</v>
      </c>
    </row>
    <row r="9" spans="1:28" x14ac:dyDescent="0.2">
      <c r="A9" s="34" t="str">
        <f>+'Rate Case Constants'!C34</f>
        <v>WORKPAPER REFERENCE NO(S):________</v>
      </c>
      <c r="L9" s="59" t="str">
        <f>+'Rate Case Constants'!C37</f>
        <v>WITNESS:   R. M. CONROY</v>
      </c>
    </row>
    <row r="10" spans="1:28" x14ac:dyDescent="0.2">
      <c r="L10" s="59"/>
      <c r="Q10" s="26" t="s">
        <v>37</v>
      </c>
      <c r="R10" s="22">
        <f>+INPUT!H40</f>
        <v>5.2597418295813521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</row>
    <row r="11" spans="1:28" x14ac:dyDescent="0.2">
      <c r="A11" s="54" t="s">
        <v>61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6"/>
      <c r="N11" s="56"/>
      <c r="O11" s="56"/>
      <c r="P11" s="56"/>
      <c r="Q11" s="57" t="s">
        <v>34</v>
      </c>
      <c r="R11" s="58">
        <f>+INPUT!I40</f>
        <v>9.5931509813526453E-2</v>
      </c>
      <c r="S11" s="17"/>
      <c r="T11" s="17"/>
      <c r="U11" s="23"/>
      <c r="V11" s="17"/>
      <c r="W11" s="17"/>
      <c r="X11" s="35"/>
      <c r="Y11" s="35"/>
      <c r="Z11" s="35"/>
      <c r="AA11" s="35"/>
      <c r="AB11" s="35"/>
    </row>
    <row r="12" spans="1:28" x14ac:dyDescent="0.2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Q12" s="26" t="s">
        <v>38</v>
      </c>
      <c r="R12" s="71">
        <f>+INPUT!L40</f>
        <v>3.6300575042640277</v>
      </c>
      <c r="S12" s="17"/>
      <c r="T12" s="17"/>
      <c r="U12" s="17"/>
      <c r="V12" s="17"/>
      <c r="W12" s="17"/>
      <c r="X12" s="35"/>
      <c r="Y12" s="35"/>
      <c r="Z12" s="35"/>
      <c r="AA12" s="35"/>
      <c r="AB12" s="35"/>
    </row>
    <row r="13" spans="1:28" x14ac:dyDescent="0.2">
      <c r="A13" s="17"/>
      <c r="B13" s="17"/>
      <c r="C13" s="18" t="s">
        <v>107</v>
      </c>
      <c r="D13" s="19" t="s">
        <v>115</v>
      </c>
      <c r="E13" s="19" t="s">
        <v>108</v>
      </c>
      <c r="F13" s="18" t="s">
        <v>109</v>
      </c>
      <c r="G13" s="18" t="s">
        <v>110</v>
      </c>
      <c r="H13" s="18" t="s">
        <v>111</v>
      </c>
      <c r="I13" s="19" t="s">
        <v>116</v>
      </c>
      <c r="J13" s="18" t="s">
        <v>112</v>
      </c>
      <c r="K13" s="18" t="s">
        <v>113</v>
      </c>
      <c r="L13" s="18" t="s">
        <v>114</v>
      </c>
      <c r="Q13" s="17"/>
      <c r="R13" s="17"/>
      <c r="S13" s="17"/>
      <c r="T13" s="17"/>
      <c r="U13" s="17"/>
      <c r="V13" s="17"/>
      <c r="W13" s="17"/>
      <c r="X13" s="35"/>
      <c r="Y13" s="35"/>
      <c r="Z13" s="35"/>
      <c r="AA13" s="35"/>
      <c r="AB13" s="35"/>
    </row>
    <row r="14" spans="1:28" x14ac:dyDescent="0.2">
      <c r="A14" s="35"/>
      <c r="B14" s="35"/>
      <c r="C14" s="91" t="s">
        <v>136</v>
      </c>
      <c r="D14" s="91" t="s">
        <v>136</v>
      </c>
      <c r="E14" s="35"/>
      <c r="F14" s="35"/>
      <c r="G14" s="35"/>
      <c r="H14" s="35"/>
      <c r="I14" s="35"/>
      <c r="J14" s="18" t="s">
        <v>29</v>
      </c>
      <c r="K14" s="18" t="s">
        <v>29</v>
      </c>
      <c r="L14" s="35"/>
      <c r="Q14" s="24" t="s">
        <v>0</v>
      </c>
      <c r="R14" s="24"/>
      <c r="S14" s="24"/>
      <c r="T14" s="35"/>
      <c r="U14" s="24" t="s">
        <v>28</v>
      </c>
      <c r="V14" s="24"/>
      <c r="W14" s="24"/>
      <c r="X14" s="35"/>
      <c r="Y14" s="35"/>
      <c r="Z14" s="35"/>
      <c r="AA14" s="35"/>
      <c r="AB14" s="35"/>
    </row>
    <row r="15" spans="1:28" x14ac:dyDescent="0.2">
      <c r="A15" s="35"/>
      <c r="B15" s="35"/>
      <c r="C15" s="18" t="s">
        <v>24</v>
      </c>
      <c r="D15" s="18" t="s">
        <v>30</v>
      </c>
      <c r="E15" s="18"/>
      <c r="F15" s="18"/>
      <c r="G15" s="95" t="s">
        <v>31</v>
      </c>
      <c r="H15" s="95"/>
      <c r="I15" s="96"/>
      <c r="J15" s="18" t="s">
        <v>24</v>
      </c>
      <c r="K15" s="18" t="s">
        <v>30</v>
      </c>
      <c r="L15" s="18"/>
      <c r="Q15" s="19" t="s">
        <v>40</v>
      </c>
      <c r="R15" s="18"/>
      <c r="S15" s="19"/>
      <c r="T15" s="35"/>
      <c r="U15" s="19" t="s">
        <v>40</v>
      </c>
      <c r="V15" s="18"/>
      <c r="W15" s="19"/>
      <c r="X15" s="35"/>
      <c r="Y15" s="35"/>
      <c r="Z15" s="35"/>
      <c r="AA15" s="35"/>
      <c r="AB15" s="35"/>
    </row>
    <row r="16" spans="1:28" x14ac:dyDescent="0.2">
      <c r="A16" s="18"/>
      <c r="B16" s="18"/>
      <c r="C16" s="18" t="s">
        <v>32</v>
      </c>
      <c r="D16" s="18" t="s">
        <v>32</v>
      </c>
      <c r="E16" s="18" t="s">
        <v>33</v>
      </c>
      <c r="F16" s="18" t="s">
        <v>33</v>
      </c>
      <c r="G16" s="18" t="s">
        <v>37</v>
      </c>
      <c r="H16" s="18" t="s">
        <v>34</v>
      </c>
      <c r="I16" s="18" t="s">
        <v>38</v>
      </c>
      <c r="J16" s="18" t="s">
        <v>32</v>
      </c>
      <c r="K16" s="18" t="s">
        <v>32</v>
      </c>
      <c r="L16" s="18" t="s">
        <v>33</v>
      </c>
      <c r="Q16" s="19" t="s">
        <v>41</v>
      </c>
      <c r="R16" s="18" t="s">
        <v>137</v>
      </c>
      <c r="S16" s="19" t="s">
        <v>29</v>
      </c>
      <c r="T16" s="35"/>
      <c r="U16" s="19" t="s">
        <v>41</v>
      </c>
      <c r="V16" s="18" t="s">
        <v>137</v>
      </c>
      <c r="W16" s="19" t="s">
        <v>29</v>
      </c>
      <c r="X16" s="35"/>
      <c r="Y16" s="22"/>
      <c r="Z16" s="18" t="s">
        <v>42</v>
      </c>
      <c r="AA16" s="18"/>
      <c r="AB16" s="18" t="s">
        <v>43</v>
      </c>
    </row>
    <row r="17" spans="1:28" x14ac:dyDescent="0.2">
      <c r="A17" s="18" t="s">
        <v>39</v>
      </c>
      <c r="B17" s="18"/>
      <c r="C17" s="18"/>
      <c r="D17" s="18"/>
      <c r="E17" s="18" t="s">
        <v>35</v>
      </c>
      <c r="F17" s="19" t="s">
        <v>36</v>
      </c>
      <c r="G17" s="20"/>
      <c r="H17" s="20"/>
      <c r="I17" s="21"/>
      <c r="J17" s="18" t="s">
        <v>35</v>
      </c>
      <c r="K17" s="18" t="s">
        <v>35</v>
      </c>
      <c r="L17" s="19" t="s">
        <v>36</v>
      </c>
      <c r="Q17" s="40" t="s">
        <v>44</v>
      </c>
      <c r="R17" s="41" t="s">
        <v>44</v>
      </c>
      <c r="S17" s="40" t="s">
        <v>32</v>
      </c>
      <c r="T17" s="35"/>
      <c r="U17" s="40" t="s">
        <v>44</v>
      </c>
      <c r="V17" s="41" t="s">
        <v>44</v>
      </c>
      <c r="W17" s="40" t="s">
        <v>32</v>
      </c>
      <c r="X17" s="35"/>
      <c r="Y17" s="22"/>
      <c r="Z17" s="18" t="s">
        <v>2</v>
      </c>
      <c r="AA17" s="18"/>
      <c r="AB17" s="18" t="s">
        <v>2</v>
      </c>
    </row>
    <row r="18" spans="1:28" x14ac:dyDescent="0.2">
      <c r="A18" s="18"/>
      <c r="B18" s="18"/>
      <c r="C18" s="18"/>
      <c r="D18" s="18"/>
      <c r="E18" s="18" t="str">
        <f>("[ "&amp;D13&amp;" - "&amp;C13&amp;" ]")</f>
        <v>[ B - A ]</v>
      </c>
      <c r="F18" s="18" t="str">
        <f>("[ "&amp;E13&amp;" / "&amp;C13&amp;" ]")</f>
        <v>[ C / A ]</v>
      </c>
      <c r="G18" s="20"/>
      <c r="H18" s="20"/>
      <c r="I18" s="20"/>
      <c r="J18" s="18" t="str">
        <f>("["&amp;C13&amp;"+"&amp;$G$13&amp;"+"&amp;$H$13&amp;"+"&amp;$I$13&amp;"]")</f>
        <v>[A+E+F+G]</v>
      </c>
      <c r="K18" s="18" t="str">
        <f>("["&amp;D13&amp;"+"&amp;$G$13&amp;"+"&amp;$H$13&amp;"+"&amp;$I$13&amp;"]")</f>
        <v>[B+E+F+G]</v>
      </c>
      <c r="L18" s="18" t="str">
        <f>("[("&amp;K13&amp;" - "&amp;J13&amp;") / "&amp;J13&amp;"]")</f>
        <v>[(I - H) / H]</v>
      </c>
      <c r="Q18" s="19"/>
      <c r="R18" s="25">
        <f>+INPUT!$C$9</f>
        <v>2.6418999999999997</v>
      </c>
      <c r="S18" s="19"/>
      <c r="T18" s="35"/>
      <c r="U18" s="19"/>
      <c r="V18" s="25">
        <f>+INPUT!$C$27</f>
        <v>2.1324999999999998</v>
      </c>
      <c r="W18" s="19"/>
      <c r="X18" s="35"/>
      <c r="Y18" s="22"/>
      <c r="Z18" s="18"/>
      <c r="AA18" s="18"/>
      <c r="AB18" s="18"/>
    </row>
    <row r="19" spans="1:28" x14ac:dyDescent="0.2">
      <c r="A19" s="18"/>
      <c r="B19" s="18"/>
      <c r="C19" s="18"/>
      <c r="D19" s="18"/>
      <c r="F19" s="18"/>
      <c r="G19" s="18"/>
      <c r="H19" s="18"/>
      <c r="I19" s="18"/>
      <c r="J19" s="19"/>
      <c r="K19" s="19"/>
      <c r="L19" s="19"/>
      <c r="Q19" s="19"/>
      <c r="R19" s="19" t="s">
        <v>138</v>
      </c>
      <c r="S19" s="19"/>
      <c r="T19" s="35"/>
      <c r="U19" s="19"/>
      <c r="V19" s="19" t="s">
        <v>138</v>
      </c>
      <c r="W19" s="19"/>
      <c r="X19" s="35"/>
      <c r="Y19" s="22"/>
      <c r="Z19" s="18"/>
      <c r="AA19" s="18"/>
      <c r="AB19" s="18"/>
    </row>
    <row r="20" spans="1:28" x14ac:dyDescent="0.2">
      <c r="A20" s="62">
        <v>3</v>
      </c>
      <c r="C20" s="36">
        <f>+S20</f>
        <v>21.43</v>
      </c>
      <c r="D20" s="36">
        <f>+W20</f>
        <v>25.4</v>
      </c>
      <c r="E20" s="36">
        <f>+D20-C20</f>
        <v>3.9699999999999989</v>
      </c>
      <c r="F20" s="37">
        <f>ROUND(+E20/C20,4)</f>
        <v>0.18529999999999999</v>
      </c>
      <c r="G20" s="36">
        <f>ROUND($A20*$R$10,2)</f>
        <v>15.78</v>
      </c>
      <c r="H20" s="36">
        <f>ROUND($A20*$R$11,2)</f>
        <v>0.28999999999999998</v>
      </c>
      <c r="I20" s="36">
        <f>+$R$12</f>
        <v>3.6300575042640277</v>
      </c>
      <c r="J20" s="36">
        <f>+C20+G20+H20+I20</f>
        <v>41.13005750426403</v>
      </c>
      <c r="K20" s="36">
        <f>+D20+G20+H20+I20</f>
        <v>45.100057504264029</v>
      </c>
      <c r="L20" s="37">
        <f>ROUND((K20-J20)/J20,4)</f>
        <v>9.6500000000000002E-2</v>
      </c>
      <c r="Q20" s="38">
        <f>+INPUT!$C$5</f>
        <v>13.5</v>
      </c>
      <c r="R20" s="38">
        <f>ROUND($R$18*$A20,2)</f>
        <v>7.93</v>
      </c>
      <c r="S20" s="38">
        <f>SUM(Q20:R20)</f>
        <v>21.43</v>
      </c>
      <c r="U20" s="38">
        <f>+INPUT!$C$23</f>
        <v>19</v>
      </c>
      <c r="V20" s="38">
        <f>ROUND($V$18*$A20,2)</f>
        <v>6.4</v>
      </c>
      <c r="W20" s="38">
        <f>SUM(U20:V20)</f>
        <v>25.4</v>
      </c>
    </row>
    <row r="21" spans="1:28" x14ac:dyDescent="0.2">
      <c r="A21" s="62"/>
      <c r="C21" s="35"/>
      <c r="D21" s="35"/>
      <c r="J21" s="35"/>
      <c r="K21" s="35"/>
      <c r="L21" s="35"/>
    </row>
    <row r="22" spans="1:28" x14ac:dyDescent="0.2">
      <c r="A22" s="85">
        <v>5.7</v>
      </c>
      <c r="B22" s="86"/>
      <c r="C22" s="87">
        <f>+S22</f>
        <v>28.560000000000002</v>
      </c>
      <c r="D22" s="87">
        <f>+W22</f>
        <v>31.16</v>
      </c>
      <c r="E22" s="87">
        <f>+D22-C22</f>
        <v>2.5999999999999979</v>
      </c>
      <c r="F22" s="88">
        <f>ROUND(+E22/C22,4)</f>
        <v>9.0999999999999998E-2</v>
      </c>
      <c r="G22" s="87">
        <f>$A22*$R$10</f>
        <v>29.980528428613706</v>
      </c>
      <c r="H22" s="87">
        <f>$A22*$R$11</f>
        <v>0.54680960593710082</v>
      </c>
      <c r="I22" s="87">
        <f>+$R$12</f>
        <v>3.6300575042640277</v>
      </c>
      <c r="J22" s="87">
        <f>+C22+G22+H22+I22</f>
        <v>62.717395538814841</v>
      </c>
      <c r="K22" s="87">
        <f>+D22+G22+H22+I22</f>
        <v>65.317395538814836</v>
      </c>
      <c r="L22" s="89">
        <f>ROUND((K22-J22)/J22,4)</f>
        <v>4.1500000000000002E-2</v>
      </c>
      <c r="Q22" s="38">
        <f>+$Q$20</f>
        <v>13.5</v>
      </c>
      <c r="R22" s="38">
        <f>ROUND($R$18*$A22,2)</f>
        <v>15.06</v>
      </c>
      <c r="S22" s="38">
        <f>SUM(Q22:R22)</f>
        <v>28.560000000000002</v>
      </c>
      <c r="U22" s="38">
        <f>+$U$20</f>
        <v>19</v>
      </c>
      <c r="V22" s="38">
        <f>ROUND($V$18*$A22,2)</f>
        <v>12.16</v>
      </c>
      <c r="W22" s="38">
        <f>SUM(U22:V22)</f>
        <v>31.16</v>
      </c>
    </row>
    <row r="23" spans="1:28" x14ac:dyDescent="0.2">
      <c r="A23" s="62"/>
      <c r="C23" s="36"/>
      <c r="D23" s="36"/>
      <c r="J23" s="36"/>
      <c r="K23" s="36"/>
      <c r="L23" s="37"/>
    </row>
    <row r="24" spans="1:28" x14ac:dyDescent="0.2">
      <c r="A24" s="62">
        <v>10</v>
      </c>
      <c r="C24" s="36">
        <f>+S24</f>
        <v>39.92</v>
      </c>
      <c r="D24" s="36">
        <f>+W24</f>
        <v>40.33</v>
      </c>
      <c r="E24" s="36">
        <f>+D24-C24</f>
        <v>0.40999999999999659</v>
      </c>
      <c r="F24" s="37">
        <f>ROUND(+E24/C24,4)</f>
        <v>1.03E-2</v>
      </c>
      <c r="G24" s="36">
        <f>ROUND($A24*$R$10,2)</f>
        <v>52.6</v>
      </c>
      <c r="H24" s="36">
        <f>ROUND($A24*$R$11,2)</f>
        <v>0.96</v>
      </c>
      <c r="I24" s="36">
        <f>+$R$12</f>
        <v>3.6300575042640277</v>
      </c>
      <c r="J24" s="36">
        <f>+C24+G24+H24+I24</f>
        <v>97.110057504264034</v>
      </c>
      <c r="K24" s="36">
        <f>+D24+G24+H24+I24</f>
        <v>97.520057504264031</v>
      </c>
      <c r="L24" s="37">
        <f>ROUND((K24-J24)/J24,4)</f>
        <v>4.1999999999999997E-3</v>
      </c>
      <c r="Q24" s="38">
        <f>+$Q$20</f>
        <v>13.5</v>
      </c>
      <c r="R24" s="38">
        <f>ROUND($R$18*$A24,2)</f>
        <v>26.42</v>
      </c>
      <c r="S24" s="38">
        <f>SUM(Q24:R24)</f>
        <v>39.92</v>
      </c>
      <c r="U24" s="38">
        <f>+$U$20</f>
        <v>19</v>
      </c>
      <c r="V24" s="38">
        <f>ROUND($V$18*$A24,2)</f>
        <v>21.33</v>
      </c>
      <c r="W24" s="38">
        <f>SUM(U24:V24)</f>
        <v>40.33</v>
      </c>
    </row>
    <row r="25" spans="1:28" x14ac:dyDescent="0.2">
      <c r="A25" s="62"/>
      <c r="C25" s="35"/>
      <c r="D25" s="35"/>
      <c r="J25" s="35"/>
      <c r="K25" s="35"/>
      <c r="L25" s="35"/>
    </row>
    <row r="26" spans="1:28" x14ac:dyDescent="0.2">
      <c r="A26" s="62">
        <v>20</v>
      </c>
      <c r="C26" s="39">
        <f>+S26</f>
        <v>66.34</v>
      </c>
      <c r="D26" s="39">
        <f>+W26</f>
        <v>61.65</v>
      </c>
      <c r="E26" s="36">
        <f>+D26-C26</f>
        <v>-4.6900000000000048</v>
      </c>
      <c r="F26" s="37">
        <f>ROUND(+E26/C26,4)</f>
        <v>-7.0699999999999999E-2</v>
      </c>
      <c r="G26" s="36">
        <f>ROUND($A26*$R$10,2)</f>
        <v>105.19</v>
      </c>
      <c r="H26" s="36">
        <f>ROUND($A26*$R$11,2)</f>
        <v>1.92</v>
      </c>
      <c r="I26" s="36">
        <f>+$R$12</f>
        <v>3.6300575042640277</v>
      </c>
      <c r="J26" s="39">
        <f>+C26+G26+H26+I26</f>
        <v>177.080057504264</v>
      </c>
      <c r="K26" s="39">
        <f>+D26+G26+H26+I26</f>
        <v>172.39005750426401</v>
      </c>
      <c r="L26" s="37">
        <f>ROUND((K26-J26)/J26,4)</f>
        <v>-2.6499999999999999E-2</v>
      </c>
      <c r="Q26" s="38">
        <f>+$Q$20</f>
        <v>13.5</v>
      </c>
      <c r="R26" s="38">
        <f>ROUND($R$18*$A26,2)</f>
        <v>52.84</v>
      </c>
      <c r="S26" s="38">
        <f>SUM(Q26:R26)</f>
        <v>66.34</v>
      </c>
      <c r="U26" s="38">
        <f>+$U$20</f>
        <v>19</v>
      </c>
      <c r="V26" s="38">
        <f>ROUND($V$18*$A26,2)</f>
        <v>42.65</v>
      </c>
      <c r="W26" s="38">
        <f>SUM(U26:V26)</f>
        <v>61.65</v>
      </c>
    </row>
    <row r="27" spans="1:28" x14ac:dyDescent="0.2">
      <c r="A27" s="62"/>
      <c r="C27" s="35"/>
      <c r="D27" s="35"/>
      <c r="J27" s="35"/>
      <c r="K27" s="35"/>
      <c r="L27" s="35"/>
    </row>
    <row r="28" spans="1:28" x14ac:dyDescent="0.2">
      <c r="A28" s="62">
        <v>40</v>
      </c>
      <c r="C28" s="36">
        <f>+S28</f>
        <v>119.18</v>
      </c>
      <c r="D28" s="36">
        <f>+W28</f>
        <v>104.3</v>
      </c>
      <c r="E28" s="36">
        <f>+D28-C28</f>
        <v>-14.88000000000001</v>
      </c>
      <c r="F28" s="37">
        <f>ROUND(+E28/C28,4)</f>
        <v>-0.1249</v>
      </c>
      <c r="G28" s="36">
        <f>ROUND($A28*$R$10,2)</f>
        <v>210.39</v>
      </c>
      <c r="H28" s="36">
        <f>ROUND($A28*$R$11,2)</f>
        <v>3.84</v>
      </c>
      <c r="I28" s="36">
        <f>+$R$12</f>
        <v>3.6300575042640277</v>
      </c>
      <c r="J28" s="36">
        <f>+C28+G28+H28+I28</f>
        <v>337.04005750426398</v>
      </c>
      <c r="K28" s="36">
        <f>+D28+G28+H28+I28</f>
        <v>322.16005750426399</v>
      </c>
      <c r="L28" s="37">
        <f>ROUND((K28-J28)/J28,4)</f>
        <v>-4.41E-2</v>
      </c>
      <c r="Q28" s="38">
        <f>+$Q$20</f>
        <v>13.5</v>
      </c>
      <c r="R28" s="38">
        <f>ROUND($R$18*$A28,2)</f>
        <v>105.68</v>
      </c>
      <c r="S28" s="38">
        <f>SUM(Q28:R28)</f>
        <v>119.18</v>
      </c>
      <c r="U28" s="38">
        <f>+$U$20</f>
        <v>19</v>
      </c>
      <c r="V28" s="38">
        <f>ROUND($V$18*$A28,2)</f>
        <v>85.3</v>
      </c>
      <c r="W28" s="38">
        <f>SUM(U28:V28)</f>
        <v>104.3</v>
      </c>
    </row>
    <row r="29" spans="1:28" x14ac:dyDescent="0.2">
      <c r="A29" s="62"/>
      <c r="C29" s="35"/>
      <c r="D29" s="35"/>
      <c r="J29" s="35"/>
      <c r="K29" s="35"/>
      <c r="L29" s="35"/>
    </row>
    <row r="30" spans="1:28" x14ac:dyDescent="0.2">
      <c r="A30" s="62">
        <v>60</v>
      </c>
      <c r="C30" s="36">
        <f>+S30</f>
        <v>172.01</v>
      </c>
      <c r="D30" s="36">
        <f>+W30</f>
        <v>146.94999999999999</v>
      </c>
      <c r="E30" s="36">
        <f>+D30-C30</f>
        <v>-25.060000000000002</v>
      </c>
      <c r="F30" s="37">
        <f>ROUND(+E30/C30,4)</f>
        <v>-0.1457</v>
      </c>
      <c r="G30" s="36">
        <f>ROUND($A30*$R$10,2)</f>
        <v>315.58</v>
      </c>
      <c r="H30" s="36">
        <f>ROUND($A30*$R$11,2)</f>
        <v>5.76</v>
      </c>
      <c r="I30" s="36">
        <f>+$R$12</f>
        <v>3.6300575042640277</v>
      </c>
      <c r="J30" s="36">
        <f>+C30+G30+H30+I30</f>
        <v>496.98005750426398</v>
      </c>
      <c r="K30" s="36">
        <f>+D30+G30+H30+I30</f>
        <v>471.92005750426398</v>
      </c>
      <c r="L30" s="37">
        <f>ROUND((K30-J30)/J30,4)</f>
        <v>-5.04E-2</v>
      </c>
      <c r="Q30" s="38">
        <f>+$Q$20</f>
        <v>13.5</v>
      </c>
      <c r="R30" s="38">
        <f>ROUND($R$18*$A30,2)</f>
        <v>158.51</v>
      </c>
      <c r="S30" s="38">
        <f>SUM(Q30:R30)</f>
        <v>172.01</v>
      </c>
      <c r="U30" s="38">
        <f>+$U$20</f>
        <v>19</v>
      </c>
      <c r="V30" s="38">
        <f>ROUND($V$18*$A30,2)</f>
        <v>127.95</v>
      </c>
      <c r="W30" s="38">
        <f>SUM(U30:V30)</f>
        <v>146.94999999999999</v>
      </c>
    </row>
    <row r="31" spans="1:28" x14ac:dyDescent="0.2">
      <c r="A31" s="62"/>
      <c r="C31" s="35"/>
      <c r="D31" s="35"/>
      <c r="J31" s="35"/>
      <c r="K31" s="35"/>
      <c r="L31" s="35"/>
    </row>
    <row r="32" spans="1:28" x14ac:dyDescent="0.2">
      <c r="A32" s="62">
        <v>80</v>
      </c>
      <c r="C32" s="36">
        <f>+S32</f>
        <v>224.85</v>
      </c>
      <c r="D32" s="36">
        <f>+W32</f>
        <v>189.6</v>
      </c>
      <c r="E32" s="36">
        <f>+D32-C32</f>
        <v>-35.25</v>
      </c>
      <c r="F32" s="37">
        <f>ROUND(+E32/C32,4)</f>
        <v>-0.15679999999999999</v>
      </c>
      <c r="G32" s="36">
        <f>ROUND($A32*$R$10,2)</f>
        <v>420.78</v>
      </c>
      <c r="H32" s="36">
        <f>ROUND($A32*$R$11,2)</f>
        <v>7.67</v>
      </c>
      <c r="I32" s="36">
        <f>+$R$12</f>
        <v>3.6300575042640277</v>
      </c>
      <c r="J32" s="36">
        <f>+C32+G32+H32+I32</f>
        <v>656.93005750426403</v>
      </c>
      <c r="K32" s="36">
        <f>+D32+G32+H32+I32</f>
        <v>621.68005750426403</v>
      </c>
      <c r="L32" s="37">
        <f>ROUND((K32-J32)/J32,4)</f>
        <v>-5.3699999999999998E-2</v>
      </c>
      <c r="Q32" s="38">
        <f>+$Q$20</f>
        <v>13.5</v>
      </c>
      <c r="R32" s="38">
        <f>ROUND($R$18*$A32,2)</f>
        <v>211.35</v>
      </c>
      <c r="S32" s="38">
        <f>SUM(Q32:R32)</f>
        <v>224.85</v>
      </c>
      <c r="U32" s="38">
        <f>+$U$20</f>
        <v>19</v>
      </c>
      <c r="V32" s="38">
        <f>ROUND($V$18*$A32,2)</f>
        <v>170.6</v>
      </c>
      <c r="W32" s="38">
        <f>SUM(U32:V32)</f>
        <v>189.6</v>
      </c>
    </row>
    <row r="33" spans="1:23" x14ac:dyDescent="0.2">
      <c r="A33" s="62"/>
      <c r="C33" s="35"/>
      <c r="D33" s="35"/>
      <c r="J33" s="35"/>
      <c r="K33" s="35"/>
      <c r="L33" s="35"/>
    </row>
    <row r="34" spans="1:23" x14ac:dyDescent="0.2">
      <c r="A34" s="62">
        <v>100</v>
      </c>
      <c r="C34" s="36">
        <f>+S34</f>
        <v>277.69</v>
      </c>
      <c r="D34" s="36">
        <f>+W34</f>
        <v>232.25</v>
      </c>
      <c r="E34" s="36">
        <f>+D34-C34</f>
        <v>-45.44</v>
      </c>
      <c r="F34" s="37">
        <f>ROUND(+E34/C34,4)</f>
        <v>-0.1636</v>
      </c>
      <c r="G34" s="36">
        <f>ROUND($A34*$R$10,2)</f>
        <v>525.97</v>
      </c>
      <c r="H34" s="36">
        <f>ROUND($A34*$R$11,2)</f>
        <v>9.59</v>
      </c>
      <c r="I34" s="36">
        <f>+$R$12</f>
        <v>3.6300575042640277</v>
      </c>
      <c r="J34" s="36">
        <f>+C34+G34+H34+I34</f>
        <v>816.88005750426419</v>
      </c>
      <c r="K34" s="36">
        <f>+D34+G34+H34+I34</f>
        <v>771.44005750426413</v>
      </c>
      <c r="L34" s="37">
        <f>ROUND((K34-J34)/J34,4)</f>
        <v>-5.5599999999999997E-2</v>
      </c>
      <c r="Q34" s="38">
        <f>+$Q$20</f>
        <v>13.5</v>
      </c>
      <c r="R34" s="38">
        <f>ROUND($R$18*$A34,2)</f>
        <v>264.19</v>
      </c>
      <c r="S34" s="38">
        <f>SUM(Q34:R34)</f>
        <v>277.69</v>
      </c>
      <c r="U34" s="38">
        <f>+$U$20</f>
        <v>19</v>
      </c>
      <c r="V34" s="38">
        <f>ROUND($V$18*$A34,2)</f>
        <v>213.25</v>
      </c>
      <c r="W34" s="38">
        <f>SUM(U34:V34)</f>
        <v>232.25</v>
      </c>
    </row>
    <row r="35" spans="1:23" x14ac:dyDescent="0.2">
      <c r="J35" s="35"/>
      <c r="K35" s="35"/>
      <c r="L35" s="35"/>
    </row>
    <row r="36" spans="1:23" x14ac:dyDescent="0.2">
      <c r="A36" s="34" t="s">
        <v>125</v>
      </c>
      <c r="C36" s="61"/>
      <c r="D36" s="62"/>
      <c r="J36" s="36"/>
      <c r="K36" s="36"/>
      <c r="L36" s="37"/>
    </row>
    <row r="37" spans="1:23" x14ac:dyDescent="0.2">
      <c r="A37" s="65" t="str">
        <f>("Average usage = "&amp;INPUT!C17&amp;" Mcf per month")</f>
        <v>Average usage = 5.7 Mcf per month</v>
      </c>
    </row>
    <row r="38" spans="1:23" x14ac:dyDescent="0.2">
      <c r="A38" s="67" t="s">
        <v>127</v>
      </c>
    </row>
    <row r="39" spans="1:23" x14ac:dyDescent="0.2">
      <c r="A39" s="84" t="str">
        <f>+'Rate Case Constants'!$C$26</f>
        <v>Calculations may vary from other schedules due to rounding</v>
      </c>
    </row>
  </sheetData>
  <mergeCells count="6">
    <mergeCell ref="R4:Z4"/>
    <mergeCell ref="G15:I15"/>
    <mergeCell ref="A1:L1"/>
    <mergeCell ref="A2:L2"/>
    <mergeCell ref="A3:L3"/>
    <mergeCell ref="A4:L4"/>
  </mergeCells>
  <printOptions horizontalCentered="1"/>
  <pageMargins left="0.7" right="0.7" top="0.75" bottom="0.75" header="0.3" footer="0.3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view="pageBreakPreview" zoomScaleNormal="80" zoomScaleSheetLayoutView="100" workbookViewId="0">
      <selection activeCell="A38" sqref="A38"/>
    </sheetView>
  </sheetViews>
  <sheetFormatPr defaultRowHeight="12.75" x14ac:dyDescent="0.2"/>
  <cols>
    <col min="1" max="1" width="9.28515625" style="34" bestFit="1" customWidth="1"/>
    <col min="2" max="2" width="2" style="34" customWidth="1"/>
    <col min="3" max="6" width="12" style="34" customWidth="1"/>
    <col min="7" max="7" width="11.28515625" style="34" bestFit="1" customWidth="1"/>
    <col min="8" max="12" width="12" style="34" customWidth="1"/>
    <col min="13" max="16" width="3.7109375" style="34" customWidth="1"/>
    <col min="17" max="17" width="9.140625" style="34"/>
    <col min="18" max="18" width="12" style="34" bestFit="1" customWidth="1"/>
    <col min="19" max="19" width="10.7109375" style="34" bestFit="1" customWidth="1"/>
    <col min="20" max="20" width="9.140625" style="34"/>
    <col min="21" max="21" width="11.42578125" style="34" bestFit="1" customWidth="1"/>
    <col min="22" max="23" width="10.7109375" style="34" bestFit="1" customWidth="1"/>
    <col min="24" max="16384" width="9.140625" style="34"/>
  </cols>
  <sheetData>
    <row r="1" spans="1:24" x14ac:dyDescent="0.2">
      <c r="A1" s="97" t="str">
        <f>+'Rate Case Constants'!C9</f>
        <v>LOUISVILLE GAS AND ELECTRIC COMPANY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24" x14ac:dyDescent="0.2">
      <c r="A2" s="97" t="str">
        <f>+'Rate Case Constants'!C10</f>
        <v>CASE NO. 2014-00372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1:24" x14ac:dyDescent="0.2">
      <c r="A3" s="98" t="str">
        <f>+'Rate Case Constants'!C24</f>
        <v>Typical Gas Bill Comparison under Present &amp; Proposed Rates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24" x14ac:dyDescent="0.2">
      <c r="A4" s="97" t="str">
        <f>+'Rate Case Constants'!C21</f>
        <v>FORECAST PERIOD FOR THE 12 MONTHS ENDED JUNE 30, 2016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</row>
    <row r="6" spans="1:24" x14ac:dyDescent="0.2">
      <c r="A6" s="68"/>
    </row>
    <row r="7" spans="1:24" x14ac:dyDescent="0.2">
      <c r="A7" s="34" t="str">
        <f>+'Rate Case Constants'!C33</f>
        <v>DATA: ____BASE PERIOD__X___FORECASTED PERIOD</v>
      </c>
      <c r="L7" s="59" t="str">
        <f>+'Rate Case Constants'!C25</f>
        <v>SCHEDULE N (Gas)</v>
      </c>
    </row>
    <row r="8" spans="1:24" x14ac:dyDescent="0.2">
      <c r="A8" s="34" t="str">
        <f>+'Rate Case Constants'!C29</f>
        <v>TYPE OF FILING: __X__ ORIGINAL  _____ UPDATED  _____ REVISED</v>
      </c>
      <c r="L8" s="60" t="str">
        <f>+'Rate Case Constants'!I9</f>
        <v>PAGE 2 OF 9</v>
      </c>
    </row>
    <row r="9" spans="1:24" x14ac:dyDescent="0.2">
      <c r="A9" s="34" t="str">
        <f>+'Rate Case Constants'!C34</f>
        <v>WORKPAPER REFERENCE NO(S):________</v>
      </c>
      <c r="L9" s="59" t="str">
        <f>+'Rate Case Constants'!C37</f>
        <v>WITNESS:   R. M. CONROY</v>
      </c>
    </row>
    <row r="10" spans="1:24" x14ac:dyDescent="0.2">
      <c r="L10" s="59"/>
      <c r="Q10" s="26" t="s">
        <v>37</v>
      </c>
      <c r="R10" s="22">
        <f>+INPUT!H41</f>
        <v>5.2276107180276279</v>
      </c>
      <c r="S10" s="35"/>
      <c r="T10" s="35"/>
      <c r="U10" s="35"/>
      <c r="V10" s="35"/>
      <c r="W10" s="35"/>
      <c r="X10" s="35"/>
    </row>
    <row r="11" spans="1:24" x14ac:dyDescent="0.2">
      <c r="A11" s="54" t="s">
        <v>60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6"/>
      <c r="N11" s="56"/>
      <c r="O11" s="56"/>
      <c r="P11" s="56"/>
      <c r="Q11" s="57" t="s">
        <v>34</v>
      </c>
      <c r="R11" s="58">
        <f>+INPUT!I41</f>
        <v>0.10206405212949715</v>
      </c>
      <c r="S11" s="17"/>
      <c r="T11" s="17"/>
      <c r="U11" s="23"/>
      <c r="V11" s="17"/>
      <c r="W11" s="17"/>
      <c r="X11" s="35"/>
    </row>
    <row r="12" spans="1:24" x14ac:dyDescent="0.2">
      <c r="A12" s="17" t="s">
        <v>59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Q12" s="26" t="s">
        <v>38</v>
      </c>
      <c r="R12" s="71">
        <f>+INPUT!$L$41</f>
        <v>19.708167320169494</v>
      </c>
      <c r="S12" s="17"/>
      <c r="T12" s="17"/>
      <c r="U12" s="17"/>
      <c r="V12" s="17"/>
      <c r="W12" s="17"/>
      <c r="X12" s="35"/>
    </row>
    <row r="13" spans="1:24" x14ac:dyDescent="0.2">
      <c r="A13" s="17"/>
      <c r="B13" s="17"/>
      <c r="C13" s="18" t="s">
        <v>107</v>
      </c>
      <c r="D13" s="19" t="s">
        <v>115</v>
      </c>
      <c r="E13" s="19" t="s">
        <v>108</v>
      </c>
      <c r="F13" s="18" t="s">
        <v>109</v>
      </c>
      <c r="G13" s="18" t="s">
        <v>110</v>
      </c>
      <c r="H13" s="18" t="s">
        <v>111</v>
      </c>
      <c r="I13" s="19" t="s">
        <v>116</v>
      </c>
      <c r="J13" s="18" t="s">
        <v>112</v>
      </c>
      <c r="K13" s="18" t="s">
        <v>113</v>
      </c>
      <c r="L13" s="18" t="s">
        <v>114</v>
      </c>
      <c r="Q13" s="17"/>
      <c r="R13" s="17"/>
      <c r="S13" s="17"/>
      <c r="T13" s="17"/>
      <c r="U13" s="17"/>
      <c r="V13" s="17"/>
      <c r="W13" s="17"/>
      <c r="X13" s="35"/>
    </row>
    <row r="14" spans="1:24" x14ac:dyDescent="0.2">
      <c r="A14" s="35"/>
      <c r="B14" s="35"/>
      <c r="C14" s="91" t="s">
        <v>136</v>
      </c>
      <c r="D14" s="91" t="s">
        <v>136</v>
      </c>
      <c r="E14" s="35"/>
      <c r="F14" s="35"/>
      <c r="G14" s="35"/>
      <c r="H14" s="35"/>
      <c r="I14" s="35"/>
      <c r="J14" s="18" t="s">
        <v>29</v>
      </c>
      <c r="K14" s="18" t="s">
        <v>29</v>
      </c>
      <c r="L14" s="35"/>
      <c r="Q14" s="24" t="s">
        <v>0</v>
      </c>
      <c r="R14" s="24"/>
      <c r="S14" s="24"/>
      <c r="T14" s="35"/>
      <c r="U14" s="24" t="s">
        <v>28</v>
      </c>
      <c r="V14" s="24"/>
      <c r="W14" s="24"/>
      <c r="X14" s="35"/>
    </row>
    <row r="15" spans="1:24" x14ac:dyDescent="0.2">
      <c r="A15" s="35"/>
      <c r="B15" s="35"/>
      <c r="C15" s="18" t="s">
        <v>24</v>
      </c>
      <c r="D15" s="18" t="s">
        <v>30</v>
      </c>
      <c r="E15" s="18"/>
      <c r="F15" s="18"/>
      <c r="G15" s="95" t="s">
        <v>31</v>
      </c>
      <c r="H15" s="95"/>
      <c r="I15" s="96"/>
      <c r="J15" s="18" t="s">
        <v>24</v>
      </c>
      <c r="K15" s="18" t="s">
        <v>30</v>
      </c>
      <c r="L15" s="18"/>
      <c r="Q15" s="19" t="s">
        <v>40</v>
      </c>
      <c r="R15" s="18"/>
      <c r="S15" s="19"/>
      <c r="T15" s="35"/>
      <c r="U15" s="19" t="s">
        <v>40</v>
      </c>
      <c r="V15" s="18"/>
      <c r="W15" s="19"/>
      <c r="X15" s="35"/>
    </row>
    <row r="16" spans="1:24" x14ac:dyDescent="0.2">
      <c r="A16" s="18"/>
      <c r="B16" s="18"/>
      <c r="C16" s="18" t="s">
        <v>32</v>
      </c>
      <c r="D16" s="18" t="s">
        <v>32</v>
      </c>
      <c r="E16" s="18" t="s">
        <v>33</v>
      </c>
      <c r="F16" s="18" t="s">
        <v>33</v>
      </c>
      <c r="G16" s="18" t="s">
        <v>37</v>
      </c>
      <c r="H16" s="18" t="s">
        <v>34</v>
      </c>
      <c r="I16" s="18" t="s">
        <v>38</v>
      </c>
      <c r="J16" s="18" t="s">
        <v>32</v>
      </c>
      <c r="K16" s="18" t="s">
        <v>32</v>
      </c>
      <c r="L16" s="18" t="s">
        <v>33</v>
      </c>
      <c r="Q16" s="19" t="s">
        <v>41</v>
      </c>
      <c r="R16" s="18" t="s">
        <v>139</v>
      </c>
      <c r="S16" s="19" t="s">
        <v>29</v>
      </c>
      <c r="T16" s="35"/>
      <c r="U16" s="19" t="s">
        <v>41</v>
      </c>
      <c r="V16" s="18" t="s">
        <v>139</v>
      </c>
      <c r="W16" s="19" t="s">
        <v>29</v>
      </c>
      <c r="X16" s="35"/>
    </row>
    <row r="17" spans="1:24" x14ac:dyDescent="0.2">
      <c r="A17" s="18" t="s">
        <v>39</v>
      </c>
      <c r="B17" s="18"/>
      <c r="C17" s="18"/>
      <c r="D17" s="18"/>
      <c r="E17" s="18" t="s">
        <v>35</v>
      </c>
      <c r="F17" s="19" t="s">
        <v>36</v>
      </c>
      <c r="G17" s="20"/>
      <c r="H17" s="20"/>
      <c r="I17" s="21"/>
      <c r="J17" s="18" t="s">
        <v>35</v>
      </c>
      <c r="K17" s="18" t="s">
        <v>35</v>
      </c>
      <c r="L17" s="19" t="s">
        <v>36</v>
      </c>
      <c r="Q17" s="40" t="s">
        <v>44</v>
      </c>
      <c r="R17" s="41" t="s">
        <v>44</v>
      </c>
      <c r="S17" s="40" t="s">
        <v>32</v>
      </c>
      <c r="T17" s="35"/>
      <c r="U17" s="40" t="s">
        <v>44</v>
      </c>
      <c r="V17" s="41" t="s">
        <v>44</v>
      </c>
      <c r="W17" s="40" t="s">
        <v>32</v>
      </c>
      <c r="X17" s="35"/>
    </row>
    <row r="18" spans="1:24" x14ac:dyDescent="0.2">
      <c r="A18" s="18"/>
      <c r="B18" s="18"/>
      <c r="C18" s="18"/>
      <c r="D18" s="18"/>
      <c r="E18" s="18" t="str">
        <f>("[ "&amp;D13&amp;" - "&amp;C13&amp;" ]")</f>
        <v>[ B - A ]</v>
      </c>
      <c r="F18" s="18" t="str">
        <f>("[ "&amp;E13&amp;" / "&amp;C13&amp;" ]")</f>
        <v>[ C / A ]</v>
      </c>
      <c r="G18" s="20"/>
      <c r="H18" s="20"/>
      <c r="I18" s="20"/>
      <c r="J18" s="19" t="str">
        <f>("["&amp;C13&amp;"+"&amp;$G$13&amp;"+"&amp;$H$13&amp;"+"&amp;$I$13&amp;"]")</f>
        <v>[A+E+F+G]</v>
      </c>
      <c r="K18" s="18" t="str">
        <f>("["&amp;D13&amp;"+"&amp;$G$13&amp;"+"&amp;$H$13&amp;"+"&amp;$I$13&amp;"]")</f>
        <v>[B+E+F+G]</v>
      </c>
      <c r="L18" s="18" t="str">
        <f>("[("&amp;K13&amp;" - "&amp;J13&amp;") / "&amp;J13&amp;"]")</f>
        <v>[(I - H) / H]</v>
      </c>
      <c r="Q18" s="19"/>
      <c r="R18" s="25">
        <f>+INPUT!$D$9</f>
        <v>2.0998999999999999</v>
      </c>
      <c r="S18" s="19"/>
      <c r="T18" s="35"/>
      <c r="U18" s="19"/>
      <c r="V18" s="25">
        <f>+INPUT!$D$27</f>
        <v>2.3445</v>
      </c>
      <c r="W18" s="19"/>
      <c r="X18" s="35"/>
    </row>
    <row r="19" spans="1:24" x14ac:dyDescent="0.2">
      <c r="A19" s="18"/>
      <c r="B19" s="18"/>
      <c r="C19" s="18"/>
      <c r="D19" s="18"/>
      <c r="F19" s="18"/>
      <c r="G19" s="18"/>
      <c r="H19" s="18"/>
      <c r="I19" s="18"/>
      <c r="J19" s="19"/>
      <c r="K19" s="19"/>
      <c r="L19" s="19"/>
      <c r="Q19" s="19"/>
      <c r="R19" s="19" t="s">
        <v>138</v>
      </c>
      <c r="S19" s="19"/>
      <c r="T19" s="35"/>
      <c r="U19" s="19"/>
      <c r="V19" s="19" t="s">
        <v>138</v>
      </c>
      <c r="W19" s="19"/>
      <c r="X19" s="35"/>
    </row>
    <row r="20" spans="1:24" x14ac:dyDescent="0.2">
      <c r="A20" s="62">
        <v>25</v>
      </c>
      <c r="C20" s="36">
        <f>+S20</f>
        <v>87.5</v>
      </c>
      <c r="D20" s="36">
        <f>+W20</f>
        <v>98.61</v>
      </c>
      <c r="E20" s="36">
        <f>+D20-C20</f>
        <v>11.11</v>
      </c>
      <c r="F20" s="37">
        <f>ROUND(+E20/C20,4)</f>
        <v>0.127</v>
      </c>
      <c r="G20" s="36">
        <f>ROUND($A20*$R$10,2)</f>
        <v>130.69</v>
      </c>
      <c r="H20" s="36">
        <f>ROUND($A20*$R$11,2)</f>
        <v>2.5499999999999998</v>
      </c>
      <c r="I20" s="36">
        <f>+$R$12</f>
        <v>19.708167320169494</v>
      </c>
      <c r="J20" s="36">
        <f>+C20+G20+H20+I20</f>
        <v>240.44816732016949</v>
      </c>
      <c r="K20" s="36">
        <f>+D20+G20+H20+I20</f>
        <v>251.5581673201695</v>
      </c>
      <c r="L20" s="37">
        <f>ROUND((K20-J20)/J20,4)</f>
        <v>4.6199999999999998E-2</v>
      </c>
      <c r="Q20" s="38">
        <f>+INPUT!$D$6</f>
        <v>35</v>
      </c>
      <c r="R20" s="38">
        <f>ROUND($R$18*$A20,2)</f>
        <v>52.5</v>
      </c>
      <c r="S20" s="38">
        <f>SUM(Q20:R20)</f>
        <v>87.5</v>
      </c>
      <c r="U20" s="38">
        <f>+INPUT!$D$24</f>
        <v>40</v>
      </c>
      <c r="V20" s="38">
        <f>ROUND($V$18*$A20,2)</f>
        <v>58.61</v>
      </c>
      <c r="W20" s="38">
        <f>SUM(U20:V20)</f>
        <v>98.61</v>
      </c>
    </row>
    <row r="21" spans="1:24" x14ac:dyDescent="0.2">
      <c r="A21" s="62"/>
      <c r="C21" s="35"/>
      <c r="D21" s="35"/>
      <c r="J21" s="35"/>
      <c r="K21" s="35"/>
      <c r="L21" s="35"/>
    </row>
    <row r="22" spans="1:24" x14ac:dyDescent="0.2">
      <c r="A22" s="62">
        <v>50</v>
      </c>
      <c r="C22" s="36">
        <f>+S22</f>
        <v>140</v>
      </c>
      <c r="D22" s="36">
        <f>+W22</f>
        <v>157.23000000000002</v>
      </c>
      <c r="E22" s="36">
        <f>+D22-C22</f>
        <v>17.230000000000018</v>
      </c>
      <c r="F22" s="37">
        <f>ROUND(+E22/C22,4)</f>
        <v>0.1231</v>
      </c>
      <c r="G22" s="36">
        <f>ROUND($A22*$R$10,2)</f>
        <v>261.38</v>
      </c>
      <c r="H22" s="36">
        <f>ROUND($A22*$R$11,2)</f>
        <v>5.0999999999999996</v>
      </c>
      <c r="I22" s="36">
        <f>+$R$12</f>
        <v>19.708167320169494</v>
      </c>
      <c r="J22" s="36">
        <f>+C22+G22+H22+I22</f>
        <v>426.1881673201695</v>
      </c>
      <c r="K22" s="36">
        <f>+D22+G22+H22+I22</f>
        <v>443.41816732016952</v>
      </c>
      <c r="L22" s="37">
        <f>ROUND((K22-J22)/J22,4)</f>
        <v>4.0399999999999998E-2</v>
      </c>
      <c r="Q22" s="38">
        <f>+$Q$20</f>
        <v>35</v>
      </c>
      <c r="R22" s="38">
        <f>ROUND($R$18*$A22,2)</f>
        <v>105</v>
      </c>
      <c r="S22" s="38">
        <f>SUM(Q22:R22)</f>
        <v>140</v>
      </c>
      <c r="U22" s="38">
        <f>+$U$20</f>
        <v>40</v>
      </c>
      <c r="V22" s="38">
        <f>ROUND($V$18*$A22,2)</f>
        <v>117.23</v>
      </c>
      <c r="W22" s="38">
        <f>SUM(U22:V22)</f>
        <v>157.23000000000002</v>
      </c>
    </row>
    <row r="23" spans="1:24" x14ac:dyDescent="0.2">
      <c r="A23" s="62"/>
      <c r="C23" s="36"/>
      <c r="D23" s="36"/>
      <c r="J23" s="36"/>
      <c r="K23" s="36"/>
      <c r="L23" s="37"/>
    </row>
    <row r="24" spans="1:24" x14ac:dyDescent="0.2">
      <c r="A24" s="62">
        <v>100</v>
      </c>
      <c r="C24" s="36">
        <f>+S24</f>
        <v>244.99</v>
      </c>
      <c r="D24" s="36">
        <f>+W24</f>
        <v>274.45</v>
      </c>
      <c r="E24" s="36">
        <f>+D24-C24</f>
        <v>29.45999999999998</v>
      </c>
      <c r="F24" s="37">
        <f>ROUND(+E24/C24,4)</f>
        <v>0.1202</v>
      </c>
      <c r="G24" s="36">
        <f>ROUND($A24*$R$10,2)</f>
        <v>522.76</v>
      </c>
      <c r="H24" s="36">
        <f>ROUND($A24*$R$11,2)</f>
        <v>10.210000000000001</v>
      </c>
      <c r="I24" s="36">
        <f>+$R$12</f>
        <v>19.708167320169494</v>
      </c>
      <c r="J24" s="36">
        <f>+C24+G24+H24+I24</f>
        <v>797.66816732016957</v>
      </c>
      <c r="K24" s="36">
        <f>+D24+G24+H24+I24</f>
        <v>827.12816732016961</v>
      </c>
      <c r="L24" s="37">
        <f>ROUND((K24-J24)/J24,4)</f>
        <v>3.6900000000000002E-2</v>
      </c>
      <c r="Q24" s="38">
        <f>+$Q$20</f>
        <v>35</v>
      </c>
      <c r="R24" s="38">
        <f>ROUND($R$18*$A24,2)</f>
        <v>209.99</v>
      </c>
      <c r="S24" s="38">
        <f>SUM(Q24:R24)</f>
        <v>244.99</v>
      </c>
      <c r="U24" s="38">
        <f>+$U$20</f>
        <v>40</v>
      </c>
      <c r="V24" s="38">
        <f>ROUND($V$18*$A24,2)</f>
        <v>234.45</v>
      </c>
      <c r="W24" s="38">
        <f>SUM(U24:V24)</f>
        <v>274.45</v>
      </c>
    </row>
    <row r="25" spans="1:24" x14ac:dyDescent="0.2">
      <c r="A25" s="62"/>
      <c r="C25" s="35"/>
      <c r="D25" s="35"/>
      <c r="J25" s="35"/>
      <c r="K25" s="35"/>
      <c r="L25" s="35"/>
    </row>
    <row r="26" spans="1:24" x14ac:dyDescent="0.2">
      <c r="A26" s="62">
        <v>500</v>
      </c>
      <c r="C26" s="39">
        <f>+S26</f>
        <v>1084.95</v>
      </c>
      <c r="D26" s="39">
        <f>+W26</f>
        <v>1212.25</v>
      </c>
      <c r="E26" s="36">
        <f>+D26-C26</f>
        <v>127.29999999999995</v>
      </c>
      <c r="F26" s="37">
        <f>ROUND(+E26/C26,4)</f>
        <v>0.1173</v>
      </c>
      <c r="G26" s="36">
        <f>ROUND($A26*$R$10,2)</f>
        <v>2613.81</v>
      </c>
      <c r="H26" s="36">
        <f>ROUND($A26*$R$11,2)</f>
        <v>51.03</v>
      </c>
      <c r="I26" s="36">
        <f>+$R$12</f>
        <v>19.708167320169494</v>
      </c>
      <c r="J26" s="39">
        <f>+C26+G26+H26+I26</f>
        <v>3769.4981673201701</v>
      </c>
      <c r="K26" s="39">
        <f>+D26+G26+H26+I26</f>
        <v>3896.7981673201698</v>
      </c>
      <c r="L26" s="37">
        <f>ROUND((K26-J26)/J26,4)</f>
        <v>3.3799999999999997E-2</v>
      </c>
      <c r="Q26" s="38">
        <f>+$Q$20</f>
        <v>35</v>
      </c>
      <c r="R26" s="38">
        <f>ROUND($R$18*$A26,2)</f>
        <v>1049.95</v>
      </c>
      <c r="S26" s="38">
        <f>SUM(Q26:R26)</f>
        <v>1084.95</v>
      </c>
      <c r="U26" s="38">
        <f>+$U$20</f>
        <v>40</v>
      </c>
      <c r="V26" s="38">
        <f>ROUND($V$18*$A26,2)</f>
        <v>1172.25</v>
      </c>
      <c r="W26" s="38">
        <f>SUM(U26:V26)</f>
        <v>1212.25</v>
      </c>
    </row>
    <row r="27" spans="1:24" x14ac:dyDescent="0.2">
      <c r="A27" s="62"/>
      <c r="C27" s="35"/>
      <c r="D27" s="35"/>
      <c r="J27" s="35"/>
      <c r="K27" s="35"/>
      <c r="L27" s="35"/>
    </row>
    <row r="28" spans="1:24" x14ac:dyDescent="0.2">
      <c r="A28" s="62">
        <v>1000</v>
      </c>
      <c r="C28" s="36">
        <f>+S28</f>
        <v>2134.9</v>
      </c>
      <c r="D28" s="36">
        <f>+W28</f>
        <v>2384.5</v>
      </c>
      <c r="E28" s="36">
        <f>+D28-C28</f>
        <v>249.59999999999991</v>
      </c>
      <c r="F28" s="37">
        <f>ROUND(+E28/C28,4)</f>
        <v>0.1169</v>
      </c>
      <c r="G28" s="36">
        <f>ROUND($A28*$R$10,2)</f>
        <v>5227.6099999999997</v>
      </c>
      <c r="H28" s="36">
        <f>ROUND($A28*$R$11,2)</f>
        <v>102.06</v>
      </c>
      <c r="I28" s="36">
        <f>+$R$12</f>
        <v>19.708167320169494</v>
      </c>
      <c r="J28" s="36">
        <f>+C28+G28+H28+I28</f>
        <v>7484.2781673201698</v>
      </c>
      <c r="K28" s="36">
        <f>+D28+G28+H28+I28</f>
        <v>7733.8781673201693</v>
      </c>
      <c r="L28" s="37">
        <f>ROUND((K28-J28)/J28,4)</f>
        <v>3.3300000000000003E-2</v>
      </c>
      <c r="Q28" s="38">
        <f>+$Q$20</f>
        <v>35</v>
      </c>
      <c r="R28" s="38">
        <f>ROUND($R$18*$A28,2)</f>
        <v>2099.9</v>
      </c>
      <c r="S28" s="38">
        <f>SUM(Q28:R28)</f>
        <v>2134.9</v>
      </c>
      <c r="U28" s="38">
        <f>+$U$20</f>
        <v>40</v>
      </c>
      <c r="V28" s="38">
        <f>ROUND($V$18*$A28,2)</f>
        <v>2344.5</v>
      </c>
      <c r="W28" s="38">
        <f>SUM(U28:V28)</f>
        <v>2384.5</v>
      </c>
    </row>
    <row r="29" spans="1:24" x14ac:dyDescent="0.2">
      <c r="A29" s="62"/>
      <c r="C29" s="35"/>
      <c r="D29" s="35"/>
      <c r="J29" s="35"/>
      <c r="K29" s="35"/>
      <c r="L29" s="35"/>
    </row>
    <row r="30" spans="1:24" x14ac:dyDescent="0.2">
      <c r="A30" s="62">
        <v>2500</v>
      </c>
      <c r="C30" s="36">
        <f>+S30</f>
        <v>5284.75</v>
      </c>
      <c r="D30" s="36">
        <f>+W30</f>
        <v>5901.25</v>
      </c>
      <c r="E30" s="36">
        <f>+D30-C30</f>
        <v>616.5</v>
      </c>
      <c r="F30" s="37">
        <f>ROUND(+E30/C30,4)</f>
        <v>0.1167</v>
      </c>
      <c r="G30" s="36">
        <f>ROUND($A30*$R$10,2)</f>
        <v>13069.03</v>
      </c>
      <c r="H30" s="36">
        <f>ROUND($A30*$R$11,2)</f>
        <v>255.16</v>
      </c>
      <c r="I30" s="36">
        <f>+$R$12</f>
        <v>19.708167320169494</v>
      </c>
      <c r="J30" s="36">
        <f>+C30+G30+H30+I30</f>
        <v>18628.648167320167</v>
      </c>
      <c r="K30" s="36">
        <f>+D30+G30+H30+I30</f>
        <v>19245.148167320167</v>
      </c>
      <c r="L30" s="37">
        <f>ROUND((K30-J30)/J30,4)</f>
        <v>3.3099999999999997E-2</v>
      </c>
      <c r="Q30" s="38">
        <f>+$Q$20</f>
        <v>35</v>
      </c>
      <c r="R30" s="38">
        <f>ROUND($R$18*$A30,2)</f>
        <v>5249.75</v>
      </c>
      <c r="S30" s="38">
        <f>SUM(Q30:R30)</f>
        <v>5284.75</v>
      </c>
      <c r="U30" s="38">
        <f>+$U$20</f>
        <v>40</v>
      </c>
      <c r="V30" s="38">
        <f>ROUND($V$18*$A30,2)</f>
        <v>5861.25</v>
      </c>
      <c r="W30" s="38">
        <f>SUM(U30:V30)</f>
        <v>5901.25</v>
      </c>
    </row>
    <row r="31" spans="1:24" x14ac:dyDescent="0.2">
      <c r="A31" s="62"/>
      <c r="C31" s="35"/>
      <c r="D31" s="35"/>
      <c r="J31" s="35"/>
      <c r="K31" s="35"/>
      <c r="L31" s="35"/>
    </row>
    <row r="32" spans="1:24" x14ac:dyDescent="0.2">
      <c r="A32" s="62">
        <v>5000</v>
      </c>
      <c r="C32" s="36">
        <f>+S32</f>
        <v>10534.5</v>
      </c>
      <c r="D32" s="36">
        <f>+W32</f>
        <v>11762.5</v>
      </c>
      <c r="E32" s="36">
        <f>+D32-C32</f>
        <v>1228</v>
      </c>
      <c r="F32" s="37">
        <f>ROUND(+E32/C32,4)</f>
        <v>0.1166</v>
      </c>
      <c r="G32" s="36">
        <f>ROUND($A32*$R$10,2)</f>
        <v>26138.05</v>
      </c>
      <c r="H32" s="36">
        <f>ROUND($A32*$R$11,2)</f>
        <v>510.32</v>
      </c>
      <c r="I32" s="36">
        <f>+$R$12</f>
        <v>19.708167320169494</v>
      </c>
      <c r="J32" s="36">
        <f>+C32+G32+H32+I32</f>
        <v>37202.578167320171</v>
      </c>
      <c r="K32" s="36">
        <f>+D32+G32+H32+I32</f>
        <v>38430.578167320171</v>
      </c>
      <c r="L32" s="37">
        <f>ROUND((K32-J32)/J32,4)</f>
        <v>3.3000000000000002E-2</v>
      </c>
      <c r="Q32" s="38">
        <f>+$Q$20</f>
        <v>35</v>
      </c>
      <c r="R32" s="38">
        <f>ROUND($R$18*$A32,2)</f>
        <v>10499.5</v>
      </c>
      <c r="S32" s="38">
        <f>SUM(Q32:R32)</f>
        <v>10534.5</v>
      </c>
      <c r="U32" s="38">
        <f>+$U$20</f>
        <v>40</v>
      </c>
      <c r="V32" s="38">
        <f>ROUND($V$18*$A32,2)</f>
        <v>11722.5</v>
      </c>
      <c r="W32" s="38">
        <f>SUM(U32:V32)</f>
        <v>11762.5</v>
      </c>
    </row>
    <row r="33" spans="1:23" x14ac:dyDescent="0.2">
      <c r="A33" s="62"/>
      <c r="C33" s="35"/>
      <c r="D33" s="35"/>
      <c r="J33" s="35"/>
      <c r="K33" s="35"/>
      <c r="L33" s="35"/>
    </row>
    <row r="34" spans="1:23" x14ac:dyDescent="0.2">
      <c r="A34" s="62">
        <v>7500</v>
      </c>
      <c r="C34" s="36">
        <f>+S34</f>
        <v>15784.25</v>
      </c>
      <c r="D34" s="36">
        <f>+W34</f>
        <v>17623.75</v>
      </c>
      <c r="E34" s="36">
        <f>+D34-C34</f>
        <v>1839.5</v>
      </c>
      <c r="F34" s="37">
        <f>ROUND(+E34/C34,4)</f>
        <v>0.11650000000000001</v>
      </c>
      <c r="G34" s="36">
        <f>ROUND($A34*$R$10,2)</f>
        <v>39207.08</v>
      </c>
      <c r="H34" s="36">
        <f>ROUND($A34*$R$11,2)</f>
        <v>765.48</v>
      </c>
      <c r="I34" s="36">
        <f>+$R$12</f>
        <v>19.708167320169494</v>
      </c>
      <c r="J34" s="36">
        <f>+C34+G34+H34+I34</f>
        <v>55776.518167320173</v>
      </c>
      <c r="K34" s="36">
        <f>+D34+G34+H34+I34</f>
        <v>57616.018167320173</v>
      </c>
      <c r="L34" s="37">
        <f>ROUND((K34-J34)/J34,4)</f>
        <v>3.3000000000000002E-2</v>
      </c>
      <c r="Q34" s="38">
        <f>+$Q$20</f>
        <v>35</v>
      </c>
      <c r="R34" s="38">
        <f>ROUND($R$18*$A34,2)</f>
        <v>15749.25</v>
      </c>
      <c r="S34" s="38">
        <f>SUM(Q34:R34)</f>
        <v>15784.25</v>
      </c>
      <c r="U34" s="38">
        <f>+$U$20</f>
        <v>40</v>
      </c>
      <c r="V34" s="38">
        <f>ROUND($V$18*$A34,2)</f>
        <v>17583.75</v>
      </c>
      <c r="W34" s="38">
        <f>SUM(U34:V34)</f>
        <v>17623.75</v>
      </c>
    </row>
    <row r="35" spans="1:23" x14ac:dyDescent="0.2">
      <c r="J35" s="35"/>
      <c r="K35" s="35"/>
      <c r="L35" s="35"/>
    </row>
    <row r="36" spans="1:23" x14ac:dyDescent="0.2">
      <c r="A36" s="34" t="s">
        <v>125</v>
      </c>
      <c r="C36" s="61"/>
      <c r="D36" s="62"/>
      <c r="J36" s="36"/>
      <c r="K36" s="36"/>
      <c r="L36" s="37"/>
    </row>
    <row r="37" spans="1:23" x14ac:dyDescent="0.2">
      <c r="A37" s="65" t="str">
        <f>("Average usage = "&amp;INPUT!D17&amp;" Mcf per month")</f>
        <v>Average usage = 36.7 Mcf per month</v>
      </c>
    </row>
    <row r="38" spans="1:23" x14ac:dyDescent="0.2">
      <c r="A38" s="67" t="s">
        <v>127</v>
      </c>
    </row>
    <row r="39" spans="1:23" x14ac:dyDescent="0.2">
      <c r="A39" s="84" t="str">
        <f>+'Rate Case Constants'!$C$26</f>
        <v>Calculations may vary from other schedules due to rounding</v>
      </c>
    </row>
  </sheetData>
  <mergeCells count="5">
    <mergeCell ref="G15:I15"/>
    <mergeCell ref="A1:L1"/>
    <mergeCell ref="A2:L2"/>
    <mergeCell ref="A3:L3"/>
    <mergeCell ref="A4:L4"/>
  </mergeCells>
  <printOptions horizontalCentered="1"/>
  <pageMargins left="0.7" right="0.7" top="0.75" bottom="0.75" header="0.3" footer="0.3"/>
  <pageSetup scale="9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3"/>
  <sheetViews>
    <sheetView view="pageBreakPreview" zoomScale="90" zoomScaleNormal="100" zoomScaleSheetLayoutView="90" workbookViewId="0">
      <selection activeCell="A38" sqref="A38"/>
    </sheetView>
  </sheetViews>
  <sheetFormatPr defaultRowHeight="12.75" x14ac:dyDescent="0.2"/>
  <cols>
    <col min="1" max="1" width="9.28515625" style="34" bestFit="1" customWidth="1"/>
    <col min="2" max="2" width="2" style="34" customWidth="1"/>
    <col min="3" max="6" width="12" style="34" customWidth="1"/>
    <col min="7" max="7" width="12.140625" style="34" bestFit="1" customWidth="1"/>
    <col min="8" max="12" width="12" style="34" customWidth="1"/>
    <col min="13" max="16" width="3.7109375" style="34" customWidth="1"/>
    <col min="17" max="17" width="9.140625" style="34"/>
    <col min="18" max="18" width="13.28515625" style="34" bestFit="1" customWidth="1"/>
    <col min="19" max="19" width="11.5703125" style="34" bestFit="1" customWidth="1"/>
    <col min="20" max="20" width="9.140625" style="34"/>
    <col min="21" max="21" width="11.42578125" style="34" bestFit="1" customWidth="1"/>
    <col min="22" max="23" width="11.5703125" style="34" bestFit="1" customWidth="1"/>
    <col min="24" max="16384" width="9.140625" style="34"/>
  </cols>
  <sheetData>
    <row r="1" spans="1:24" x14ac:dyDescent="0.2">
      <c r="A1" s="97" t="str">
        <f>+'Rate Case Constants'!C9</f>
        <v>LOUISVILLE GAS AND ELECTRIC COMPANY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24" x14ac:dyDescent="0.2">
      <c r="A2" s="97" t="str">
        <f>+'Rate Case Constants'!C10</f>
        <v>CASE NO. 2014-00372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1:24" x14ac:dyDescent="0.2">
      <c r="A3" s="98" t="str">
        <f>+'Rate Case Constants'!C24</f>
        <v>Typical Gas Bill Comparison under Present &amp; Proposed Rates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24" x14ac:dyDescent="0.2">
      <c r="A4" s="97" t="str">
        <f>+'Rate Case Constants'!C21</f>
        <v>FORECAST PERIOD FOR THE 12 MONTHS ENDED JUNE 30, 2016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</row>
    <row r="6" spans="1:24" x14ac:dyDescent="0.2">
      <c r="A6" s="68"/>
    </row>
    <row r="7" spans="1:24" x14ac:dyDescent="0.2">
      <c r="A7" s="34" t="str">
        <f>+'Rate Case Constants'!C33</f>
        <v>DATA: ____BASE PERIOD__X___FORECASTED PERIOD</v>
      </c>
      <c r="L7" s="59" t="str">
        <f>+'Rate Case Constants'!C25</f>
        <v>SCHEDULE N (Gas)</v>
      </c>
    </row>
    <row r="8" spans="1:24" x14ac:dyDescent="0.2">
      <c r="A8" s="34" t="str">
        <f>+'Rate Case Constants'!C29</f>
        <v>TYPE OF FILING: __X__ ORIGINAL  _____ UPDATED  _____ REVISED</v>
      </c>
      <c r="L8" s="60" t="str">
        <f>+'Rate Case Constants'!I10</f>
        <v>PAGE 3 OF 9</v>
      </c>
    </row>
    <row r="9" spans="1:24" x14ac:dyDescent="0.2">
      <c r="A9" s="34" t="str">
        <f>+'Rate Case Constants'!C34</f>
        <v>WORKPAPER REFERENCE NO(S):________</v>
      </c>
      <c r="L9" s="59" t="str">
        <f>+'Rate Case Constants'!C37</f>
        <v>WITNESS:   R. M. CONROY</v>
      </c>
    </row>
    <row r="10" spans="1:24" x14ac:dyDescent="0.2">
      <c r="L10" s="59"/>
      <c r="Q10" s="26" t="s">
        <v>37</v>
      </c>
      <c r="R10" s="22">
        <f>+INPUT!H41</f>
        <v>5.2276107180276279</v>
      </c>
      <c r="S10" s="35"/>
      <c r="T10" s="35"/>
      <c r="U10" s="35"/>
      <c r="V10" s="35"/>
      <c r="W10" s="35"/>
      <c r="X10" s="35"/>
    </row>
    <row r="11" spans="1:24" x14ac:dyDescent="0.2">
      <c r="A11" s="54" t="s">
        <v>60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6"/>
      <c r="N11" s="56"/>
      <c r="O11" s="56"/>
      <c r="P11" s="56"/>
      <c r="Q11" s="57" t="s">
        <v>34</v>
      </c>
      <c r="R11" s="58">
        <f>+INPUT!I41</f>
        <v>0.10206405212949715</v>
      </c>
      <c r="S11" s="17"/>
      <c r="T11" s="17"/>
      <c r="U11" s="23"/>
      <c r="V11" s="17"/>
      <c r="W11" s="17"/>
      <c r="X11" s="35"/>
    </row>
    <row r="12" spans="1:24" x14ac:dyDescent="0.2">
      <c r="A12" s="17" t="s">
        <v>62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Q12" s="26" t="s">
        <v>38</v>
      </c>
      <c r="R12" s="71">
        <f>+INPUT!$L$41</f>
        <v>19.708167320169494</v>
      </c>
      <c r="S12" s="17"/>
      <c r="T12" s="17"/>
      <c r="U12" s="17"/>
      <c r="V12" s="17"/>
      <c r="W12" s="17"/>
      <c r="X12" s="35"/>
    </row>
    <row r="13" spans="1:24" x14ac:dyDescent="0.2">
      <c r="A13" s="17"/>
      <c r="B13" s="17"/>
      <c r="C13" s="18" t="s">
        <v>107</v>
      </c>
      <c r="D13" s="19" t="s">
        <v>115</v>
      </c>
      <c r="E13" s="19" t="s">
        <v>108</v>
      </c>
      <c r="F13" s="18" t="s">
        <v>109</v>
      </c>
      <c r="G13" s="18" t="s">
        <v>110</v>
      </c>
      <c r="H13" s="18" t="s">
        <v>111</v>
      </c>
      <c r="I13" s="19" t="s">
        <v>116</v>
      </c>
      <c r="J13" s="18" t="s">
        <v>112</v>
      </c>
      <c r="K13" s="18" t="s">
        <v>113</v>
      </c>
      <c r="L13" s="18" t="s">
        <v>114</v>
      </c>
      <c r="Q13" s="17"/>
      <c r="R13" s="17"/>
      <c r="S13" s="17"/>
      <c r="T13" s="17"/>
      <c r="U13" s="17"/>
      <c r="V13" s="17"/>
      <c r="W13" s="17"/>
      <c r="X13" s="35"/>
    </row>
    <row r="14" spans="1:24" x14ac:dyDescent="0.2">
      <c r="A14" s="35"/>
      <c r="B14" s="35"/>
      <c r="C14" s="91" t="s">
        <v>136</v>
      </c>
      <c r="D14" s="91" t="s">
        <v>136</v>
      </c>
      <c r="E14" s="35"/>
      <c r="F14" s="35"/>
      <c r="G14" s="35"/>
      <c r="H14" s="35"/>
      <c r="I14" s="35"/>
      <c r="J14" s="18" t="s">
        <v>29</v>
      </c>
      <c r="K14" s="18" t="s">
        <v>29</v>
      </c>
      <c r="L14" s="35"/>
      <c r="Q14" s="24" t="s">
        <v>0</v>
      </c>
      <c r="R14" s="24"/>
      <c r="S14" s="24"/>
      <c r="T14" s="35"/>
      <c r="U14" s="24" t="s">
        <v>28</v>
      </c>
      <c r="V14" s="24"/>
      <c r="W14" s="24"/>
      <c r="X14" s="35"/>
    </row>
    <row r="15" spans="1:24" x14ac:dyDescent="0.2">
      <c r="A15" s="35"/>
      <c r="B15" s="35"/>
      <c r="C15" s="18" t="s">
        <v>24</v>
      </c>
      <c r="D15" s="18" t="s">
        <v>30</v>
      </c>
      <c r="E15" s="18"/>
      <c r="F15" s="18"/>
      <c r="G15" s="95" t="s">
        <v>31</v>
      </c>
      <c r="H15" s="95"/>
      <c r="I15" s="96"/>
      <c r="J15" s="18" t="s">
        <v>24</v>
      </c>
      <c r="K15" s="18" t="s">
        <v>30</v>
      </c>
      <c r="L15" s="18"/>
      <c r="Q15" s="19" t="s">
        <v>40</v>
      </c>
      <c r="R15" s="18"/>
      <c r="S15" s="19"/>
      <c r="T15" s="35"/>
      <c r="U15" s="19" t="s">
        <v>40</v>
      </c>
      <c r="V15" s="18"/>
      <c r="W15" s="19"/>
      <c r="X15" s="35"/>
    </row>
    <row r="16" spans="1:24" x14ac:dyDescent="0.2">
      <c r="A16" s="18"/>
      <c r="B16" s="18"/>
      <c r="C16" s="18" t="s">
        <v>32</v>
      </c>
      <c r="D16" s="18" t="s">
        <v>32</v>
      </c>
      <c r="E16" s="18" t="s">
        <v>33</v>
      </c>
      <c r="F16" s="18" t="s">
        <v>33</v>
      </c>
      <c r="G16" s="18" t="s">
        <v>37</v>
      </c>
      <c r="H16" s="18" t="s">
        <v>34</v>
      </c>
      <c r="I16" s="18" t="s">
        <v>38</v>
      </c>
      <c r="J16" s="18" t="s">
        <v>32</v>
      </c>
      <c r="K16" s="18" t="s">
        <v>32</v>
      </c>
      <c r="L16" s="18" t="s">
        <v>33</v>
      </c>
      <c r="Q16" s="19" t="s">
        <v>41</v>
      </c>
      <c r="R16" s="18" t="s">
        <v>137</v>
      </c>
      <c r="S16" s="19" t="s">
        <v>29</v>
      </c>
      <c r="T16" s="35"/>
      <c r="U16" s="19" t="s">
        <v>41</v>
      </c>
      <c r="V16" s="18" t="s">
        <v>137</v>
      </c>
      <c r="W16" s="19" t="s">
        <v>29</v>
      </c>
      <c r="X16" s="35"/>
    </row>
    <row r="17" spans="1:24" x14ac:dyDescent="0.2">
      <c r="A17" s="18" t="s">
        <v>39</v>
      </c>
      <c r="B17" s="18"/>
      <c r="C17" s="18"/>
      <c r="D17" s="18"/>
      <c r="E17" s="18" t="s">
        <v>35</v>
      </c>
      <c r="F17" s="19" t="s">
        <v>36</v>
      </c>
      <c r="G17" s="20"/>
      <c r="H17" s="20"/>
      <c r="I17" s="21"/>
      <c r="J17" s="18" t="s">
        <v>35</v>
      </c>
      <c r="K17" s="18" t="s">
        <v>35</v>
      </c>
      <c r="L17" s="19" t="s">
        <v>36</v>
      </c>
      <c r="Q17" s="40" t="s">
        <v>44</v>
      </c>
      <c r="R17" s="41" t="s">
        <v>44</v>
      </c>
      <c r="S17" s="40" t="s">
        <v>32</v>
      </c>
      <c r="T17" s="35"/>
      <c r="U17" s="40" t="s">
        <v>44</v>
      </c>
      <c r="V17" s="41" t="s">
        <v>44</v>
      </c>
      <c r="W17" s="40" t="s">
        <v>32</v>
      </c>
      <c r="X17" s="35"/>
    </row>
    <row r="18" spans="1:24" x14ac:dyDescent="0.2">
      <c r="A18" s="18"/>
      <c r="B18" s="18"/>
      <c r="C18" s="18"/>
      <c r="D18" s="18"/>
      <c r="E18" s="18" t="str">
        <f>("[ "&amp;D13&amp;" - "&amp;C13&amp;" ]")</f>
        <v>[ B - A ]</v>
      </c>
      <c r="F18" s="18" t="str">
        <f>("[ "&amp;E13&amp;" / "&amp;C13&amp;" ]")</f>
        <v>[ C / A ]</v>
      </c>
      <c r="G18" s="20"/>
      <c r="H18" s="20"/>
      <c r="I18" s="20"/>
      <c r="J18" s="19" t="str">
        <f>("["&amp;C13&amp;"+"&amp;$G$13&amp;"+"&amp;$H$13&amp;"+"&amp;$I$13&amp;"]")</f>
        <v>[A+E+F+G]</v>
      </c>
      <c r="K18" s="18" t="str">
        <f>("["&amp;D13&amp;"+"&amp;$G$13&amp;"+"&amp;$H$13&amp;"+"&amp;$I$13&amp;"]")</f>
        <v>[B+E+F+G]</v>
      </c>
      <c r="L18" s="18" t="str">
        <f>("[("&amp;K13&amp;" - "&amp;J13&amp;") / "&amp;J13&amp;"]")</f>
        <v>[(I - H) / H]</v>
      </c>
      <c r="Q18" s="19"/>
      <c r="R18" s="25">
        <f>+INPUT!$D$9</f>
        <v>2.0998999999999999</v>
      </c>
      <c r="S18" s="19"/>
      <c r="T18" s="35"/>
      <c r="U18" s="19"/>
      <c r="V18" s="25">
        <f>+INPUT!$D$27</f>
        <v>2.3445</v>
      </c>
      <c r="W18" s="19"/>
      <c r="X18" s="35"/>
    </row>
    <row r="19" spans="1:24" x14ac:dyDescent="0.2">
      <c r="A19" s="18"/>
      <c r="B19" s="18"/>
      <c r="C19" s="18"/>
      <c r="D19" s="18"/>
      <c r="F19" s="18"/>
      <c r="G19" s="18"/>
      <c r="H19" s="18"/>
      <c r="I19" s="18"/>
      <c r="J19" s="19"/>
      <c r="K19" s="19"/>
      <c r="L19" s="19"/>
      <c r="Q19" s="19"/>
      <c r="R19" s="19" t="s">
        <v>138</v>
      </c>
      <c r="S19" s="19"/>
      <c r="T19" s="35"/>
      <c r="U19" s="19"/>
      <c r="V19" s="19" t="s">
        <v>138</v>
      </c>
      <c r="W19" s="19"/>
      <c r="X19" s="35"/>
    </row>
    <row r="20" spans="1:24" x14ac:dyDescent="0.2">
      <c r="A20" s="62">
        <v>25</v>
      </c>
      <c r="C20" s="36">
        <f>+S20</f>
        <v>227.5</v>
      </c>
      <c r="D20" s="36">
        <f>+W20</f>
        <v>238.61</v>
      </c>
      <c r="E20" s="36">
        <f>+D20-C20</f>
        <v>11.110000000000014</v>
      </c>
      <c r="F20" s="37">
        <f>ROUND(+E20/C20,4)</f>
        <v>4.8800000000000003E-2</v>
      </c>
      <c r="G20" s="36">
        <f>ROUND($A20*$R$10,2)</f>
        <v>130.69</v>
      </c>
      <c r="H20" s="36">
        <f>ROUND($A20*$R$11,2)</f>
        <v>2.5499999999999998</v>
      </c>
      <c r="I20" s="36">
        <f>+$R$12</f>
        <v>19.708167320169494</v>
      </c>
      <c r="J20" s="36">
        <f>+C20+G20+H20+I20</f>
        <v>380.44816732016949</v>
      </c>
      <c r="K20" s="36">
        <f>+D20+G20+H20+I20</f>
        <v>391.5581673201695</v>
      </c>
      <c r="L20" s="37">
        <f>ROUND((K20-J20)/J20,4)</f>
        <v>2.92E-2</v>
      </c>
      <c r="Q20" s="38">
        <f>+INPUT!$D$7</f>
        <v>175</v>
      </c>
      <c r="R20" s="38">
        <f>ROUND($R$18*$A20,2)</f>
        <v>52.5</v>
      </c>
      <c r="S20" s="38">
        <f>SUM(Q20:R20)</f>
        <v>227.5</v>
      </c>
      <c r="U20" s="38">
        <f>+INPUT!$D$25</f>
        <v>180</v>
      </c>
      <c r="V20" s="38">
        <f>ROUND($V$18*$A20,2)</f>
        <v>58.61</v>
      </c>
      <c r="W20" s="38">
        <f>SUM(U20:V20)</f>
        <v>238.61</v>
      </c>
    </row>
    <row r="21" spans="1:24" x14ac:dyDescent="0.2">
      <c r="A21" s="62"/>
      <c r="C21" s="35"/>
      <c r="D21" s="35"/>
      <c r="J21" s="35"/>
      <c r="K21" s="35"/>
      <c r="L21" s="35"/>
    </row>
    <row r="22" spans="1:24" x14ac:dyDescent="0.2">
      <c r="A22" s="62">
        <v>50</v>
      </c>
      <c r="C22" s="36">
        <f>+S22</f>
        <v>280</v>
      </c>
      <c r="D22" s="36">
        <f>+W22</f>
        <v>297.23</v>
      </c>
      <c r="E22" s="36">
        <f>+D22-C22</f>
        <v>17.230000000000018</v>
      </c>
      <c r="F22" s="37">
        <f>ROUND(+E22/C22,4)</f>
        <v>6.1499999999999999E-2</v>
      </c>
      <c r="G22" s="36">
        <f>ROUND($A22*$R$10,2)</f>
        <v>261.38</v>
      </c>
      <c r="H22" s="36">
        <f>ROUND($A22*$R$11,2)</f>
        <v>5.0999999999999996</v>
      </c>
      <c r="I22" s="36">
        <f>+$R$12</f>
        <v>19.708167320169494</v>
      </c>
      <c r="J22" s="36">
        <f>+C22+G22+H22+I22</f>
        <v>566.18816732016955</v>
      </c>
      <c r="K22" s="36">
        <f>+D22+G22+H22+I22</f>
        <v>583.41816732016957</v>
      </c>
      <c r="L22" s="37">
        <f>ROUND((K22-J22)/J22,4)</f>
        <v>3.04E-2</v>
      </c>
      <c r="Q22" s="38">
        <f>+$Q$20</f>
        <v>175</v>
      </c>
      <c r="R22" s="38">
        <f>ROUND($R$18*$A22,2)</f>
        <v>105</v>
      </c>
      <c r="S22" s="38">
        <f>SUM(Q22:R22)</f>
        <v>280</v>
      </c>
      <c r="U22" s="38">
        <f>+$U$20</f>
        <v>180</v>
      </c>
      <c r="V22" s="38">
        <f>ROUND($V$18*$A22,2)</f>
        <v>117.23</v>
      </c>
      <c r="W22" s="38">
        <f>SUM(U22:V22)</f>
        <v>297.23</v>
      </c>
    </row>
    <row r="23" spans="1:24" x14ac:dyDescent="0.2">
      <c r="A23" s="62"/>
      <c r="C23" s="36"/>
      <c r="D23" s="36"/>
      <c r="J23" s="36"/>
      <c r="K23" s="36"/>
      <c r="L23" s="37"/>
    </row>
    <row r="24" spans="1:24" x14ac:dyDescent="0.2">
      <c r="A24" s="62">
        <v>100</v>
      </c>
      <c r="C24" s="36">
        <f>+S24</f>
        <v>384.99</v>
      </c>
      <c r="D24" s="36">
        <f>+W24</f>
        <v>414.45</v>
      </c>
      <c r="E24" s="36">
        <f>+D24-C24</f>
        <v>29.45999999999998</v>
      </c>
      <c r="F24" s="37">
        <f>ROUND(+E24/C24,4)</f>
        <v>7.6499999999999999E-2</v>
      </c>
      <c r="G24" s="36">
        <f>ROUND($A24*$R$10,2)</f>
        <v>522.76</v>
      </c>
      <c r="H24" s="36">
        <f>ROUND($A24*$R$11,2)</f>
        <v>10.210000000000001</v>
      </c>
      <c r="I24" s="36">
        <f>+$R$12</f>
        <v>19.708167320169494</v>
      </c>
      <c r="J24" s="36">
        <f>+C24+G24+H24+I24</f>
        <v>937.66816732016957</v>
      </c>
      <c r="K24" s="36">
        <f>+D24+G24+H24+I24</f>
        <v>967.12816732016961</v>
      </c>
      <c r="L24" s="37">
        <f>ROUND((K24-J24)/J24,4)</f>
        <v>3.1399999999999997E-2</v>
      </c>
      <c r="Q24" s="38">
        <f>+$Q$20</f>
        <v>175</v>
      </c>
      <c r="R24" s="38">
        <f>ROUND($R$18*$A24,2)</f>
        <v>209.99</v>
      </c>
      <c r="S24" s="38">
        <f>SUM(Q24:R24)</f>
        <v>384.99</v>
      </c>
      <c r="U24" s="38">
        <f>+$U$20</f>
        <v>180</v>
      </c>
      <c r="V24" s="38">
        <f>ROUND($V$18*$A24,2)</f>
        <v>234.45</v>
      </c>
      <c r="W24" s="38">
        <f>SUM(U24:V24)</f>
        <v>414.45</v>
      </c>
    </row>
    <row r="25" spans="1:24" x14ac:dyDescent="0.2">
      <c r="A25" s="62"/>
      <c r="C25" s="35"/>
      <c r="D25" s="35"/>
      <c r="J25" s="35"/>
      <c r="K25" s="35"/>
      <c r="L25" s="35"/>
    </row>
    <row r="26" spans="1:24" x14ac:dyDescent="0.2">
      <c r="A26" s="62">
        <v>500</v>
      </c>
      <c r="C26" s="39">
        <f>+S26</f>
        <v>1224.95</v>
      </c>
      <c r="D26" s="39">
        <f>+W26</f>
        <v>1352.25</v>
      </c>
      <c r="E26" s="36">
        <f>+D26-C26</f>
        <v>127.29999999999995</v>
      </c>
      <c r="F26" s="37">
        <f>ROUND(+E26/C26,4)</f>
        <v>0.10390000000000001</v>
      </c>
      <c r="G26" s="36">
        <f>ROUND($A26*$R$10,2)</f>
        <v>2613.81</v>
      </c>
      <c r="H26" s="36">
        <f>ROUND($A26*$R$11,2)</f>
        <v>51.03</v>
      </c>
      <c r="I26" s="36">
        <f>+$R$12</f>
        <v>19.708167320169494</v>
      </c>
      <c r="J26" s="39">
        <f>+C26+G26+H26+I26</f>
        <v>3909.4981673201701</v>
      </c>
      <c r="K26" s="39">
        <f>+D26+G26+H26+I26</f>
        <v>4036.7981673201698</v>
      </c>
      <c r="L26" s="37">
        <f>ROUND((K26-J26)/J26,4)</f>
        <v>3.2599999999999997E-2</v>
      </c>
      <c r="Q26" s="38">
        <f>+$Q$20</f>
        <v>175</v>
      </c>
      <c r="R26" s="38">
        <f>ROUND($R$18*$A26,2)</f>
        <v>1049.95</v>
      </c>
      <c r="S26" s="38">
        <f>SUM(Q26:R26)</f>
        <v>1224.95</v>
      </c>
      <c r="U26" s="38">
        <f>+$U$20</f>
        <v>180</v>
      </c>
      <c r="V26" s="38">
        <f>ROUND($V$18*$A26,2)</f>
        <v>1172.25</v>
      </c>
      <c r="W26" s="38">
        <f>SUM(U26:V26)</f>
        <v>1352.25</v>
      </c>
    </row>
    <row r="27" spans="1:24" x14ac:dyDescent="0.2">
      <c r="A27" s="62"/>
      <c r="C27" s="35"/>
      <c r="D27" s="35"/>
      <c r="J27" s="35"/>
      <c r="K27" s="35"/>
      <c r="L27" s="35"/>
    </row>
    <row r="28" spans="1:24" x14ac:dyDescent="0.2">
      <c r="A28" s="62">
        <v>1000</v>
      </c>
      <c r="C28" s="36">
        <f>+S28</f>
        <v>2274.9</v>
      </c>
      <c r="D28" s="36">
        <f>+W28</f>
        <v>2524.5</v>
      </c>
      <c r="E28" s="36">
        <f>+D28-C28</f>
        <v>249.59999999999991</v>
      </c>
      <c r="F28" s="37">
        <f>ROUND(+E28/C28,4)</f>
        <v>0.10970000000000001</v>
      </c>
      <c r="G28" s="36">
        <f>ROUND($A28*$R$10,2)</f>
        <v>5227.6099999999997</v>
      </c>
      <c r="H28" s="36">
        <f>ROUND($A28*$R$11,2)</f>
        <v>102.06</v>
      </c>
      <c r="I28" s="36">
        <f>+$R$12</f>
        <v>19.708167320169494</v>
      </c>
      <c r="J28" s="36">
        <f>+C28+G28+H28+I28</f>
        <v>7624.2781673201698</v>
      </c>
      <c r="K28" s="36">
        <f>+D28+G28+H28+I28</f>
        <v>7873.8781673201693</v>
      </c>
      <c r="L28" s="37">
        <f>ROUND((K28-J28)/J28,4)</f>
        <v>3.27E-2</v>
      </c>
      <c r="Q28" s="38">
        <f>+$Q$20</f>
        <v>175</v>
      </c>
      <c r="R28" s="38">
        <f>ROUND($R$18*$A28,2)</f>
        <v>2099.9</v>
      </c>
      <c r="S28" s="38">
        <f>SUM(Q28:R28)</f>
        <v>2274.9</v>
      </c>
      <c r="U28" s="38">
        <f>+$U$20</f>
        <v>180</v>
      </c>
      <c r="V28" s="38">
        <f>ROUND($V$18*$A28,2)</f>
        <v>2344.5</v>
      </c>
      <c r="W28" s="38">
        <f>SUM(U28:V28)</f>
        <v>2524.5</v>
      </c>
    </row>
    <row r="29" spans="1:24" x14ac:dyDescent="0.2">
      <c r="A29" s="62"/>
      <c r="C29" s="35"/>
      <c r="D29" s="35"/>
      <c r="J29" s="35"/>
      <c r="K29" s="35"/>
      <c r="L29" s="35"/>
    </row>
    <row r="30" spans="1:24" x14ac:dyDescent="0.2">
      <c r="A30" s="62">
        <v>2500</v>
      </c>
      <c r="C30" s="36">
        <f>+S30</f>
        <v>5424.75</v>
      </c>
      <c r="D30" s="36">
        <f>+W30</f>
        <v>6041.25</v>
      </c>
      <c r="E30" s="36">
        <f>+D30-C30</f>
        <v>616.5</v>
      </c>
      <c r="F30" s="37">
        <f>ROUND(+E30/C30,4)</f>
        <v>0.11360000000000001</v>
      </c>
      <c r="G30" s="36">
        <f>ROUND($A30*$R$10,2)</f>
        <v>13069.03</v>
      </c>
      <c r="H30" s="36">
        <f>ROUND($A30*$R$11,2)</f>
        <v>255.16</v>
      </c>
      <c r="I30" s="36">
        <f>+$R$12</f>
        <v>19.708167320169494</v>
      </c>
      <c r="J30" s="36">
        <f>+C30+G30+H30+I30</f>
        <v>18768.648167320167</v>
      </c>
      <c r="K30" s="36">
        <f>+D30+G30+H30+I30</f>
        <v>19385.148167320167</v>
      </c>
      <c r="L30" s="37">
        <f>ROUND((K30-J30)/J30,4)</f>
        <v>3.2800000000000003E-2</v>
      </c>
      <c r="Q30" s="38">
        <f>+$Q$20</f>
        <v>175</v>
      </c>
      <c r="R30" s="38">
        <f>ROUND($R$18*$A30,2)</f>
        <v>5249.75</v>
      </c>
      <c r="S30" s="38">
        <f>SUM(Q30:R30)</f>
        <v>5424.75</v>
      </c>
      <c r="U30" s="38">
        <f>+$U$20</f>
        <v>180</v>
      </c>
      <c r="V30" s="38">
        <f>ROUND($V$18*$A30,2)</f>
        <v>5861.25</v>
      </c>
      <c r="W30" s="38">
        <f>SUM(U30:V30)</f>
        <v>6041.25</v>
      </c>
    </row>
    <row r="31" spans="1:24" x14ac:dyDescent="0.2">
      <c r="A31" s="62"/>
      <c r="C31" s="35"/>
      <c r="D31" s="35"/>
      <c r="J31" s="35"/>
      <c r="K31" s="35"/>
      <c r="L31" s="35"/>
    </row>
    <row r="32" spans="1:24" x14ac:dyDescent="0.2">
      <c r="A32" s="62">
        <v>5000</v>
      </c>
      <c r="C32" s="36">
        <f>+S32</f>
        <v>10674.5</v>
      </c>
      <c r="D32" s="36">
        <f>+W32</f>
        <v>11902.5</v>
      </c>
      <c r="E32" s="36">
        <f>+D32-C32</f>
        <v>1228</v>
      </c>
      <c r="F32" s="37">
        <f>ROUND(+E32/C32,4)</f>
        <v>0.115</v>
      </c>
      <c r="G32" s="36">
        <f>ROUND($A32*$R$10,2)</f>
        <v>26138.05</v>
      </c>
      <c r="H32" s="36">
        <f>ROUND($A32*$R$11,2)</f>
        <v>510.32</v>
      </c>
      <c r="I32" s="36">
        <f>+$R$12</f>
        <v>19.708167320169494</v>
      </c>
      <c r="J32" s="36">
        <f>+C32+G32+H32+I32</f>
        <v>37342.578167320171</v>
      </c>
      <c r="K32" s="36">
        <f>+D32+G32+H32+I32</f>
        <v>38570.578167320171</v>
      </c>
      <c r="L32" s="37">
        <f>ROUND((K32-J32)/J32,4)</f>
        <v>3.2899999999999999E-2</v>
      </c>
      <c r="Q32" s="38">
        <f>+$Q$20</f>
        <v>175</v>
      </c>
      <c r="R32" s="38">
        <f>ROUND($R$18*$A32,2)</f>
        <v>10499.5</v>
      </c>
      <c r="S32" s="38">
        <f>SUM(Q32:R32)</f>
        <v>10674.5</v>
      </c>
      <c r="U32" s="38">
        <f>+$U$20</f>
        <v>180</v>
      </c>
      <c r="V32" s="38">
        <f>ROUND($V$18*$A32,2)</f>
        <v>11722.5</v>
      </c>
      <c r="W32" s="38">
        <f>SUM(U32:V32)</f>
        <v>11902.5</v>
      </c>
    </row>
    <row r="33" spans="1:23" x14ac:dyDescent="0.2">
      <c r="A33" s="62"/>
      <c r="C33" s="35"/>
      <c r="D33" s="35"/>
      <c r="J33" s="35"/>
      <c r="K33" s="35"/>
      <c r="L33" s="35"/>
    </row>
    <row r="34" spans="1:23" x14ac:dyDescent="0.2">
      <c r="A34" s="62">
        <v>7500</v>
      </c>
      <c r="C34" s="36">
        <f>+S34</f>
        <v>15924.25</v>
      </c>
      <c r="D34" s="36">
        <f>+W34</f>
        <v>17763.75</v>
      </c>
      <c r="E34" s="36">
        <f>+D34-C34</f>
        <v>1839.5</v>
      </c>
      <c r="F34" s="37">
        <f>ROUND(+E34/C34,4)</f>
        <v>0.11550000000000001</v>
      </c>
      <c r="G34" s="36">
        <f>ROUND($A34*$R$10,2)</f>
        <v>39207.08</v>
      </c>
      <c r="H34" s="36">
        <f>ROUND($A34*$R$11,2)</f>
        <v>765.48</v>
      </c>
      <c r="I34" s="36">
        <f>+$R$12</f>
        <v>19.708167320169494</v>
      </c>
      <c r="J34" s="36">
        <f>+C34+G34+H34+I34</f>
        <v>55916.518167320173</v>
      </c>
      <c r="K34" s="36">
        <f>+D34+G34+H34+I34</f>
        <v>57756.018167320173</v>
      </c>
      <c r="L34" s="37">
        <f>ROUND((K34-J34)/J34,4)</f>
        <v>3.2899999999999999E-2</v>
      </c>
      <c r="Q34" s="38">
        <f>+$Q$20</f>
        <v>175</v>
      </c>
      <c r="R34" s="38">
        <f>ROUND($R$18*$A34,2)</f>
        <v>15749.25</v>
      </c>
      <c r="S34" s="38">
        <f>SUM(Q34:R34)</f>
        <v>15924.25</v>
      </c>
      <c r="U34" s="38">
        <f>+$U$20</f>
        <v>180</v>
      </c>
      <c r="V34" s="38">
        <f>ROUND($V$18*$A34,2)</f>
        <v>17583.75</v>
      </c>
      <c r="W34" s="38">
        <f>SUM(U34:V34)</f>
        <v>17763.75</v>
      </c>
    </row>
    <row r="35" spans="1:23" x14ac:dyDescent="0.2">
      <c r="J35" s="35"/>
      <c r="K35" s="35"/>
      <c r="L35" s="35"/>
    </row>
    <row r="36" spans="1:23" x14ac:dyDescent="0.2">
      <c r="A36" s="34" t="s">
        <v>125</v>
      </c>
      <c r="C36" s="61"/>
      <c r="D36" s="62"/>
      <c r="J36" s="36"/>
      <c r="K36" s="36"/>
      <c r="L36" s="37"/>
    </row>
    <row r="37" spans="1:23" x14ac:dyDescent="0.2">
      <c r="A37" s="65" t="str">
        <f>("Average usage = "&amp;INPUT!D17&amp;" Mcf per month")</f>
        <v>Average usage = 36.7 Mcf per month</v>
      </c>
    </row>
    <row r="38" spans="1:23" x14ac:dyDescent="0.2">
      <c r="A38" s="67" t="s">
        <v>127</v>
      </c>
    </row>
    <row r="39" spans="1:23" x14ac:dyDescent="0.2">
      <c r="A39" s="84" t="str">
        <f>+'Rate Case Constants'!$C$26</f>
        <v>Calculations may vary from other schedules due to rounding</v>
      </c>
    </row>
    <row r="53" spans="10:10" x14ac:dyDescent="0.2">
      <c r="J53" s="18"/>
    </row>
  </sheetData>
  <mergeCells count="5">
    <mergeCell ref="G15:I15"/>
    <mergeCell ref="A1:L1"/>
    <mergeCell ref="A2:L2"/>
    <mergeCell ref="A3:L3"/>
    <mergeCell ref="A4:L4"/>
  </mergeCells>
  <printOptions horizontalCentered="1"/>
  <pageMargins left="0.7" right="0.7" top="0.75" bottom="0.75" header="0.3" footer="0.3"/>
  <pageSetup scale="9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view="pageBreakPreview" topLeftCell="A4" zoomScaleNormal="100" zoomScaleSheetLayoutView="100" workbookViewId="0">
      <selection activeCell="A38" sqref="A38"/>
    </sheetView>
  </sheetViews>
  <sheetFormatPr defaultRowHeight="12.75" x14ac:dyDescent="0.2"/>
  <cols>
    <col min="1" max="1" width="9.28515625" style="34" bestFit="1" customWidth="1"/>
    <col min="2" max="2" width="2" style="34" customWidth="1"/>
    <col min="3" max="6" width="12" style="34" customWidth="1"/>
    <col min="7" max="7" width="11.28515625" style="34" bestFit="1" customWidth="1"/>
    <col min="8" max="12" width="12" style="34" customWidth="1"/>
    <col min="13" max="16" width="4.85546875" style="34" customWidth="1"/>
    <col min="17" max="17" width="9.140625" style="34"/>
    <col min="18" max="18" width="12" style="34" bestFit="1" customWidth="1"/>
    <col min="19" max="19" width="10.7109375" style="34" bestFit="1" customWidth="1"/>
    <col min="20" max="21" width="9.140625" style="34"/>
    <col min="22" max="23" width="10.7109375" style="34" bestFit="1" customWidth="1"/>
    <col min="24" max="16384" width="9.140625" style="34"/>
  </cols>
  <sheetData>
    <row r="1" spans="1:24" x14ac:dyDescent="0.2">
      <c r="A1" s="97" t="str">
        <f>+'Rate Case Constants'!C9</f>
        <v>LOUISVILLE GAS AND ELECTRIC COMPANY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24" x14ac:dyDescent="0.2">
      <c r="A2" s="97" t="str">
        <f>+'Rate Case Constants'!C10</f>
        <v>CASE NO. 2014-00372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1:24" x14ac:dyDescent="0.2">
      <c r="A3" s="98" t="str">
        <f>+'Rate Case Constants'!C24</f>
        <v>Typical Gas Bill Comparison under Present &amp; Proposed Rates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24" x14ac:dyDescent="0.2">
      <c r="A4" s="97" t="str">
        <f>+'Rate Case Constants'!C21</f>
        <v>FORECAST PERIOD FOR THE 12 MONTHS ENDED JUNE 30, 2016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</row>
    <row r="6" spans="1:24" x14ac:dyDescent="0.2">
      <c r="A6" s="68"/>
    </row>
    <row r="7" spans="1:24" x14ac:dyDescent="0.2">
      <c r="A7" s="34" t="str">
        <f>+'Rate Case Constants'!C33</f>
        <v>DATA: ____BASE PERIOD__X___FORECASTED PERIOD</v>
      </c>
      <c r="L7" s="59" t="str">
        <f>+'Rate Case Constants'!C25</f>
        <v>SCHEDULE N (Gas)</v>
      </c>
    </row>
    <row r="8" spans="1:24" x14ac:dyDescent="0.2">
      <c r="A8" s="34" t="str">
        <f>+'Rate Case Constants'!C29</f>
        <v>TYPE OF FILING: __X__ ORIGINAL  _____ UPDATED  _____ REVISED</v>
      </c>
      <c r="L8" s="60" t="str">
        <f>+'Rate Case Constants'!I11</f>
        <v>PAGE 4 OF 9</v>
      </c>
    </row>
    <row r="9" spans="1:24" x14ac:dyDescent="0.2">
      <c r="A9" s="34" t="str">
        <f>+'Rate Case Constants'!C34</f>
        <v>WORKPAPER REFERENCE NO(S):________</v>
      </c>
      <c r="L9" s="59" t="str">
        <f>+'Rate Case Constants'!C37</f>
        <v>WITNESS:   R. M. CONROY</v>
      </c>
    </row>
    <row r="10" spans="1:24" x14ac:dyDescent="0.2">
      <c r="L10" s="59"/>
      <c r="Q10" s="26" t="s">
        <v>37</v>
      </c>
      <c r="R10" s="22">
        <f>+INPUT!H42</f>
        <v>4.5291879381640126</v>
      </c>
      <c r="S10" s="35"/>
      <c r="T10" s="35"/>
      <c r="U10" s="35"/>
      <c r="V10" s="35"/>
      <c r="W10" s="35"/>
      <c r="X10" s="35"/>
    </row>
    <row r="11" spans="1:24" x14ac:dyDescent="0.2">
      <c r="A11" s="54" t="s">
        <v>63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6"/>
      <c r="N11" s="56"/>
      <c r="O11" s="56"/>
      <c r="P11" s="56"/>
      <c r="Q11" s="57" t="s">
        <v>34</v>
      </c>
      <c r="R11" s="58">
        <f>+INPUT!I42</f>
        <v>0</v>
      </c>
      <c r="S11" s="17"/>
      <c r="T11" s="17"/>
      <c r="U11" s="23"/>
      <c r="V11" s="17"/>
      <c r="W11" s="17"/>
      <c r="X11" s="35"/>
    </row>
    <row r="12" spans="1:24" x14ac:dyDescent="0.2">
      <c r="A12" s="17" t="s">
        <v>59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Q12" s="26" t="s">
        <v>38</v>
      </c>
      <c r="R12" s="71">
        <f>+INPUT!$L$42</f>
        <v>124.48524015401578</v>
      </c>
      <c r="S12" s="17"/>
      <c r="T12" s="17"/>
      <c r="U12" s="17"/>
      <c r="V12" s="17"/>
      <c r="W12" s="17"/>
      <c r="X12" s="35"/>
    </row>
    <row r="13" spans="1:24" x14ac:dyDescent="0.2">
      <c r="A13" s="17"/>
      <c r="B13" s="17"/>
      <c r="C13" s="18" t="s">
        <v>107</v>
      </c>
      <c r="D13" s="19" t="s">
        <v>115</v>
      </c>
      <c r="E13" s="19" t="s">
        <v>108</v>
      </c>
      <c r="F13" s="18" t="s">
        <v>109</v>
      </c>
      <c r="G13" s="18" t="s">
        <v>110</v>
      </c>
      <c r="H13" s="18" t="s">
        <v>111</v>
      </c>
      <c r="I13" s="19" t="s">
        <v>116</v>
      </c>
      <c r="J13" s="18" t="s">
        <v>112</v>
      </c>
      <c r="K13" s="18" t="s">
        <v>113</v>
      </c>
      <c r="L13" s="18" t="s">
        <v>114</v>
      </c>
      <c r="Q13" s="17"/>
      <c r="R13" s="17"/>
      <c r="S13" s="17"/>
      <c r="T13" s="17"/>
      <c r="U13" s="17"/>
      <c r="V13" s="17"/>
      <c r="W13" s="17"/>
      <c r="X13" s="35"/>
    </row>
    <row r="14" spans="1:24" x14ac:dyDescent="0.2">
      <c r="A14" s="35"/>
      <c r="B14" s="35"/>
      <c r="C14" s="91" t="s">
        <v>136</v>
      </c>
      <c r="D14" s="91" t="s">
        <v>136</v>
      </c>
      <c r="E14" s="35"/>
      <c r="F14" s="35"/>
      <c r="G14" s="35"/>
      <c r="H14" s="35"/>
      <c r="I14" s="35"/>
      <c r="J14" s="18" t="s">
        <v>29</v>
      </c>
      <c r="K14" s="18" t="s">
        <v>29</v>
      </c>
      <c r="L14" s="35"/>
      <c r="Q14" s="24" t="s">
        <v>0</v>
      </c>
      <c r="R14" s="24"/>
      <c r="S14" s="24"/>
      <c r="T14" s="35"/>
      <c r="U14" s="24" t="s">
        <v>28</v>
      </c>
      <c r="V14" s="24"/>
      <c r="W14" s="24"/>
      <c r="X14" s="35"/>
    </row>
    <row r="15" spans="1:24" x14ac:dyDescent="0.2">
      <c r="A15" s="35"/>
      <c r="B15" s="35"/>
      <c r="C15" s="18" t="s">
        <v>24</v>
      </c>
      <c r="D15" s="18" t="s">
        <v>30</v>
      </c>
      <c r="E15" s="18"/>
      <c r="F15" s="18"/>
      <c r="G15" s="95" t="s">
        <v>31</v>
      </c>
      <c r="H15" s="95"/>
      <c r="I15" s="96"/>
      <c r="J15" s="18" t="s">
        <v>24</v>
      </c>
      <c r="K15" s="18" t="s">
        <v>30</v>
      </c>
      <c r="L15" s="18"/>
      <c r="Q15" s="19" t="s">
        <v>40</v>
      </c>
      <c r="R15" s="18"/>
      <c r="S15" s="19"/>
      <c r="T15" s="35"/>
      <c r="U15" s="19" t="s">
        <v>40</v>
      </c>
      <c r="V15" s="18"/>
      <c r="W15" s="19"/>
      <c r="X15" s="35"/>
    </row>
    <row r="16" spans="1:24" x14ac:dyDescent="0.2">
      <c r="A16" s="18"/>
      <c r="B16" s="18"/>
      <c r="C16" s="18" t="s">
        <v>32</v>
      </c>
      <c r="D16" s="18" t="s">
        <v>32</v>
      </c>
      <c r="E16" s="18" t="s">
        <v>33</v>
      </c>
      <c r="F16" s="18" t="s">
        <v>33</v>
      </c>
      <c r="G16" s="18" t="s">
        <v>37</v>
      </c>
      <c r="H16" s="18" t="s">
        <v>34</v>
      </c>
      <c r="I16" s="18" t="s">
        <v>38</v>
      </c>
      <c r="J16" s="18" t="s">
        <v>32</v>
      </c>
      <c r="K16" s="18" t="s">
        <v>32</v>
      </c>
      <c r="L16" s="18" t="s">
        <v>33</v>
      </c>
      <c r="Q16" s="19" t="s">
        <v>41</v>
      </c>
      <c r="R16" s="18" t="s">
        <v>137</v>
      </c>
      <c r="S16" s="19" t="s">
        <v>29</v>
      </c>
      <c r="T16" s="35"/>
      <c r="U16" s="19" t="s">
        <v>41</v>
      </c>
      <c r="V16" s="18" t="s">
        <v>137</v>
      </c>
      <c r="W16" s="19" t="s">
        <v>29</v>
      </c>
      <c r="X16" s="35"/>
    </row>
    <row r="17" spans="1:24" x14ac:dyDescent="0.2">
      <c r="A17" s="18" t="s">
        <v>39</v>
      </c>
      <c r="B17" s="18"/>
      <c r="C17" s="18"/>
      <c r="D17" s="18"/>
      <c r="E17" s="18" t="s">
        <v>35</v>
      </c>
      <c r="F17" s="19" t="s">
        <v>36</v>
      </c>
      <c r="G17" s="20"/>
      <c r="H17" s="20"/>
      <c r="I17" s="21"/>
      <c r="J17" s="18" t="s">
        <v>35</v>
      </c>
      <c r="K17" s="18" t="s">
        <v>35</v>
      </c>
      <c r="L17" s="19" t="s">
        <v>36</v>
      </c>
      <c r="Q17" s="40" t="s">
        <v>44</v>
      </c>
      <c r="R17" s="41" t="s">
        <v>44</v>
      </c>
      <c r="S17" s="40" t="s">
        <v>32</v>
      </c>
      <c r="T17" s="35"/>
      <c r="U17" s="40" t="s">
        <v>44</v>
      </c>
      <c r="V17" s="41" t="s">
        <v>44</v>
      </c>
      <c r="W17" s="40" t="s">
        <v>32</v>
      </c>
      <c r="X17" s="35"/>
    </row>
    <row r="18" spans="1:24" x14ac:dyDescent="0.2">
      <c r="A18" s="18"/>
      <c r="B18" s="18"/>
      <c r="C18" s="18"/>
      <c r="D18" s="18"/>
      <c r="E18" s="18" t="str">
        <f>("[ "&amp;D13&amp;" - "&amp;C13&amp;" ]")</f>
        <v>[ B - A ]</v>
      </c>
      <c r="F18" s="18" t="str">
        <f>("[ "&amp;E13&amp;" / "&amp;C13&amp;" ]")</f>
        <v>[ C / A ]</v>
      </c>
      <c r="G18" s="20"/>
      <c r="H18" s="20"/>
      <c r="I18" s="20"/>
      <c r="J18" s="19" t="str">
        <f>("["&amp;C13&amp;"+"&amp;$G$13&amp;"+"&amp;$H$13&amp;"+"&amp;$I$13&amp;"]")</f>
        <v>[A+E+F+G]</v>
      </c>
      <c r="K18" s="18" t="str">
        <f>("["&amp;D13&amp;"+"&amp;$G$13&amp;"+"&amp;$H$13&amp;"+"&amp;$I$13&amp;"]")</f>
        <v>[B+E+F+G]</v>
      </c>
      <c r="L18" s="18" t="str">
        <f>("[("&amp;K13&amp;" - "&amp;J13&amp;") / "&amp;J13&amp;"]")</f>
        <v>[(I - H) / H]</v>
      </c>
      <c r="Q18" s="19"/>
      <c r="R18" s="25">
        <f>+INPUT!$E$9</f>
        <v>2.1452</v>
      </c>
      <c r="S18" s="19"/>
      <c r="T18" s="35"/>
      <c r="U18" s="19"/>
      <c r="V18" s="25">
        <f>+INPUT!$E$27</f>
        <v>2.4304999999999999</v>
      </c>
      <c r="W18" s="19"/>
      <c r="X18" s="35"/>
    </row>
    <row r="19" spans="1:24" x14ac:dyDescent="0.2">
      <c r="A19" s="18"/>
      <c r="B19" s="18"/>
      <c r="C19" s="18"/>
      <c r="D19" s="18"/>
      <c r="F19" s="18"/>
      <c r="G19" s="18"/>
      <c r="H19" s="18"/>
      <c r="I19" s="18"/>
      <c r="J19" s="19"/>
      <c r="K19" s="19"/>
      <c r="L19" s="19"/>
      <c r="Q19" s="19"/>
      <c r="R19" s="19" t="s">
        <v>138</v>
      </c>
      <c r="S19" s="19"/>
      <c r="T19" s="35"/>
      <c r="U19" s="19"/>
      <c r="V19" s="19" t="s">
        <v>138</v>
      </c>
      <c r="W19" s="19"/>
      <c r="X19" s="35"/>
    </row>
    <row r="20" spans="1:24" x14ac:dyDescent="0.2">
      <c r="A20" s="62">
        <v>25</v>
      </c>
      <c r="C20" s="36">
        <f>+S20</f>
        <v>88.63</v>
      </c>
      <c r="D20" s="36">
        <f>+W20</f>
        <v>100.75999999999999</v>
      </c>
      <c r="E20" s="36">
        <f>+D20-C20</f>
        <v>12.129999999999995</v>
      </c>
      <c r="F20" s="37">
        <f>ROUND(+E20/C20,4)</f>
        <v>0.13689999999999999</v>
      </c>
      <c r="G20" s="36">
        <f>ROUND($A20*$R$10,2)</f>
        <v>113.23</v>
      </c>
      <c r="H20" s="36">
        <f>ROUND($A20*$R$11,2)</f>
        <v>0</v>
      </c>
      <c r="I20" s="36">
        <f>+$R$12</f>
        <v>124.48524015401578</v>
      </c>
      <c r="J20" s="36">
        <f>+C20+G20+H20+I20</f>
        <v>326.34524015401581</v>
      </c>
      <c r="K20" s="36">
        <f>+D20+G20+H20+I20</f>
        <v>338.47524015401581</v>
      </c>
      <c r="L20" s="37">
        <f>ROUND((K20-J20)/J20,4)</f>
        <v>3.7199999999999997E-2</v>
      </c>
      <c r="Q20" s="38">
        <f>+INPUT!$E$6</f>
        <v>35</v>
      </c>
      <c r="R20" s="38">
        <f>ROUND($R$18*$A20,2)</f>
        <v>53.63</v>
      </c>
      <c r="S20" s="38">
        <f>SUM(Q20:R20)</f>
        <v>88.63</v>
      </c>
      <c r="U20" s="38">
        <f>+INPUT!$E$24</f>
        <v>40</v>
      </c>
      <c r="V20" s="38">
        <f>ROUND($V$18*$A20,2)</f>
        <v>60.76</v>
      </c>
      <c r="W20" s="38">
        <f>SUM(U20:V20)</f>
        <v>100.75999999999999</v>
      </c>
    </row>
    <row r="21" spans="1:24" x14ac:dyDescent="0.2">
      <c r="A21" s="62"/>
      <c r="C21" s="35"/>
      <c r="D21" s="35"/>
      <c r="J21" s="35"/>
      <c r="K21" s="35"/>
      <c r="L21" s="35"/>
    </row>
    <row r="22" spans="1:24" x14ac:dyDescent="0.2">
      <c r="A22" s="62">
        <v>50</v>
      </c>
      <c r="C22" s="36">
        <f>+S22</f>
        <v>142.26</v>
      </c>
      <c r="D22" s="36">
        <f>+W22</f>
        <v>161.53</v>
      </c>
      <c r="E22" s="36">
        <f>+D22-C22</f>
        <v>19.27000000000001</v>
      </c>
      <c r="F22" s="37">
        <f>ROUND(+E22/C22,4)</f>
        <v>0.13550000000000001</v>
      </c>
      <c r="G22" s="36">
        <f>ROUND($A22*$R$10,2)</f>
        <v>226.46</v>
      </c>
      <c r="H22" s="36">
        <f>ROUND($A22*$R$11,2)</f>
        <v>0</v>
      </c>
      <c r="I22" s="36">
        <f>+$R$12</f>
        <v>124.48524015401578</v>
      </c>
      <c r="J22" s="36">
        <f>+C22+G22+H22+I22</f>
        <v>493.20524015401583</v>
      </c>
      <c r="K22" s="36">
        <f>+D22+G22+H22+I22</f>
        <v>512.47524015401575</v>
      </c>
      <c r="L22" s="37">
        <f>ROUND((K22-J22)/J22,4)</f>
        <v>3.9100000000000003E-2</v>
      </c>
      <c r="Q22" s="38">
        <f>+$Q$20</f>
        <v>35</v>
      </c>
      <c r="R22" s="38">
        <f>ROUND($R$18*$A22,2)</f>
        <v>107.26</v>
      </c>
      <c r="S22" s="38">
        <f>SUM(Q22:R22)</f>
        <v>142.26</v>
      </c>
      <c r="U22" s="38">
        <f>+$U$20</f>
        <v>40</v>
      </c>
      <c r="V22" s="38">
        <f>ROUND($V$18*$A22,2)</f>
        <v>121.53</v>
      </c>
      <c r="W22" s="38">
        <f>SUM(U22:V22)</f>
        <v>161.53</v>
      </c>
    </row>
    <row r="23" spans="1:24" x14ac:dyDescent="0.2">
      <c r="A23" s="62"/>
      <c r="C23" s="36"/>
      <c r="D23" s="36"/>
      <c r="J23" s="36"/>
      <c r="K23" s="36"/>
      <c r="L23" s="37"/>
    </row>
    <row r="24" spans="1:24" x14ac:dyDescent="0.2">
      <c r="A24" s="62">
        <v>100</v>
      </c>
      <c r="C24" s="36">
        <f>+S24</f>
        <v>249.52</v>
      </c>
      <c r="D24" s="36">
        <f>+W24</f>
        <v>283.05</v>
      </c>
      <c r="E24" s="36">
        <f>+D24-C24</f>
        <v>33.53</v>
      </c>
      <c r="F24" s="37">
        <f>ROUND(+E24/C24,4)</f>
        <v>0.13439999999999999</v>
      </c>
      <c r="G24" s="36">
        <f>ROUND($A24*$R$10,2)</f>
        <v>452.92</v>
      </c>
      <c r="H24" s="36">
        <f>ROUND($A24*$R$11,2)</f>
        <v>0</v>
      </c>
      <c r="I24" s="36">
        <f>+$R$12</f>
        <v>124.48524015401578</v>
      </c>
      <c r="J24" s="36">
        <f>+C24+G24+H24+I24</f>
        <v>826.9252401540158</v>
      </c>
      <c r="K24" s="36">
        <f>+D24+G24+H24+I24</f>
        <v>860.45524015401577</v>
      </c>
      <c r="L24" s="37">
        <f>ROUND((K24-J24)/J24,4)</f>
        <v>4.0500000000000001E-2</v>
      </c>
      <c r="Q24" s="38">
        <f>+$Q$20</f>
        <v>35</v>
      </c>
      <c r="R24" s="38">
        <f>ROUND($R$18*$A24,2)</f>
        <v>214.52</v>
      </c>
      <c r="S24" s="38">
        <f>SUM(Q24:R24)</f>
        <v>249.52</v>
      </c>
      <c r="U24" s="38">
        <f>+$U$20</f>
        <v>40</v>
      </c>
      <c r="V24" s="38">
        <f>ROUND($V$18*$A24,2)</f>
        <v>243.05</v>
      </c>
      <c r="W24" s="38">
        <f>SUM(U24:V24)</f>
        <v>283.05</v>
      </c>
    </row>
    <row r="25" spans="1:24" x14ac:dyDescent="0.2">
      <c r="A25" s="62"/>
      <c r="C25" s="35"/>
      <c r="D25" s="35"/>
      <c r="J25" s="35"/>
      <c r="K25" s="35"/>
      <c r="L25" s="35"/>
    </row>
    <row r="26" spans="1:24" x14ac:dyDescent="0.2">
      <c r="A26" s="62">
        <v>500</v>
      </c>
      <c r="C26" s="39">
        <f>+S26</f>
        <v>1107.5999999999999</v>
      </c>
      <c r="D26" s="39">
        <f>+W26</f>
        <v>1255.25</v>
      </c>
      <c r="E26" s="36">
        <f>+D26-C26</f>
        <v>147.65000000000009</v>
      </c>
      <c r="F26" s="37">
        <f>ROUND(+E26/C26,4)</f>
        <v>0.1333</v>
      </c>
      <c r="G26" s="36">
        <f>ROUND($A26*$R$10,2)</f>
        <v>2264.59</v>
      </c>
      <c r="H26" s="36">
        <f>ROUND($A26*$R$11,2)</f>
        <v>0</v>
      </c>
      <c r="I26" s="36">
        <f>+$R$12</f>
        <v>124.48524015401578</v>
      </c>
      <c r="J26" s="39">
        <f>+C26+G26+H26+I26</f>
        <v>3496.6752401540157</v>
      </c>
      <c r="K26" s="39">
        <f>+D26+G26+H26+I26</f>
        <v>3644.3252401540158</v>
      </c>
      <c r="L26" s="37">
        <f>ROUND((K26-J26)/J26,4)</f>
        <v>4.2200000000000001E-2</v>
      </c>
      <c r="Q26" s="38">
        <f>+$Q$20</f>
        <v>35</v>
      </c>
      <c r="R26" s="38">
        <f>ROUND($R$18*$A26,2)</f>
        <v>1072.5999999999999</v>
      </c>
      <c r="S26" s="38">
        <f>SUM(Q26:R26)</f>
        <v>1107.5999999999999</v>
      </c>
      <c r="U26" s="38">
        <f>+$U$20</f>
        <v>40</v>
      </c>
      <c r="V26" s="38">
        <f>ROUND($V$18*$A26,2)</f>
        <v>1215.25</v>
      </c>
      <c r="W26" s="38">
        <f>SUM(U26:V26)</f>
        <v>1255.25</v>
      </c>
    </row>
    <row r="27" spans="1:24" x14ac:dyDescent="0.2">
      <c r="A27" s="62"/>
      <c r="C27" s="35"/>
      <c r="D27" s="35"/>
      <c r="J27" s="35"/>
      <c r="K27" s="35"/>
      <c r="L27" s="35"/>
    </row>
    <row r="28" spans="1:24" x14ac:dyDescent="0.2">
      <c r="A28" s="62">
        <v>1000</v>
      </c>
      <c r="C28" s="36">
        <f>+S28</f>
        <v>2180.1999999999998</v>
      </c>
      <c r="D28" s="36">
        <f>+W28</f>
        <v>2470.5</v>
      </c>
      <c r="E28" s="36">
        <f>+D28-C28</f>
        <v>290.30000000000018</v>
      </c>
      <c r="F28" s="37">
        <f>ROUND(+E28/C28,4)</f>
        <v>0.13320000000000001</v>
      </c>
      <c r="G28" s="36">
        <f>ROUND($A28*$R$10,2)</f>
        <v>4529.1899999999996</v>
      </c>
      <c r="H28" s="36">
        <f>ROUND($A28*$R$11,2)</f>
        <v>0</v>
      </c>
      <c r="I28" s="36">
        <f>+$R$12</f>
        <v>124.48524015401578</v>
      </c>
      <c r="J28" s="36">
        <f>+C28+G28+H28+I28</f>
        <v>6833.875240154015</v>
      </c>
      <c r="K28" s="36">
        <f>+D28+G28+H28+I28</f>
        <v>7124.1752401540152</v>
      </c>
      <c r="L28" s="37">
        <f>ROUND((K28-J28)/J28,4)</f>
        <v>4.2500000000000003E-2</v>
      </c>
      <c r="Q28" s="38">
        <f>+$Q$20</f>
        <v>35</v>
      </c>
      <c r="R28" s="38">
        <f>ROUND($R$18*$A28,2)</f>
        <v>2145.1999999999998</v>
      </c>
      <c r="S28" s="38">
        <f>SUM(Q28:R28)</f>
        <v>2180.1999999999998</v>
      </c>
      <c r="U28" s="38">
        <f>+$U$20</f>
        <v>40</v>
      </c>
      <c r="V28" s="38">
        <f>ROUND($V$18*$A28,2)</f>
        <v>2430.5</v>
      </c>
      <c r="W28" s="38">
        <f>SUM(U28:V28)</f>
        <v>2470.5</v>
      </c>
    </row>
    <row r="29" spans="1:24" x14ac:dyDescent="0.2">
      <c r="A29" s="62"/>
      <c r="C29" s="35"/>
      <c r="D29" s="35"/>
      <c r="J29" s="35"/>
      <c r="K29" s="35"/>
      <c r="L29" s="35"/>
    </row>
    <row r="30" spans="1:24" x14ac:dyDescent="0.2">
      <c r="A30" s="62">
        <v>2500</v>
      </c>
      <c r="C30" s="36">
        <f>+S30</f>
        <v>5398</v>
      </c>
      <c r="D30" s="36">
        <f>+W30</f>
        <v>6116.25</v>
      </c>
      <c r="E30" s="36">
        <f>+D30-C30</f>
        <v>718.25</v>
      </c>
      <c r="F30" s="37">
        <f>ROUND(+E30/C30,4)</f>
        <v>0.1331</v>
      </c>
      <c r="G30" s="36">
        <f>ROUND($A30*$R$10,2)</f>
        <v>11322.97</v>
      </c>
      <c r="H30" s="36">
        <f>ROUND($A30*$R$11,2)</f>
        <v>0</v>
      </c>
      <c r="I30" s="36">
        <f>+$R$12</f>
        <v>124.48524015401578</v>
      </c>
      <c r="J30" s="36">
        <f>+C30+G30+H30+I30</f>
        <v>16845.455240154017</v>
      </c>
      <c r="K30" s="36">
        <f>+D30+G30+H30+I30</f>
        <v>17563.705240154017</v>
      </c>
      <c r="L30" s="37">
        <f>ROUND((K30-J30)/J30,4)</f>
        <v>4.2599999999999999E-2</v>
      </c>
      <c r="Q30" s="38">
        <f>+$Q$20</f>
        <v>35</v>
      </c>
      <c r="R30" s="38">
        <f>ROUND($R$18*$A30,2)</f>
        <v>5363</v>
      </c>
      <c r="S30" s="38">
        <f>SUM(Q30:R30)</f>
        <v>5398</v>
      </c>
      <c r="U30" s="38">
        <f>+$U$20</f>
        <v>40</v>
      </c>
      <c r="V30" s="38">
        <f>ROUND($V$18*$A30,2)</f>
        <v>6076.25</v>
      </c>
      <c r="W30" s="38">
        <f>SUM(U30:V30)</f>
        <v>6116.25</v>
      </c>
    </row>
    <row r="31" spans="1:24" x14ac:dyDescent="0.2">
      <c r="A31" s="62"/>
      <c r="C31" s="35"/>
      <c r="D31" s="35"/>
      <c r="J31" s="35"/>
      <c r="K31" s="35"/>
      <c r="L31" s="35"/>
    </row>
    <row r="32" spans="1:24" x14ac:dyDescent="0.2">
      <c r="A32" s="62">
        <v>5000</v>
      </c>
      <c r="C32" s="36">
        <f>+S32</f>
        <v>10761</v>
      </c>
      <c r="D32" s="36">
        <f>+W32</f>
        <v>12192.5</v>
      </c>
      <c r="E32" s="36">
        <f>+D32-C32</f>
        <v>1431.5</v>
      </c>
      <c r="F32" s="37">
        <f>ROUND(+E32/C32,4)</f>
        <v>0.13300000000000001</v>
      </c>
      <c r="G32" s="36">
        <f>ROUND($A32*$R$10,2)</f>
        <v>22645.94</v>
      </c>
      <c r="H32" s="36">
        <f>ROUND($A32*$R$11,2)</f>
        <v>0</v>
      </c>
      <c r="I32" s="36">
        <f>+$R$12</f>
        <v>124.48524015401578</v>
      </c>
      <c r="J32" s="36">
        <f>+C32+G32+H32+I32</f>
        <v>33531.425240154022</v>
      </c>
      <c r="K32" s="36">
        <f>+D32+G32+H32+I32</f>
        <v>34962.925240154022</v>
      </c>
      <c r="L32" s="37">
        <f>ROUND((K32-J32)/J32,4)</f>
        <v>4.2700000000000002E-2</v>
      </c>
      <c r="Q32" s="38">
        <f>+$Q$20</f>
        <v>35</v>
      </c>
      <c r="R32" s="38">
        <f>ROUND($R$18*$A32,2)</f>
        <v>10726</v>
      </c>
      <c r="S32" s="38">
        <f>SUM(Q32:R32)</f>
        <v>10761</v>
      </c>
      <c r="U32" s="38">
        <f>+$U$20</f>
        <v>40</v>
      </c>
      <c r="V32" s="38">
        <f>ROUND($V$18*$A32,2)</f>
        <v>12152.5</v>
      </c>
      <c r="W32" s="38">
        <f>SUM(U32:V32)</f>
        <v>12192.5</v>
      </c>
    </row>
    <row r="33" spans="1:23" x14ac:dyDescent="0.2">
      <c r="A33" s="62"/>
      <c r="C33" s="35"/>
      <c r="D33" s="35"/>
      <c r="J33" s="35"/>
      <c r="K33" s="35"/>
      <c r="L33" s="35"/>
    </row>
    <row r="34" spans="1:23" x14ac:dyDescent="0.2">
      <c r="A34" s="62">
        <v>7500</v>
      </c>
      <c r="C34" s="36">
        <f>+S34</f>
        <v>16124</v>
      </c>
      <c r="D34" s="36">
        <f>+W34</f>
        <v>18268.75</v>
      </c>
      <c r="E34" s="36">
        <f>+D34-C34</f>
        <v>2144.75</v>
      </c>
      <c r="F34" s="37">
        <f>ROUND(+E34/C34,4)</f>
        <v>0.13300000000000001</v>
      </c>
      <c r="G34" s="36">
        <f>ROUND($A34*$R$10,2)</f>
        <v>33968.910000000003</v>
      </c>
      <c r="H34" s="36">
        <f>ROUND($A34*$R$11,2)</f>
        <v>0</v>
      </c>
      <c r="I34" s="36">
        <f>+$R$12</f>
        <v>124.48524015401578</v>
      </c>
      <c r="J34" s="36">
        <f>+C34+G34+H34+I34</f>
        <v>50217.395240154023</v>
      </c>
      <c r="K34" s="36">
        <f>+D34+G34+H34+I34</f>
        <v>52362.145240154023</v>
      </c>
      <c r="L34" s="37">
        <f>ROUND((K34-J34)/J34,4)</f>
        <v>4.2700000000000002E-2</v>
      </c>
      <c r="Q34" s="38">
        <f>+$Q$20</f>
        <v>35</v>
      </c>
      <c r="R34" s="38">
        <f>ROUND($R$18*$A34,2)</f>
        <v>16089</v>
      </c>
      <c r="S34" s="38">
        <f>SUM(Q34:R34)</f>
        <v>16124</v>
      </c>
      <c r="U34" s="38">
        <f>+$U$20</f>
        <v>40</v>
      </c>
      <c r="V34" s="38">
        <f>ROUND($V$18*$A34,2)</f>
        <v>18228.75</v>
      </c>
      <c r="W34" s="38">
        <f>SUM(U34:V34)</f>
        <v>18268.75</v>
      </c>
    </row>
    <row r="35" spans="1:23" x14ac:dyDescent="0.2">
      <c r="J35" s="35"/>
      <c r="K35" s="35"/>
      <c r="L35" s="35"/>
    </row>
    <row r="36" spans="1:23" x14ac:dyDescent="0.2">
      <c r="A36" s="34" t="s">
        <v>125</v>
      </c>
      <c r="C36" s="61"/>
      <c r="D36" s="62"/>
      <c r="J36" s="36"/>
      <c r="K36" s="36"/>
      <c r="L36" s="37"/>
    </row>
    <row r="37" spans="1:23" x14ac:dyDescent="0.2">
      <c r="A37" s="65" t="str">
        <f>("Average usage = "&amp;INPUT!E17&amp;" Mcf per month")</f>
        <v>Average usage = 442.4 Mcf per month</v>
      </c>
    </row>
    <row r="38" spans="1:23" x14ac:dyDescent="0.2">
      <c r="A38" s="67" t="s">
        <v>127</v>
      </c>
    </row>
    <row r="39" spans="1:23" x14ac:dyDescent="0.2">
      <c r="A39" s="84" t="str">
        <f>+'Rate Case Constants'!$C$26</f>
        <v>Calculations may vary from other schedules due to rounding</v>
      </c>
    </row>
  </sheetData>
  <mergeCells count="5">
    <mergeCell ref="G15:I15"/>
    <mergeCell ref="A1:L1"/>
    <mergeCell ref="A2:L2"/>
    <mergeCell ref="A3:L3"/>
    <mergeCell ref="A4:L4"/>
  </mergeCells>
  <printOptions horizontalCentered="1"/>
  <pageMargins left="0.7" right="0.7" top="0.75" bottom="0.75" header="0.3" footer="0.3"/>
  <pageSetup scale="9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view="pageBreakPreview" topLeftCell="A3" zoomScale="90" zoomScaleNormal="100" zoomScaleSheetLayoutView="90" workbookViewId="0">
      <selection activeCell="A38" sqref="A38"/>
    </sheetView>
  </sheetViews>
  <sheetFormatPr defaultRowHeight="12.75" x14ac:dyDescent="0.2"/>
  <cols>
    <col min="1" max="1" width="9.28515625" style="34" bestFit="1" customWidth="1"/>
    <col min="2" max="2" width="2" style="34" customWidth="1"/>
    <col min="3" max="6" width="12" style="34" customWidth="1"/>
    <col min="7" max="7" width="12.140625" style="34" bestFit="1" customWidth="1"/>
    <col min="8" max="12" width="12" style="34" customWidth="1"/>
    <col min="13" max="16" width="3.140625" style="34" customWidth="1"/>
    <col min="17" max="17" width="9.140625" style="34"/>
    <col min="18" max="18" width="13.28515625" style="34" bestFit="1" customWidth="1"/>
    <col min="19" max="19" width="11.5703125" style="34" bestFit="1" customWidth="1"/>
    <col min="20" max="21" width="9.140625" style="34"/>
    <col min="22" max="23" width="11.5703125" style="34" bestFit="1" customWidth="1"/>
    <col min="24" max="16384" width="9.140625" style="34"/>
  </cols>
  <sheetData>
    <row r="1" spans="1:24" x14ac:dyDescent="0.2">
      <c r="A1" s="97" t="str">
        <f>+'Rate Case Constants'!C9</f>
        <v>LOUISVILLE GAS AND ELECTRIC COMPANY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24" x14ac:dyDescent="0.2">
      <c r="A2" s="97" t="str">
        <f>+'Rate Case Constants'!C10</f>
        <v>CASE NO. 2014-00372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1:24" x14ac:dyDescent="0.2">
      <c r="A3" s="98" t="str">
        <f>+'Rate Case Constants'!C24</f>
        <v>Typical Gas Bill Comparison under Present &amp; Proposed Rates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24" x14ac:dyDescent="0.2">
      <c r="A4" s="97" t="str">
        <f>+'Rate Case Constants'!C21</f>
        <v>FORECAST PERIOD FOR THE 12 MONTHS ENDED JUNE 30, 2016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</row>
    <row r="6" spans="1:24" x14ac:dyDescent="0.2">
      <c r="A6" s="68"/>
    </row>
    <row r="7" spans="1:24" x14ac:dyDescent="0.2">
      <c r="A7" s="34" t="str">
        <f>+'Rate Case Constants'!C33</f>
        <v>DATA: ____BASE PERIOD__X___FORECASTED PERIOD</v>
      </c>
      <c r="L7" s="59" t="str">
        <f>+'Rate Case Constants'!C25</f>
        <v>SCHEDULE N (Gas)</v>
      </c>
    </row>
    <row r="8" spans="1:24" x14ac:dyDescent="0.2">
      <c r="A8" s="34" t="str">
        <f>+'Rate Case Constants'!C29</f>
        <v>TYPE OF FILING: __X__ ORIGINAL  _____ UPDATED  _____ REVISED</v>
      </c>
      <c r="L8" s="60" t="str">
        <f>+'Rate Case Constants'!I12</f>
        <v>PAGE 5 OF 9</v>
      </c>
    </row>
    <row r="9" spans="1:24" x14ac:dyDescent="0.2">
      <c r="A9" s="34" t="str">
        <f>+'Rate Case Constants'!C34</f>
        <v>WORKPAPER REFERENCE NO(S):________</v>
      </c>
      <c r="L9" s="59" t="str">
        <f>+'Rate Case Constants'!C37</f>
        <v>WITNESS:   R. M. CONROY</v>
      </c>
    </row>
    <row r="10" spans="1:24" x14ac:dyDescent="0.2">
      <c r="L10" s="59"/>
      <c r="Q10" s="26" t="s">
        <v>37</v>
      </c>
      <c r="R10" s="22">
        <f>+INPUT!H41</f>
        <v>5.2276107180276279</v>
      </c>
      <c r="S10" s="35"/>
      <c r="T10" s="35"/>
      <c r="U10" s="35"/>
      <c r="V10" s="35"/>
      <c r="W10" s="35"/>
      <c r="X10" s="35"/>
    </row>
    <row r="11" spans="1:24" x14ac:dyDescent="0.2">
      <c r="A11" s="54" t="s">
        <v>63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6"/>
      <c r="N11" s="56"/>
      <c r="O11" s="56"/>
      <c r="P11" s="56"/>
      <c r="Q11" s="57" t="s">
        <v>34</v>
      </c>
      <c r="R11" s="58">
        <f>+INPUT!I41</f>
        <v>0.10206405212949715</v>
      </c>
      <c r="S11" s="17"/>
      <c r="T11" s="17"/>
      <c r="U11" s="23"/>
      <c r="V11" s="17"/>
      <c r="W11" s="17"/>
      <c r="X11" s="35"/>
    </row>
    <row r="12" spans="1:24" x14ac:dyDescent="0.2">
      <c r="A12" s="17" t="s">
        <v>62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Q12" s="26" t="s">
        <v>38</v>
      </c>
      <c r="R12" s="71">
        <f>+INPUT!$L$42</f>
        <v>124.48524015401578</v>
      </c>
      <c r="S12" s="17"/>
      <c r="T12" s="17"/>
      <c r="U12" s="17"/>
      <c r="V12" s="17"/>
      <c r="W12" s="17"/>
      <c r="X12" s="35"/>
    </row>
    <row r="13" spans="1:24" x14ac:dyDescent="0.2">
      <c r="A13" s="17"/>
      <c r="B13" s="17"/>
      <c r="C13" s="18" t="s">
        <v>107</v>
      </c>
      <c r="D13" s="19" t="s">
        <v>115</v>
      </c>
      <c r="E13" s="19" t="s">
        <v>108</v>
      </c>
      <c r="F13" s="18" t="s">
        <v>109</v>
      </c>
      <c r="G13" s="18" t="s">
        <v>110</v>
      </c>
      <c r="H13" s="18" t="s">
        <v>111</v>
      </c>
      <c r="I13" s="19" t="s">
        <v>116</v>
      </c>
      <c r="J13" s="18" t="s">
        <v>112</v>
      </c>
      <c r="K13" s="18" t="s">
        <v>113</v>
      </c>
      <c r="L13" s="18" t="s">
        <v>114</v>
      </c>
      <c r="Q13" s="17"/>
      <c r="R13" s="17"/>
      <c r="S13" s="17"/>
      <c r="T13" s="17"/>
      <c r="U13" s="17"/>
      <c r="V13" s="17"/>
      <c r="W13" s="17"/>
      <c r="X13" s="35"/>
    </row>
    <row r="14" spans="1:24" x14ac:dyDescent="0.2">
      <c r="A14" s="35"/>
      <c r="B14" s="35"/>
      <c r="C14" s="91" t="s">
        <v>136</v>
      </c>
      <c r="D14" s="91" t="s">
        <v>136</v>
      </c>
      <c r="E14" s="35"/>
      <c r="F14" s="35"/>
      <c r="G14" s="35"/>
      <c r="H14" s="35"/>
      <c r="I14" s="35"/>
      <c r="J14" s="18" t="s">
        <v>29</v>
      </c>
      <c r="K14" s="18" t="s">
        <v>29</v>
      </c>
      <c r="L14" s="35"/>
      <c r="Q14" s="24" t="s">
        <v>0</v>
      </c>
      <c r="R14" s="24"/>
      <c r="S14" s="24"/>
      <c r="T14" s="35"/>
      <c r="U14" s="24" t="s">
        <v>28</v>
      </c>
      <c r="V14" s="24"/>
      <c r="W14" s="24"/>
      <c r="X14" s="35"/>
    </row>
    <row r="15" spans="1:24" x14ac:dyDescent="0.2">
      <c r="A15" s="35"/>
      <c r="B15" s="35"/>
      <c r="C15" s="18" t="s">
        <v>24</v>
      </c>
      <c r="D15" s="18" t="s">
        <v>30</v>
      </c>
      <c r="E15" s="18"/>
      <c r="F15" s="18"/>
      <c r="G15" s="95" t="s">
        <v>31</v>
      </c>
      <c r="H15" s="95"/>
      <c r="I15" s="96"/>
      <c r="J15" s="18" t="s">
        <v>24</v>
      </c>
      <c r="K15" s="18" t="s">
        <v>30</v>
      </c>
      <c r="L15" s="18"/>
      <c r="Q15" s="19" t="s">
        <v>40</v>
      </c>
      <c r="R15" s="18"/>
      <c r="S15" s="19"/>
      <c r="T15" s="35"/>
      <c r="U15" s="19" t="s">
        <v>40</v>
      </c>
      <c r="V15" s="18"/>
      <c r="W15" s="19"/>
      <c r="X15" s="35"/>
    </row>
    <row r="16" spans="1:24" x14ac:dyDescent="0.2">
      <c r="A16" s="18"/>
      <c r="B16" s="18"/>
      <c r="C16" s="18" t="s">
        <v>32</v>
      </c>
      <c r="D16" s="18" t="s">
        <v>32</v>
      </c>
      <c r="E16" s="18" t="s">
        <v>33</v>
      </c>
      <c r="F16" s="18" t="s">
        <v>33</v>
      </c>
      <c r="G16" s="18" t="s">
        <v>37</v>
      </c>
      <c r="H16" s="18" t="s">
        <v>34</v>
      </c>
      <c r="I16" s="18" t="s">
        <v>38</v>
      </c>
      <c r="J16" s="18" t="s">
        <v>32</v>
      </c>
      <c r="K16" s="18" t="s">
        <v>32</v>
      </c>
      <c r="L16" s="18" t="s">
        <v>33</v>
      </c>
      <c r="Q16" s="19" t="s">
        <v>41</v>
      </c>
      <c r="R16" s="18" t="s">
        <v>137</v>
      </c>
      <c r="S16" s="19" t="s">
        <v>29</v>
      </c>
      <c r="T16" s="35"/>
      <c r="U16" s="19" t="s">
        <v>41</v>
      </c>
      <c r="V16" s="18" t="s">
        <v>137</v>
      </c>
      <c r="W16" s="19" t="s">
        <v>29</v>
      </c>
      <c r="X16" s="35"/>
    </row>
    <row r="17" spans="1:24" x14ac:dyDescent="0.2">
      <c r="A17" s="18" t="s">
        <v>39</v>
      </c>
      <c r="B17" s="18"/>
      <c r="C17" s="18"/>
      <c r="D17" s="18"/>
      <c r="E17" s="18" t="s">
        <v>35</v>
      </c>
      <c r="F17" s="19" t="s">
        <v>36</v>
      </c>
      <c r="G17" s="20"/>
      <c r="H17" s="20"/>
      <c r="I17" s="21"/>
      <c r="J17" s="18" t="s">
        <v>35</v>
      </c>
      <c r="K17" s="18" t="s">
        <v>35</v>
      </c>
      <c r="L17" s="19" t="s">
        <v>36</v>
      </c>
      <c r="Q17" s="40" t="s">
        <v>44</v>
      </c>
      <c r="R17" s="41" t="s">
        <v>44</v>
      </c>
      <c r="S17" s="40" t="s">
        <v>32</v>
      </c>
      <c r="T17" s="35"/>
      <c r="U17" s="40" t="s">
        <v>44</v>
      </c>
      <c r="V17" s="41" t="s">
        <v>44</v>
      </c>
      <c r="W17" s="40" t="s">
        <v>32</v>
      </c>
      <c r="X17" s="35"/>
    </row>
    <row r="18" spans="1:24" x14ac:dyDescent="0.2">
      <c r="A18" s="18"/>
      <c r="B18" s="18"/>
      <c r="C18" s="18"/>
      <c r="D18" s="18"/>
      <c r="E18" s="18" t="str">
        <f>("[ "&amp;D13&amp;" - "&amp;C13&amp;" ]")</f>
        <v>[ B - A ]</v>
      </c>
      <c r="F18" s="18" t="str">
        <f>("[ "&amp;E13&amp;" / "&amp;C13&amp;" ]")</f>
        <v>[ C / A ]</v>
      </c>
      <c r="G18" s="20"/>
      <c r="H18" s="20"/>
      <c r="I18" s="20"/>
      <c r="J18" s="19" t="str">
        <f>("["&amp;C13&amp;"+"&amp;$G$13&amp;"+"&amp;$H$13&amp;"+"&amp;$I$13&amp;"]")</f>
        <v>[A+E+F+G]</v>
      </c>
      <c r="K18" s="18" t="str">
        <f>("["&amp;D13&amp;"+"&amp;$G$13&amp;"+"&amp;$H$13&amp;"+"&amp;$I$13&amp;"]")</f>
        <v>[B+E+F+G]</v>
      </c>
      <c r="L18" s="18" t="str">
        <f>("[("&amp;K13&amp;" - "&amp;J13&amp;") / "&amp;J13&amp;"]")</f>
        <v>[(I - H) / H]</v>
      </c>
      <c r="Q18" s="19"/>
      <c r="R18" s="25">
        <f>+INPUT!$E$9</f>
        <v>2.1452</v>
      </c>
      <c r="S18" s="19"/>
      <c r="T18" s="35"/>
      <c r="U18" s="19"/>
      <c r="V18" s="25">
        <f>+INPUT!$E$27</f>
        <v>2.4304999999999999</v>
      </c>
      <c r="W18" s="19"/>
      <c r="X18" s="35"/>
    </row>
    <row r="19" spans="1:24" x14ac:dyDescent="0.2">
      <c r="A19" s="18"/>
      <c r="B19" s="18"/>
      <c r="C19" s="18"/>
      <c r="D19" s="18"/>
      <c r="F19" s="18"/>
      <c r="G19" s="18"/>
      <c r="H19" s="18"/>
      <c r="I19" s="18"/>
      <c r="J19" s="19"/>
      <c r="K19" s="19"/>
      <c r="L19" s="19"/>
      <c r="Q19" s="19"/>
      <c r="R19" s="19" t="s">
        <v>138</v>
      </c>
      <c r="S19" s="19"/>
      <c r="T19" s="35"/>
      <c r="U19" s="19"/>
      <c r="V19" s="19" t="s">
        <v>138</v>
      </c>
      <c r="W19" s="19"/>
      <c r="X19" s="35"/>
    </row>
    <row r="20" spans="1:24" x14ac:dyDescent="0.2">
      <c r="A20" s="62">
        <v>25</v>
      </c>
      <c r="C20" s="36">
        <f>+S20</f>
        <v>228.63</v>
      </c>
      <c r="D20" s="36">
        <f>+W20</f>
        <v>240.76</v>
      </c>
      <c r="E20" s="36">
        <f>+D20-C20</f>
        <v>12.129999999999995</v>
      </c>
      <c r="F20" s="37">
        <f>ROUND(+E20/C20,4)</f>
        <v>5.3100000000000001E-2</v>
      </c>
      <c r="G20" s="36">
        <f>ROUND($A20*$R$10,2)</f>
        <v>130.69</v>
      </c>
      <c r="H20" s="36">
        <f>ROUND($A20*$R$11,2)</f>
        <v>2.5499999999999998</v>
      </c>
      <c r="I20" s="36">
        <f>+$R$12</f>
        <v>124.48524015401578</v>
      </c>
      <c r="J20" s="36">
        <f>+C20+G20+H20+I20</f>
        <v>486.3552401540158</v>
      </c>
      <c r="K20" s="36">
        <f>+D20+G20+H20+I20</f>
        <v>498.4852401540158</v>
      </c>
      <c r="L20" s="37">
        <f>ROUND((K20-J20)/J20,4)</f>
        <v>2.4899999999999999E-2</v>
      </c>
      <c r="Q20" s="38">
        <f>+INPUT!$E$7</f>
        <v>175</v>
      </c>
      <c r="R20" s="38">
        <f>ROUND($R$18*$A20,2)</f>
        <v>53.63</v>
      </c>
      <c r="S20" s="38">
        <f>SUM(Q20:R20)</f>
        <v>228.63</v>
      </c>
      <c r="U20" s="38">
        <f>+INPUT!$E$25</f>
        <v>180</v>
      </c>
      <c r="V20" s="38">
        <f>ROUND($V$18*$A20,2)</f>
        <v>60.76</v>
      </c>
      <c r="W20" s="38">
        <f>SUM(U20:V20)</f>
        <v>240.76</v>
      </c>
    </row>
    <row r="21" spans="1:24" x14ac:dyDescent="0.2">
      <c r="A21" s="62"/>
      <c r="C21" s="35"/>
      <c r="D21" s="35"/>
      <c r="J21" s="35"/>
      <c r="K21" s="35"/>
      <c r="L21" s="35"/>
    </row>
    <row r="22" spans="1:24" x14ac:dyDescent="0.2">
      <c r="A22" s="62">
        <v>50</v>
      </c>
      <c r="C22" s="36">
        <f>+S22</f>
        <v>282.26</v>
      </c>
      <c r="D22" s="36">
        <f>+W22</f>
        <v>301.52999999999997</v>
      </c>
      <c r="E22" s="36">
        <f>+D22-C22</f>
        <v>19.269999999999982</v>
      </c>
      <c r="F22" s="37">
        <f>ROUND(+E22/C22,4)</f>
        <v>6.83E-2</v>
      </c>
      <c r="G22" s="36">
        <f>ROUND($A22*$R$10,2)</f>
        <v>261.38</v>
      </c>
      <c r="H22" s="36">
        <f>ROUND($A22*$R$11,2)</f>
        <v>5.0999999999999996</v>
      </c>
      <c r="I22" s="36">
        <f>+$R$12</f>
        <v>124.48524015401578</v>
      </c>
      <c r="J22" s="36">
        <f>+C22+G22+H22+I22</f>
        <v>673.22524015401575</v>
      </c>
      <c r="K22" s="36">
        <f>+D22+G22+H22+I22</f>
        <v>692.49524015401573</v>
      </c>
      <c r="L22" s="37">
        <f>ROUND((K22-J22)/J22,4)</f>
        <v>2.86E-2</v>
      </c>
      <c r="Q22" s="38">
        <f>+$Q$20</f>
        <v>175</v>
      </c>
      <c r="R22" s="38">
        <f>ROUND($R$18*$A22,2)</f>
        <v>107.26</v>
      </c>
      <c r="S22" s="38">
        <f>SUM(Q22:R22)</f>
        <v>282.26</v>
      </c>
      <c r="U22" s="38">
        <f>+$U$20</f>
        <v>180</v>
      </c>
      <c r="V22" s="38">
        <f>ROUND($V$18*$A22,2)</f>
        <v>121.53</v>
      </c>
      <c r="W22" s="38">
        <f>SUM(U22:V22)</f>
        <v>301.52999999999997</v>
      </c>
    </row>
    <row r="23" spans="1:24" x14ac:dyDescent="0.2">
      <c r="A23" s="62"/>
      <c r="C23" s="36"/>
      <c r="D23" s="36"/>
      <c r="J23" s="36"/>
      <c r="K23" s="36"/>
      <c r="L23" s="37"/>
    </row>
    <row r="24" spans="1:24" x14ac:dyDescent="0.2">
      <c r="A24" s="62">
        <v>100</v>
      </c>
      <c r="C24" s="36">
        <f>+S24</f>
        <v>389.52</v>
      </c>
      <c r="D24" s="36">
        <f>+W24</f>
        <v>423.05</v>
      </c>
      <c r="E24" s="36">
        <f>+D24-C24</f>
        <v>33.53000000000003</v>
      </c>
      <c r="F24" s="37">
        <f>ROUND(+E24/C24,4)</f>
        <v>8.6099999999999996E-2</v>
      </c>
      <c r="G24" s="36">
        <f>ROUND($A24*$R$10,2)</f>
        <v>522.76</v>
      </c>
      <c r="H24" s="36">
        <f>ROUND($A24*$R$11,2)</f>
        <v>10.210000000000001</v>
      </c>
      <c r="I24" s="36">
        <f>+$R$12</f>
        <v>124.48524015401578</v>
      </c>
      <c r="J24" s="36">
        <f>+C24+G24+H24+I24</f>
        <v>1046.9752401540159</v>
      </c>
      <c r="K24" s="36">
        <f>+D24+G24+H24+I24</f>
        <v>1080.5052401540158</v>
      </c>
      <c r="L24" s="37">
        <f>ROUND((K24-J24)/J24,4)</f>
        <v>3.2000000000000001E-2</v>
      </c>
      <c r="Q24" s="38">
        <f>+$Q$20</f>
        <v>175</v>
      </c>
      <c r="R24" s="38">
        <f>ROUND($R$18*$A24,2)</f>
        <v>214.52</v>
      </c>
      <c r="S24" s="38">
        <f>SUM(Q24:R24)</f>
        <v>389.52</v>
      </c>
      <c r="U24" s="38">
        <f>+$U$20</f>
        <v>180</v>
      </c>
      <c r="V24" s="38">
        <f>ROUND($V$18*$A24,2)</f>
        <v>243.05</v>
      </c>
      <c r="W24" s="38">
        <f>SUM(U24:V24)</f>
        <v>423.05</v>
      </c>
    </row>
    <row r="25" spans="1:24" x14ac:dyDescent="0.2">
      <c r="A25" s="62"/>
      <c r="C25" s="35"/>
      <c r="D25" s="35"/>
      <c r="J25" s="35"/>
      <c r="K25" s="35"/>
      <c r="L25" s="35"/>
    </row>
    <row r="26" spans="1:24" x14ac:dyDescent="0.2">
      <c r="A26" s="62">
        <v>500</v>
      </c>
      <c r="C26" s="39">
        <f>+S26</f>
        <v>1247.5999999999999</v>
      </c>
      <c r="D26" s="39">
        <f>+W26</f>
        <v>1395.25</v>
      </c>
      <c r="E26" s="36">
        <f>+D26-C26</f>
        <v>147.65000000000009</v>
      </c>
      <c r="F26" s="37">
        <f>ROUND(+E26/C26,4)</f>
        <v>0.1183</v>
      </c>
      <c r="G26" s="36">
        <f>ROUND($A26*$R$10,2)</f>
        <v>2613.81</v>
      </c>
      <c r="H26" s="36">
        <f>ROUND($A26*$R$11,2)</f>
        <v>51.03</v>
      </c>
      <c r="I26" s="36">
        <f>+$R$12</f>
        <v>124.48524015401578</v>
      </c>
      <c r="J26" s="39">
        <f>+C26+G26+H26+I26</f>
        <v>4036.9252401540157</v>
      </c>
      <c r="K26" s="39">
        <f>+D26+G26+H26+I26</f>
        <v>4184.5752401540158</v>
      </c>
      <c r="L26" s="37">
        <f>ROUND((K26-J26)/J26,4)</f>
        <v>3.6600000000000001E-2</v>
      </c>
      <c r="Q26" s="38">
        <f>+$Q$20</f>
        <v>175</v>
      </c>
      <c r="R26" s="38">
        <f>ROUND($R$18*$A26,2)</f>
        <v>1072.5999999999999</v>
      </c>
      <c r="S26" s="38">
        <f>SUM(Q26:R26)</f>
        <v>1247.5999999999999</v>
      </c>
      <c r="U26" s="38">
        <f>+$U$20</f>
        <v>180</v>
      </c>
      <c r="V26" s="38">
        <f>ROUND($V$18*$A26,2)</f>
        <v>1215.25</v>
      </c>
      <c r="W26" s="38">
        <f>SUM(U26:V26)</f>
        <v>1395.25</v>
      </c>
    </row>
    <row r="27" spans="1:24" x14ac:dyDescent="0.2">
      <c r="A27" s="62"/>
      <c r="C27" s="35"/>
      <c r="D27" s="35"/>
      <c r="J27" s="35"/>
      <c r="K27" s="35"/>
      <c r="L27" s="35"/>
    </row>
    <row r="28" spans="1:24" x14ac:dyDescent="0.2">
      <c r="A28" s="62">
        <v>1000</v>
      </c>
      <c r="C28" s="36">
        <f>+S28</f>
        <v>2320.1999999999998</v>
      </c>
      <c r="D28" s="36">
        <f>+W28</f>
        <v>2610.5</v>
      </c>
      <c r="E28" s="36">
        <f>+D28-C28</f>
        <v>290.30000000000018</v>
      </c>
      <c r="F28" s="37">
        <f>ROUND(+E28/C28,4)</f>
        <v>0.12509999999999999</v>
      </c>
      <c r="G28" s="36">
        <f>ROUND($A28*$R$10,2)</f>
        <v>5227.6099999999997</v>
      </c>
      <c r="H28" s="36">
        <f>ROUND($A28*$R$11,2)</f>
        <v>102.06</v>
      </c>
      <c r="I28" s="36">
        <f>+$R$12</f>
        <v>124.48524015401578</v>
      </c>
      <c r="J28" s="36">
        <f>+C28+G28+H28+I28</f>
        <v>7774.3552401540155</v>
      </c>
      <c r="K28" s="36">
        <f>+D28+G28+H28+I28</f>
        <v>8064.6552401540157</v>
      </c>
      <c r="L28" s="37">
        <f>ROUND((K28-J28)/J28,4)</f>
        <v>3.73E-2</v>
      </c>
      <c r="Q28" s="38">
        <f>+$Q$20</f>
        <v>175</v>
      </c>
      <c r="R28" s="38">
        <f>ROUND($R$18*$A28,2)</f>
        <v>2145.1999999999998</v>
      </c>
      <c r="S28" s="38">
        <f>SUM(Q28:R28)</f>
        <v>2320.1999999999998</v>
      </c>
      <c r="U28" s="38">
        <f>+$U$20</f>
        <v>180</v>
      </c>
      <c r="V28" s="38">
        <f>ROUND($V$18*$A28,2)</f>
        <v>2430.5</v>
      </c>
      <c r="W28" s="38">
        <f>SUM(U28:V28)</f>
        <v>2610.5</v>
      </c>
    </row>
    <row r="29" spans="1:24" x14ac:dyDescent="0.2">
      <c r="A29" s="62"/>
      <c r="C29" s="35"/>
      <c r="D29" s="35"/>
      <c r="J29" s="35"/>
      <c r="K29" s="35"/>
      <c r="L29" s="35"/>
    </row>
    <row r="30" spans="1:24" x14ac:dyDescent="0.2">
      <c r="A30" s="62">
        <v>2500</v>
      </c>
      <c r="C30" s="36">
        <f>+S30</f>
        <v>5538</v>
      </c>
      <c r="D30" s="36">
        <f>+W30</f>
        <v>6256.25</v>
      </c>
      <c r="E30" s="36">
        <f>+D30-C30</f>
        <v>718.25</v>
      </c>
      <c r="F30" s="37">
        <f>ROUND(+E30/C30,4)</f>
        <v>0.12970000000000001</v>
      </c>
      <c r="G30" s="36">
        <f>ROUND($A30*$R$10,2)</f>
        <v>13069.03</v>
      </c>
      <c r="H30" s="36">
        <f>ROUND($A30*$R$11,2)</f>
        <v>255.16</v>
      </c>
      <c r="I30" s="36">
        <f>+$R$12</f>
        <v>124.48524015401578</v>
      </c>
      <c r="J30" s="36">
        <f>+C30+G30+H30+I30</f>
        <v>18986.675240154014</v>
      </c>
      <c r="K30" s="36">
        <f>+D30+G30+H30+I30</f>
        <v>19704.925240154014</v>
      </c>
      <c r="L30" s="37">
        <f>ROUND((K30-J30)/J30,4)</f>
        <v>3.78E-2</v>
      </c>
      <c r="Q30" s="38">
        <f>+$Q$20</f>
        <v>175</v>
      </c>
      <c r="R30" s="38">
        <f>ROUND($R$18*$A30,2)</f>
        <v>5363</v>
      </c>
      <c r="S30" s="38">
        <f>SUM(Q30:R30)</f>
        <v>5538</v>
      </c>
      <c r="U30" s="38">
        <f>+$U$20</f>
        <v>180</v>
      </c>
      <c r="V30" s="38">
        <f>ROUND($V$18*$A30,2)</f>
        <v>6076.25</v>
      </c>
      <c r="W30" s="38">
        <f>SUM(U30:V30)</f>
        <v>6256.25</v>
      </c>
    </row>
    <row r="31" spans="1:24" x14ac:dyDescent="0.2">
      <c r="A31" s="62"/>
      <c r="C31" s="35"/>
      <c r="D31" s="35"/>
      <c r="J31" s="35"/>
      <c r="K31" s="35"/>
      <c r="L31" s="35"/>
    </row>
    <row r="32" spans="1:24" x14ac:dyDescent="0.2">
      <c r="A32" s="62">
        <v>5000</v>
      </c>
      <c r="C32" s="36">
        <f>+S32</f>
        <v>10901</v>
      </c>
      <c r="D32" s="36">
        <f>+W32</f>
        <v>12332.5</v>
      </c>
      <c r="E32" s="36">
        <f>+D32-C32</f>
        <v>1431.5</v>
      </c>
      <c r="F32" s="37">
        <f>ROUND(+E32/C32,4)</f>
        <v>0.1313</v>
      </c>
      <c r="G32" s="36">
        <f>ROUND($A32*$R$10,2)</f>
        <v>26138.05</v>
      </c>
      <c r="H32" s="36">
        <f>ROUND($A32*$R$11,2)</f>
        <v>510.32</v>
      </c>
      <c r="I32" s="36">
        <f>+$R$12</f>
        <v>124.48524015401578</v>
      </c>
      <c r="J32" s="36">
        <f>+C32+G32+H32+I32</f>
        <v>37673.855240154022</v>
      </c>
      <c r="K32" s="36">
        <f>+D32+G32+H32+I32</f>
        <v>39105.355240154022</v>
      </c>
      <c r="L32" s="37">
        <f>ROUND((K32-J32)/J32,4)</f>
        <v>3.7999999999999999E-2</v>
      </c>
      <c r="Q32" s="38">
        <f>+$Q$20</f>
        <v>175</v>
      </c>
      <c r="R32" s="38">
        <f>ROUND($R$18*$A32,2)</f>
        <v>10726</v>
      </c>
      <c r="S32" s="38">
        <f>SUM(Q32:R32)</f>
        <v>10901</v>
      </c>
      <c r="U32" s="38">
        <f>+$U$20</f>
        <v>180</v>
      </c>
      <c r="V32" s="38">
        <f>ROUND($V$18*$A32,2)</f>
        <v>12152.5</v>
      </c>
      <c r="W32" s="38">
        <f>SUM(U32:V32)</f>
        <v>12332.5</v>
      </c>
    </row>
    <row r="33" spans="1:23" x14ac:dyDescent="0.2">
      <c r="A33" s="62"/>
      <c r="C33" s="35"/>
      <c r="D33" s="35"/>
      <c r="J33" s="35"/>
      <c r="K33" s="35"/>
      <c r="L33" s="35"/>
    </row>
    <row r="34" spans="1:23" x14ac:dyDescent="0.2">
      <c r="A34" s="62">
        <v>7500</v>
      </c>
      <c r="C34" s="36">
        <f>+S34</f>
        <v>16264</v>
      </c>
      <c r="D34" s="36">
        <f>+W34</f>
        <v>18408.75</v>
      </c>
      <c r="E34" s="36">
        <f>+D34-C34</f>
        <v>2144.75</v>
      </c>
      <c r="F34" s="37">
        <f>ROUND(+E34/C34,4)</f>
        <v>0.13189999999999999</v>
      </c>
      <c r="G34" s="36">
        <f>ROUND($A34*$R$10,2)</f>
        <v>39207.08</v>
      </c>
      <c r="H34" s="36">
        <f>ROUND($A34*$R$11,2)</f>
        <v>765.48</v>
      </c>
      <c r="I34" s="36">
        <f>+$R$12</f>
        <v>124.48524015401578</v>
      </c>
      <c r="J34" s="36">
        <f>+C34+G34+H34+I34</f>
        <v>56361.045240154024</v>
      </c>
      <c r="K34" s="36">
        <f>+D34+G34+H34+I34</f>
        <v>58505.795240154024</v>
      </c>
      <c r="L34" s="37">
        <f>ROUND((K34-J34)/J34,4)</f>
        <v>3.8100000000000002E-2</v>
      </c>
      <c r="Q34" s="38">
        <f>+$Q$20</f>
        <v>175</v>
      </c>
      <c r="R34" s="38">
        <f>ROUND($R$18*$A34,2)</f>
        <v>16089</v>
      </c>
      <c r="S34" s="38">
        <f>SUM(Q34:R34)</f>
        <v>16264</v>
      </c>
      <c r="U34" s="38">
        <f>+$U$20</f>
        <v>180</v>
      </c>
      <c r="V34" s="38">
        <f>ROUND($V$18*$A34,2)</f>
        <v>18228.75</v>
      </c>
      <c r="W34" s="38">
        <f>SUM(U34:V34)</f>
        <v>18408.75</v>
      </c>
    </row>
    <row r="35" spans="1:23" x14ac:dyDescent="0.2">
      <c r="J35" s="35"/>
      <c r="K35" s="35"/>
      <c r="L35" s="35"/>
    </row>
    <row r="36" spans="1:23" x14ac:dyDescent="0.2">
      <c r="A36" s="34" t="s">
        <v>125</v>
      </c>
      <c r="C36" s="61"/>
      <c r="D36" s="62"/>
      <c r="J36" s="36"/>
      <c r="K36" s="36"/>
      <c r="L36" s="37"/>
    </row>
    <row r="37" spans="1:23" x14ac:dyDescent="0.2">
      <c r="A37" s="65" t="str">
        <f>("Average usage = "&amp;INPUT!E17&amp;" Mcf per month")</f>
        <v>Average usage = 442.4 Mcf per month</v>
      </c>
    </row>
    <row r="38" spans="1:23" x14ac:dyDescent="0.2">
      <c r="A38" s="67" t="s">
        <v>127</v>
      </c>
    </row>
    <row r="39" spans="1:23" x14ac:dyDescent="0.2">
      <c r="A39" s="84" t="str">
        <f>+'Rate Case Constants'!$C$26</f>
        <v>Calculations may vary from other schedules due to rounding</v>
      </c>
    </row>
  </sheetData>
  <mergeCells count="5">
    <mergeCell ref="G15:I15"/>
    <mergeCell ref="A1:L1"/>
    <mergeCell ref="A2:L2"/>
    <mergeCell ref="A3:L3"/>
    <mergeCell ref="A4:L4"/>
  </mergeCells>
  <printOptions horizontalCentered="1"/>
  <pageMargins left="0.7" right="0.7" top="0.75" bottom="0.75" header="0.3" footer="0.3"/>
  <pageSetup scale="9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9"/>
  <sheetViews>
    <sheetView view="pageBreakPreview" topLeftCell="A7" zoomScaleNormal="100" zoomScaleSheetLayoutView="100" workbookViewId="0">
      <selection activeCell="A38" sqref="A38"/>
    </sheetView>
  </sheetViews>
  <sheetFormatPr defaultRowHeight="12.75" x14ac:dyDescent="0.2"/>
  <cols>
    <col min="1" max="1" width="9.28515625" style="34" bestFit="1" customWidth="1"/>
    <col min="2" max="2" width="2" style="34" customWidth="1"/>
    <col min="3" max="6" width="12" style="34" customWidth="1"/>
    <col min="7" max="7" width="12.28515625" style="34" bestFit="1" customWidth="1"/>
    <col min="8" max="12" width="12" style="34" customWidth="1"/>
    <col min="13" max="16" width="4.28515625" style="34" customWidth="1"/>
    <col min="17" max="17" width="9.28515625" style="34" bestFit="1" customWidth="1"/>
    <col min="18" max="18" width="10.85546875" style="34" bestFit="1" customWidth="1"/>
    <col min="19" max="19" width="10.7109375" style="34" bestFit="1" customWidth="1"/>
    <col min="20" max="20" width="9.140625" style="34"/>
    <col min="21" max="21" width="9.28515625" style="34" bestFit="1" customWidth="1"/>
    <col min="22" max="22" width="10.85546875" style="34" bestFit="1" customWidth="1"/>
    <col min="23" max="23" width="10.7109375" style="34" bestFit="1" customWidth="1"/>
    <col min="24" max="16384" width="9.140625" style="34"/>
  </cols>
  <sheetData>
    <row r="1" spans="1:28" x14ac:dyDescent="0.2">
      <c r="A1" s="97" t="str">
        <f>+'Rate Case Constants'!C9</f>
        <v>LOUISVILLE GAS AND ELECTRIC COMPANY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28" x14ac:dyDescent="0.2">
      <c r="A2" s="97" t="str">
        <f>+'Rate Case Constants'!C10</f>
        <v>CASE NO. 2014-00372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1:28" x14ac:dyDescent="0.2">
      <c r="A3" s="98" t="str">
        <f>+'Rate Case Constants'!C24</f>
        <v>Typical Gas Bill Comparison under Present &amp; Proposed Rates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28" x14ac:dyDescent="0.2">
      <c r="A4" s="97" t="str">
        <f>+'Rate Case Constants'!C21</f>
        <v>FORECAST PERIOD FOR THE 12 MONTHS ENDED JUNE 30, 2016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</row>
    <row r="6" spans="1:28" x14ac:dyDescent="0.2">
      <c r="A6" s="68"/>
    </row>
    <row r="7" spans="1:28" x14ac:dyDescent="0.2">
      <c r="A7" s="34" t="str">
        <f>+'Rate Case Constants'!C33</f>
        <v>DATA: ____BASE PERIOD__X___FORECASTED PERIOD</v>
      </c>
      <c r="L7" s="59" t="str">
        <f>+'Rate Case Constants'!C25</f>
        <v>SCHEDULE N (Gas)</v>
      </c>
    </row>
    <row r="8" spans="1:28" x14ac:dyDescent="0.2">
      <c r="A8" s="34" t="str">
        <f>+'Rate Case Constants'!C29</f>
        <v>TYPE OF FILING: __X__ ORIGINAL  _____ UPDATED  _____ REVISED</v>
      </c>
      <c r="L8" s="60" t="str">
        <f>+'Rate Case Constants'!I13</f>
        <v>PAGE 6 OF 9</v>
      </c>
    </row>
    <row r="9" spans="1:28" x14ac:dyDescent="0.2">
      <c r="A9" s="34" t="str">
        <f>+'Rate Case Constants'!C34</f>
        <v>WORKPAPER REFERENCE NO(S):________</v>
      </c>
      <c r="L9" s="59" t="str">
        <f>+'Rate Case Constants'!C37</f>
        <v>WITNESS:   R. M. CONROY</v>
      </c>
    </row>
    <row r="10" spans="1:28" x14ac:dyDescent="0.2">
      <c r="L10" s="59"/>
      <c r="Q10" s="26" t="s">
        <v>37</v>
      </c>
      <c r="R10" s="22">
        <f>+INPUT!H43</f>
        <v>4.9521282339008339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</row>
    <row r="11" spans="1:28" x14ac:dyDescent="0.2">
      <c r="A11" s="54" t="s">
        <v>64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6"/>
      <c r="N11" s="56"/>
      <c r="O11" s="56"/>
      <c r="P11" s="56"/>
      <c r="Q11" s="57" t="s">
        <v>34</v>
      </c>
      <c r="R11" s="58">
        <f>+INPUT!I43</f>
        <v>1.689217656465784E-2</v>
      </c>
      <c r="S11" s="17"/>
      <c r="T11" s="17"/>
      <c r="U11" s="23"/>
      <c r="V11" s="17"/>
      <c r="W11" s="17"/>
      <c r="X11" s="35"/>
      <c r="Y11" s="35"/>
      <c r="Z11" s="35"/>
      <c r="AA11" s="35"/>
      <c r="AB11" s="35"/>
    </row>
    <row r="12" spans="1:28" x14ac:dyDescent="0.2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Q12" s="26" t="s">
        <v>38</v>
      </c>
      <c r="R12" s="71">
        <f>+INPUT!$L$43</f>
        <v>1784.2028985507247</v>
      </c>
      <c r="S12" s="17"/>
      <c r="T12" s="17"/>
      <c r="U12" s="17"/>
      <c r="V12" s="17"/>
      <c r="W12" s="17"/>
      <c r="X12" s="35"/>
      <c r="Y12" s="35"/>
      <c r="Z12" s="35"/>
      <c r="AA12" s="35"/>
      <c r="AB12" s="35"/>
    </row>
    <row r="13" spans="1:28" x14ac:dyDescent="0.2">
      <c r="A13" s="17"/>
      <c r="B13" s="17"/>
      <c r="C13" s="18" t="s">
        <v>107</v>
      </c>
      <c r="D13" s="19" t="s">
        <v>115</v>
      </c>
      <c r="E13" s="19" t="s">
        <v>108</v>
      </c>
      <c r="F13" s="18" t="s">
        <v>109</v>
      </c>
      <c r="G13" s="18" t="s">
        <v>110</v>
      </c>
      <c r="H13" s="18" t="s">
        <v>111</v>
      </c>
      <c r="I13" s="19" t="s">
        <v>116</v>
      </c>
      <c r="J13" s="18" t="s">
        <v>112</v>
      </c>
      <c r="K13" s="18" t="s">
        <v>113</v>
      </c>
      <c r="L13" s="18" t="s">
        <v>114</v>
      </c>
      <c r="Q13" s="17"/>
      <c r="R13" s="17"/>
      <c r="S13" s="17"/>
      <c r="T13" s="17"/>
      <c r="U13" s="17"/>
      <c r="V13" s="17"/>
      <c r="W13" s="17"/>
      <c r="X13" s="35"/>
      <c r="Y13" s="35"/>
      <c r="Z13" s="35"/>
      <c r="AA13" s="35"/>
      <c r="AB13" s="35"/>
    </row>
    <row r="14" spans="1:28" x14ac:dyDescent="0.2">
      <c r="A14" s="35"/>
      <c r="B14" s="35"/>
      <c r="C14" s="91" t="s">
        <v>136</v>
      </c>
      <c r="D14" s="91" t="s">
        <v>136</v>
      </c>
      <c r="E14" s="35"/>
      <c r="F14" s="35"/>
      <c r="G14" s="35"/>
      <c r="H14" s="35"/>
      <c r="I14" s="35"/>
      <c r="J14" s="18" t="s">
        <v>29</v>
      </c>
      <c r="K14" s="18" t="s">
        <v>29</v>
      </c>
      <c r="L14" s="35"/>
      <c r="Q14" s="24" t="s">
        <v>0</v>
      </c>
      <c r="R14" s="24"/>
      <c r="S14" s="24"/>
      <c r="T14" s="35"/>
      <c r="U14" s="24" t="s">
        <v>28</v>
      </c>
      <c r="V14" s="24"/>
      <c r="W14" s="24"/>
      <c r="X14" s="35"/>
      <c r="Y14" s="35"/>
      <c r="Z14" s="35"/>
      <c r="AA14" s="35"/>
      <c r="AB14" s="35"/>
    </row>
    <row r="15" spans="1:28" x14ac:dyDescent="0.2">
      <c r="A15" s="35"/>
      <c r="B15" s="35"/>
      <c r="C15" s="18" t="s">
        <v>24</v>
      </c>
      <c r="D15" s="18" t="s">
        <v>30</v>
      </c>
      <c r="E15" s="18"/>
      <c r="F15" s="18"/>
      <c r="G15" s="95" t="s">
        <v>31</v>
      </c>
      <c r="H15" s="95"/>
      <c r="I15" s="96"/>
      <c r="J15" s="18" t="s">
        <v>24</v>
      </c>
      <c r="K15" s="18" t="s">
        <v>30</v>
      </c>
      <c r="L15" s="18"/>
      <c r="Q15" s="19" t="s">
        <v>40</v>
      </c>
      <c r="R15" s="18"/>
      <c r="S15" s="19"/>
      <c r="T15" s="35"/>
      <c r="U15" s="19" t="s">
        <v>40</v>
      </c>
      <c r="V15" s="18"/>
      <c r="W15" s="19"/>
      <c r="X15" s="35"/>
      <c r="Y15" s="35"/>
      <c r="Z15" s="35"/>
      <c r="AA15" s="35"/>
      <c r="AB15" s="35"/>
    </row>
    <row r="16" spans="1:28" x14ac:dyDescent="0.2">
      <c r="A16" s="18"/>
      <c r="B16" s="18"/>
      <c r="C16" s="18" t="s">
        <v>32</v>
      </c>
      <c r="D16" s="18" t="s">
        <v>32</v>
      </c>
      <c r="E16" s="18" t="s">
        <v>33</v>
      </c>
      <c r="F16" s="18" t="s">
        <v>33</v>
      </c>
      <c r="G16" s="18" t="s">
        <v>37</v>
      </c>
      <c r="H16" s="18" t="s">
        <v>34</v>
      </c>
      <c r="I16" s="18" t="s">
        <v>38</v>
      </c>
      <c r="J16" s="18" t="s">
        <v>32</v>
      </c>
      <c r="K16" s="18" t="s">
        <v>32</v>
      </c>
      <c r="L16" s="18" t="s">
        <v>33</v>
      </c>
      <c r="Q16" s="19" t="s">
        <v>41</v>
      </c>
      <c r="R16" s="18" t="s">
        <v>137</v>
      </c>
      <c r="S16" s="19" t="s">
        <v>29</v>
      </c>
      <c r="T16" s="35"/>
      <c r="U16" s="19" t="s">
        <v>41</v>
      </c>
      <c r="V16" s="18" t="s">
        <v>137</v>
      </c>
      <c r="W16" s="19" t="s">
        <v>29</v>
      </c>
      <c r="X16" s="35"/>
      <c r="Y16" s="22"/>
      <c r="Z16" s="18" t="s">
        <v>42</v>
      </c>
      <c r="AA16" s="18"/>
      <c r="AB16" s="18" t="s">
        <v>43</v>
      </c>
    </row>
    <row r="17" spans="1:28" x14ac:dyDescent="0.2">
      <c r="A17" s="18" t="s">
        <v>39</v>
      </c>
      <c r="B17" s="18"/>
      <c r="C17" s="18"/>
      <c r="D17" s="18"/>
      <c r="E17" s="18" t="s">
        <v>35</v>
      </c>
      <c r="F17" s="19" t="s">
        <v>36</v>
      </c>
      <c r="G17" s="20"/>
      <c r="H17" s="20"/>
      <c r="I17" s="21"/>
      <c r="J17" s="18" t="s">
        <v>35</v>
      </c>
      <c r="K17" s="18" t="s">
        <v>35</v>
      </c>
      <c r="L17" s="19" t="s">
        <v>36</v>
      </c>
      <c r="Q17" s="40" t="s">
        <v>44</v>
      </c>
      <c r="R17" s="41" t="s">
        <v>44</v>
      </c>
      <c r="S17" s="40" t="s">
        <v>32</v>
      </c>
      <c r="T17" s="35"/>
      <c r="U17" s="40" t="s">
        <v>44</v>
      </c>
      <c r="V17" s="41" t="s">
        <v>44</v>
      </c>
      <c r="W17" s="40" t="s">
        <v>32</v>
      </c>
      <c r="X17" s="35"/>
      <c r="Y17" s="22"/>
      <c r="Z17" s="18" t="s">
        <v>2</v>
      </c>
      <c r="AA17" s="18"/>
      <c r="AB17" s="18" t="s">
        <v>2</v>
      </c>
    </row>
    <row r="18" spans="1:28" x14ac:dyDescent="0.2">
      <c r="A18" s="18"/>
      <c r="B18" s="18"/>
      <c r="C18" s="18"/>
      <c r="D18" s="18"/>
      <c r="E18" s="18" t="str">
        <f>("[ "&amp;D13&amp;" - "&amp;C13&amp;" ]")</f>
        <v>[ B - A ]</v>
      </c>
      <c r="F18" s="18" t="str">
        <f>("[ "&amp;E13&amp;" / "&amp;C13&amp;" ]")</f>
        <v>[ C / A ]</v>
      </c>
      <c r="G18" s="20"/>
      <c r="H18" s="20"/>
      <c r="I18" s="20"/>
      <c r="J18" s="19" t="str">
        <f>("["&amp;C13&amp;"+"&amp;$G$13&amp;"+"&amp;$H$13&amp;"+"&amp;$I$13&amp;"]")</f>
        <v>[A+E+F+G]</v>
      </c>
      <c r="K18" s="18" t="str">
        <f>("["&amp;D13&amp;"+"&amp;$G$13&amp;"+"&amp;$H$13&amp;"+"&amp;$I$13&amp;"]")</f>
        <v>[B+E+F+G]</v>
      </c>
      <c r="L18" s="18" t="str">
        <f>("[("&amp;K13&amp;" - "&amp;J13&amp;") / "&amp;J13&amp;"]")</f>
        <v>[(I - H) / H]</v>
      </c>
      <c r="Q18" s="19"/>
      <c r="R18" s="25">
        <f>+INPUT!$F$9</f>
        <v>0.60860000000000003</v>
      </c>
      <c r="S18" s="19"/>
      <c r="T18" s="35"/>
      <c r="U18" s="19"/>
      <c r="V18" s="25">
        <f>+INPUT!$F$27</f>
        <v>0.82850000000000001</v>
      </c>
      <c r="W18" s="19"/>
      <c r="X18" s="35"/>
      <c r="Y18" s="22"/>
      <c r="Z18" s="18"/>
      <c r="AA18" s="18"/>
      <c r="AB18" s="18"/>
    </row>
    <row r="19" spans="1:28" x14ac:dyDescent="0.2">
      <c r="A19" s="18"/>
      <c r="B19" s="18"/>
      <c r="C19" s="18"/>
      <c r="D19" s="18"/>
      <c r="F19" s="18"/>
      <c r="G19" s="18"/>
      <c r="H19" s="18"/>
      <c r="I19" s="18"/>
      <c r="J19" s="19"/>
      <c r="K19" s="19"/>
      <c r="L19" s="19"/>
      <c r="Q19" s="19"/>
      <c r="R19" s="19" t="s">
        <v>138</v>
      </c>
      <c r="S19" s="19"/>
      <c r="T19" s="35"/>
      <c r="U19" s="19"/>
      <c r="V19" s="19" t="s">
        <v>138</v>
      </c>
      <c r="W19" s="19"/>
      <c r="X19" s="35"/>
      <c r="Y19" s="22"/>
      <c r="Z19" s="18"/>
      <c r="AA19" s="18"/>
      <c r="AB19" s="18"/>
    </row>
    <row r="20" spans="1:28" x14ac:dyDescent="0.2">
      <c r="A20" s="62">
        <v>500</v>
      </c>
      <c r="C20" s="36">
        <f>+S20</f>
        <v>579.29999999999995</v>
      </c>
      <c r="D20" s="36">
        <f>+W20</f>
        <v>814.25</v>
      </c>
      <c r="E20" s="36">
        <f>+D20-C20</f>
        <v>234.95000000000005</v>
      </c>
      <c r="F20" s="37">
        <f>ROUND(+E20/C20,4)</f>
        <v>0.40560000000000002</v>
      </c>
      <c r="G20" s="36">
        <f>ROUND($A20*$R$10,2)</f>
        <v>2476.06</v>
      </c>
      <c r="H20" s="36">
        <f>ROUND($A20*$R$11,2)</f>
        <v>8.4499999999999993</v>
      </c>
      <c r="I20" s="36">
        <f>+$R$12</f>
        <v>1784.2028985507247</v>
      </c>
      <c r="J20" s="36">
        <f>+C20+G20+H20+I20</f>
        <v>4848.0128985507245</v>
      </c>
      <c r="K20" s="36">
        <f>+D20+G20+H20+I20</f>
        <v>5082.9628985507243</v>
      </c>
      <c r="L20" s="37">
        <f>ROUND((K20-J20)/J20,4)</f>
        <v>4.8500000000000001E-2</v>
      </c>
      <c r="Q20" s="38">
        <f>+INPUT!$F$5</f>
        <v>275</v>
      </c>
      <c r="R20" s="38">
        <f>ROUND($R$18*$A20,2)</f>
        <v>304.3</v>
      </c>
      <c r="S20" s="38">
        <f>SUM(Q20:R20)</f>
        <v>579.29999999999995</v>
      </c>
      <c r="U20" s="38">
        <f>+INPUT!$F$23</f>
        <v>400</v>
      </c>
      <c r="V20" s="38">
        <f>ROUND($V$18*$A20,2)</f>
        <v>414.25</v>
      </c>
      <c r="W20" s="38">
        <f>SUM(U20:V20)</f>
        <v>814.25</v>
      </c>
    </row>
    <row r="21" spans="1:28" x14ac:dyDescent="0.2">
      <c r="A21" s="62"/>
      <c r="C21" s="35"/>
      <c r="D21" s="35"/>
      <c r="J21" s="35"/>
      <c r="K21" s="35"/>
      <c r="L21" s="35"/>
    </row>
    <row r="22" spans="1:28" x14ac:dyDescent="0.2">
      <c r="A22" s="62">
        <v>1000</v>
      </c>
      <c r="C22" s="36">
        <f>+S22</f>
        <v>883.6</v>
      </c>
      <c r="D22" s="36">
        <f>+W22</f>
        <v>1228.5</v>
      </c>
      <c r="E22" s="36">
        <f>+D22-C22</f>
        <v>344.9</v>
      </c>
      <c r="F22" s="37">
        <f>ROUND(+E22/C22,4)</f>
        <v>0.39029999999999998</v>
      </c>
      <c r="G22" s="36">
        <f>ROUND($A22*$R$10,2)</f>
        <v>4952.13</v>
      </c>
      <c r="H22" s="36">
        <f>ROUND($A22*$R$11,2)</f>
        <v>16.89</v>
      </c>
      <c r="I22" s="36">
        <f>+$R$12</f>
        <v>1784.2028985507247</v>
      </c>
      <c r="J22" s="36">
        <f>+C22+G22+H22+I22</f>
        <v>7636.8228985507258</v>
      </c>
      <c r="K22" s="36">
        <f>+D22+G22+H22+I22</f>
        <v>7981.7228985507254</v>
      </c>
      <c r="L22" s="37">
        <f>ROUND((K22-J22)/J22,4)</f>
        <v>4.5199999999999997E-2</v>
      </c>
      <c r="Q22" s="38">
        <f>+$Q$20</f>
        <v>275</v>
      </c>
      <c r="R22" s="38">
        <f>ROUND($R$18*$A22,2)</f>
        <v>608.6</v>
      </c>
      <c r="S22" s="38">
        <f>SUM(Q22:R22)</f>
        <v>883.6</v>
      </c>
      <c r="U22" s="38">
        <f>+$U$20</f>
        <v>400</v>
      </c>
      <c r="V22" s="38">
        <f>ROUND($V$18*$A22,2)</f>
        <v>828.5</v>
      </c>
      <c r="W22" s="38">
        <f>SUM(U22:V22)</f>
        <v>1228.5</v>
      </c>
    </row>
    <row r="23" spans="1:28" x14ac:dyDescent="0.2">
      <c r="A23" s="62"/>
      <c r="C23" s="36"/>
      <c r="D23" s="36"/>
      <c r="J23" s="36"/>
      <c r="K23" s="36"/>
      <c r="L23" s="37"/>
    </row>
    <row r="24" spans="1:28" x14ac:dyDescent="0.2">
      <c r="A24" s="62">
        <v>5000</v>
      </c>
      <c r="C24" s="36">
        <f>+S24</f>
        <v>3318</v>
      </c>
      <c r="D24" s="36">
        <f>+W24</f>
        <v>4542.5</v>
      </c>
      <c r="E24" s="36">
        <f>+D24-C24</f>
        <v>1224.5</v>
      </c>
      <c r="F24" s="37">
        <f>ROUND(+E24/C24,4)</f>
        <v>0.36899999999999999</v>
      </c>
      <c r="G24" s="36">
        <f>ROUND($A24*$R$10,2)</f>
        <v>24760.639999999999</v>
      </c>
      <c r="H24" s="36">
        <f>ROUND($A24*$R$11,2)</f>
        <v>84.46</v>
      </c>
      <c r="I24" s="36">
        <f>+$R$12</f>
        <v>1784.2028985507247</v>
      </c>
      <c r="J24" s="36">
        <f>+C24+G24+H24+I24</f>
        <v>29947.302898550723</v>
      </c>
      <c r="K24" s="36">
        <f>+D24+G24+H24+I24</f>
        <v>31171.802898550723</v>
      </c>
      <c r="L24" s="37">
        <f>ROUND((K24-J24)/J24,4)</f>
        <v>4.0899999999999999E-2</v>
      </c>
      <c r="Q24" s="38">
        <f>+$Q$20</f>
        <v>275</v>
      </c>
      <c r="R24" s="38">
        <f>ROUND($R$18*$A24,2)</f>
        <v>3043</v>
      </c>
      <c r="S24" s="38">
        <f>SUM(Q24:R24)</f>
        <v>3318</v>
      </c>
      <c r="U24" s="38">
        <f>+$U$20</f>
        <v>400</v>
      </c>
      <c r="V24" s="38">
        <f>ROUND($V$18*$A24,2)</f>
        <v>4142.5</v>
      </c>
      <c r="W24" s="38">
        <f>SUM(U24:V24)</f>
        <v>4542.5</v>
      </c>
    </row>
    <row r="25" spans="1:28" x14ac:dyDescent="0.2">
      <c r="A25" s="62"/>
      <c r="C25" s="35"/>
      <c r="D25" s="35"/>
      <c r="J25" s="35"/>
      <c r="K25" s="35"/>
      <c r="L25" s="35"/>
    </row>
    <row r="26" spans="1:28" x14ac:dyDescent="0.2">
      <c r="A26" s="62">
        <v>7500</v>
      </c>
      <c r="C26" s="39">
        <f>+S26</f>
        <v>4839.5</v>
      </c>
      <c r="D26" s="39">
        <f>+W26</f>
        <v>6613.75</v>
      </c>
      <c r="E26" s="36">
        <f>+D26-C26</f>
        <v>1774.25</v>
      </c>
      <c r="F26" s="37">
        <f>ROUND(+E26/C26,4)</f>
        <v>0.36659999999999998</v>
      </c>
      <c r="G26" s="36">
        <f>ROUND($A26*$R$10,2)</f>
        <v>37140.959999999999</v>
      </c>
      <c r="H26" s="36">
        <f>ROUND($A26*$R$11,2)</f>
        <v>126.69</v>
      </c>
      <c r="I26" s="36">
        <f>+$R$12</f>
        <v>1784.2028985507247</v>
      </c>
      <c r="J26" s="39">
        <f>+C26+G26+H26+I26</f>
        <v>43891.352898550729</v>
      </c>
      <c r="K26" s="39">
        <f>+D26+G26+H26+I26</f>
        <v>45665.602898550729</v>
      </c>
      <c r="L26" s="37">
        <f>ROUND((K26-J26)/J26,4)</f>
        <v>4.0399999999999998E-2</v>
      </c>
      <c r="Q26" s="38">
        <f>+$Q$20</f>
        <v>275</v>
      </c>
      <c r="R26" s="38">
        <f>ROUND($R$18*$A26,2)</f>
        <v>4564.5</v>
      </c>
      <c r="S26" s="38">
        <f>SUM(Q26:R26)</f>
        <v>4839.5</v>
      </c>
      <c r="U26" s="38">
        <f>+$U$20</f>
        <v>400</v>
      </c>
      <c r="V26" s="38">
        <f>ROUND($V$18*$A26,2)</f>
        <v>6213.75</v>
      </c>
      <c r="W26" s="38">
        <f>SUM(U26:V26)</f>
        <v>6613.75</v>
      </c>
    </row>
    <row r="27" spans="1:28" x14ac:dyDescent="0.2">
      <c r="A27" s="62"/>
      <c r="C27" s="35"/>
      <c r="D27" s="35"/>
      <c r="J27" s="35"/>
      <c r="K27" s="35"/>
      <c r="L27" s="35"/>
    </row>
    <row r="28" spans="1:28" x14ac:dyDescent="0.2">
      <c r="A28" s="62">
        <v>10000</v>
      </c>
      <c r="C28" s="36">
        <f>+S28</f>
        <v>6361</v>
      </c>
      <c r="D28" s="36">
        <f>+W28</f>
        <v>8685</v>
      </c>
      <c r="E28" s="36">
        <f>+D28-C28</f>
        <v>2324</v>
      </c>
      <c r="F28" s="37">
        <f>ROUND(+E28/C28,4)</f>
        <v>0.3654</v>
      </c>
      <c r="G28" s="36">
        <f>ROUND($A28*$R$10,2)</f>
        <v>49521.279999999999</v>
      </c>
      <c r="H28" s="36">
        <f>ROUND($A28*$R$11,2)</f>
        <v>168.92</v>
      </c>
      <c r="I28" s="36">
        <f>+$R$12</f>
        <v>1784.2028985507247</v>
      </c>
      <c r="J28" s="36">
        <f>+C28+G28+H28+I28</f>
        <v>57835.402898550725</v>
      </c>
      <c r="K28" s="36">
        <f>+D28+G28+H28+I28</f>
        <v>60159.402898550725</v>
      </c>
      <c r="L28" s="37">
        <f>ROUND((K28-J28)/J28,4)</f>
        <v>4.02E-2</v>
      </c>
      <c r="Q28" s="38">
        <f>+$Q$20</f>
        <v>275</v>
      </c>
      <c r="R28" s="38">
        <f>ROUND($R$18*$A28,2)</f>
        <v>6086</v>
      </c>
      <c r="S28" s="38">
        <f>SUM(Q28:R28)</f>
        <v>6361</v>
      </c>
      <c r="U28" s="38">
        <f>+$U$20</f>
        <v>400</v>
      </c>
      <c r="V28" s="38">
        <f>ROUND($V$18*$A28,2)</f>
        <v>8285</v>
      </c>
      <c r="W28" s="38">
        <f>SUM(U28:V28)</f>
        <v>8685</v>
      </c>
    </row>
    <row r="29" spans="1:28" x14ac:dyDescent="0.2">
      <c r="A29" s="62"/>
      <c r="C29" s="35"/>
      <c r="D29" s="35"/>
      <c r="J29" s="35"/>
      <c r="K29" s="35"/>
      <c r="L29" s="35"/>
    </row>
    <row r="30" spans="1:28" x14ac:dyDescent="0.2">
      <c r="A30" s="62">
        <v>15000</v>
      </c>
      <c r="C30" s="36">
        <f>+S30</f>
        <v>9404</v>
      </c>
      <c r="D30" s="36">
        <f>+W30</f>
        <v>12827.5</v>
      </c>
      <c r="E30" s="36">
        <f>+D30-C30</f>
        <v>3423.5</v>
      </c>
      <c r="F30" s="37">
        <f>ROUND(+E30/C30,4)</f>
        <v>0.36399999999999999</v>
      </c>
      <c r="G30" s="36">
        <f>ROUND($A30*$R$10,2)</f>
        <v>74281.919999999998</v>
      </c>
      <c r="H30" s="36">
        <f>ROUND($A30*$R$11,2)</f>
        <v>253.38</v>
      </c>
      <c r="I30" s="36">
        <f>+$R$12</f>
        <v>1784.2028985507247</v>
      </c>
      <c r="J30" s="36">
        <f>+C30+G30+H30+I30</f>
        <v>85723.502898550723</v>
      </c>
      <c r="K30" s="36">
        <f>+D30+G30+H30+I30</f>
        <v>89147.002898550723</v>
      </c>
      <c r="L30" s="37">
        <f>ROUND((K30-J30)/J30,4)</f>
        <v>3.9899999999999998E-2</v>
      </c>
      <c r="Q30" s="38">
        <f>+$Q$20</f>
        <v>275</v>
      </c>
      <c r="R30" s="38">
        <f>ROUND($R$18*$A30,2)</f>
        <v>9129</v>
      </c>
      <c r="S30" s="38">
        <f>SUM(Q30:R30)</f>
        <v>9404</v>
      </c>
      <c r="U30" s="38">
        <f>+$U$20</f>
        <v>400</v>
      </c>
      <c r="V30" s="38">
        <f>ROUND($V$18*$A30,2)</f>
        <v>12427.5</v>
      </c>
      <c r="W30" s="38">
        <f>SUM(U30:V30)</f>
        <v>12827.5</v>
      </c>
    </row>
    <row r="31" spans="1:28" x14ac:dyDescent="0.2">
      <c r="A31" s="62"/>
      <c r="C31" s="35"/>
      <c r="D31" s="35"/>
      <c r="J31" s="35"/>
      <c r="K31" s="35"/>
      <c r="L31" s="35"/>
    </row>
    <row r="32" spans="1:28" x14ac:dyDescent="0.2">
      <c r="A32" s="62">
        <v>20000</v>
      </c>
      <c r="C32" s="36">
        <f>+S32</f>
        <v>12447</v>
      </c>
      <c r="D32" s="36">
        <f>+W32</f>
        <v>16970</v>
      </c>
      <c r="E32" s="36">
        <f>+D32-C32</f>
        <v>4523</v>
      </c>
      <c r="F32" s="37">
        <f>ROUND(+E32/C32,4)</f>
        <v>0.3634</v>
      </c>
      <c r="G32" s="36">
        <f>ROUND($A32*$R$10,2)</f>
        <v>99042.559999999998</v>
      </c>
      <c r="H32" s="36">
        <f>ROUND($A32*$R$11,2)</f>
        <v>337.84</v>
      </c>
      <c r="I32" s="36">
        <f>+$R$12</f>
        <v>1784.2028985507247</v>
      </c>
      <c r="J32" s="36">
        <f>+C32+G32+H32+I32</f>
        <v>113611.60289855071</v>
      </c>
      <c r="K32" s="36">
        <f>+D32+G32+H32+I32</f>
        <v>118134.60289855071</v>
      </c>
      <c r="L32" s="37">
        <f>ROUND((K32-J32)/J32,4)</f>
        <v>3.9800000000000002E-2</v>
      </c>
      <c r="Q32" s="38">
        <f>+$Q$20</f>
        <v>275</v>
      </c>
      <c r="R32" s="38">
        <f>ROUND($R$18*$A32,2)</f>
        <v>12172</v>
      </c>
      <c r="S32" s="38">
        <f>SUM(Q32:R32)</f>
        <v>12447</v>
      </c>
      <c r="U32" s="38">
        <f>+$U$20</f>
        <v>400</v>
      </c>
      <c r="V32" s="38">
        <f>ROUND($V$18*$A32,2)</f>
        <v>16570</v>
      </c>
      <c r="W32" s="38">
        <f>SUM(U32:V32)</f>
        <v>16970</v>
      </c>
    </row>
    <row r="33" spans="1:23" x14ac:dyDescent="0.2">
      <c r="A33" s="62"/>
      <c r="C33" s="35"/>
      <c r="D33" s="35"/>
      <c r="J33" s="35"/>
      <c r="K33" s="35"/>
      <c r="L33" s="35"/>
    </row>
    <row r="34" spans="1:23" x14ac:dyDescent="0.2">
      <c r="A34" s="62">
        <v>25000</v>
      </c>
      <c r="C34" s="36">
        <f>+S34</f>
        <v>15490</v>
      </c>
      <c r="D34" s="36">
        <f>+W34</f>
        <v>21112.5</v>
      </c>
      <c r="E34" s="36">
        <f>+D34-C34</f>
        <v>5622.5</v>
      </c>
      <c r="F34" s="37">
        <f>ROUND(+E34/C34,4)</f>
        <v>0.36299999999999999</v>
      </c>
      <c r="G34" s="36">
        <f>ROUND($A34*$R$10,2)</f>
        <v>123803.21</v>
      </c>
      <c r="H34" s="36">
        <f>ROUND($A34*$R$11,2)</f>
        <v>422.3</v>
      </c>
      <c r="I34" s="36">
        <f>+$R$12</f>
        <v>1784.2028985507247</v>
      </c>
      <c r="J34" s="36">
        <f>+C34+G34+H34+I34</f>
        <v>141499.71289855073</v>
      </c>
      <c r="K34" s="36">
        <f>+D34+G34+H34+I34</f>
        <v>147122.21289855073</v>
      </c>
      <c r="L34" s="37">
        <f>ROUND((K34-J34)/J34,4)</f>
        <v>3.9699999999999999E-2</v>
      </c>
      <c r="Q34" s="38">
        <f>+$Q$20</f>
        <v>275</v>
      </c>
      <c r="R34" s="38">
        <f>ROUND($R$18*$A34,2)</f>
        <v>15215</v>
      </c>
      <c r="S34" s="38">
        <f>SUM(Q34:R34)</f>
        <v>15490</v>
      </c>
      <c r="U34" s="38">
        <f>+$U$20</f>
        <v>400</v>
      </c>
      <c r="V34" s="38">
        <f>ROUND($V$18*$A34,2)</f>
        <v>20712.5</v>
      </c>
      <c r="W34" s="38">
        <f>SUM(U34:V34)</f>
        <v>21112.5</v>
      </c>
    </row>
    <row r="35" spans="1:23" x14ac:dyDescent="0.2">
      <c r="J35" s="35"/>
      <c r="K35" s="35"/>
      <c r="L35" s="35"/>
    </row>
    <row r="36" spans="1:23" x14ac:dyDescent="0.2">
      <c r="A36" s="34" t="s">
        <v>125</v>
      </c>
      <c r="C36" s="61"/>
      <c r="D36" s="62"/>
      <c r="J36" s="36"/>
      <c r="K36" s="36"/>
      <c r="L36" s="37"/>
    </row>
    <row r="37" spans="1:23" x14ac:dyDescent="0.2">
      <c r="A37" s="65" t="str">
        <f>("Average usage = "&amp;TEXT(INPUT!F17,"0,000")&amp;" Mcf per month")</f>
        <v>Average usage = 5,803 Mcf per month</v>
      </c>
    </row>
    <row r="38" spans="1:23" x14ac:dyDescent="0.2">
      <c r="A38" s="67" t="s">
        <v>127</v>
      </c>
    </row>
    <row r="39" spans="1:23" x14ac:dyDescent="0.2">
      <c r="A39" s="84" t="str">
        <f>+'Rate Case Constants'!$C$26</f>
        <v>Calculations may vary from other schedules due to rounding</v>
      </c>
    </row>
  </sheetData>
  <mergeCells count="5">
    <mergeCell ref="G15:I15"/>
    <mergeCell ref="A1:L1"/>
    <mergeCell ref="A2:L2"/>
    <mergeCell ref="A3:L3"/>
    <mergeCell ref="A4:L4"/>
  </mergeCells>
  <printOptions horizontalCentered="1"/>
  <pageMargins left="0.7" right="0.7" top="0.75" bottom="0.75" header="0.3" footer="0.3"/>
  <pageSetup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9</vt:i4>
      </vt:variant>
    </vt:vector>
  </HeadingPairs>
  <TitlesOfParts>
    <vt:vector size="21" baseType="lpstr">
      <vt:lpstr>INPUT</vt:lpstr>
      <vt:lpstr>Rate Case Constants</vt:lpstr>
      <vt:lpstr>SCHEDULES===&gt;</vt:lpstr>
      <vt:lpstr>RGS_VFD</vt:lpstr>
      <vt:lpstr>CGS less than 5000cfh</vt:lpstr>
      <vt:lpstr>CGS greater than 5000cfh</vt:lpstr>
      <vt:lpstr>IGS less than 5000cfh</vt:lpstr>
      <vt:lpstr>IGS greater than 5000cfh</vt:lpstr>
      <vt:lpstr>AAGS</vt:lpstr>
      <vt:lpstr>DGGS less than 5000cfh</vt:lpstr>
      <vt:lpstr>DGGS greater than 5000cfh</vt:lpstr>
      <vt:lpstr>FT</vt:lpstr>
      <vt:lpstr>AAGS!Print_Area</vt:lpstr>
      <vt:lpstr>'CGS greater than 5000cfh'!Print_Area</vt:lpstr>
      <vt:lpstr>'CGS less than 5000cfh'!Print_Area</vt:lpstr>
      <vt:lpstr>'DGGS greater than 5000cfh'!Print_Area</vt:lpstr>
      <vt:lpstr>'DGGS less than 5000cfh'!Print_Area</vt:lpstr>
      <vt:lpstr>FT!Print_Area</vt:lpstr>
      <vt:lpstr>'IGS greater than 5000cfh'!Print_Area</vt:lpstr>
      <vt:lpstr>'IGS less than 5000cfh'!Print_Area</vt:lpstr>
      <vt:lpstr>RGS_VFD!Print_Area</vt:lpstr>
    </vt:vector>
  </TitlesOfParts>
  <Company>Information Technology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Schroeder</dc:creator>
  <cp:lastModifiedBy>Foxworthy, Carol</cp:lastModifiedBy>
  <cp:lastPrinted>2014-11-04T14:42:01Z</cp:lastPrinted>
  <dcterms:created xsi:type="dcterms:W3CDTF">2014-10-23T00:58:59Z</dcterms:created>
  <dcterms:modified xsi:type="dcterms:W3CDTF">2015-01-18T19:25:18Z</dcterms:modified>
</cp:coreProperties>
</file>