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710" yWindow="-15" windowWidth="18540" windowHeight="10455"/>
  </bookViews>
  <sheets>
    <sheet name="Administrative Charge" sheetId="7" r:id="rId1"/>
    <sheet name="Carrying Charge" sheetId="12" r:id="rId2"/>
    <sheet name="WACOC" sheetId="13" r:id="rId3"/>
    <sheet name="NPV" sheetId="14" r:id="rId4"/>
  </sheets>
  <externalReferences>
    <externalReference r:id="rId5"/>
    <externalReference r:id="rId6"/>
  </externalReferences>
  <calcPr calcId="145621" calcMode="manual"/>
</workbook>
</file>

<file path=xl/calcChain.xml><?xml version="1.0" encoding="utf-8"?>
<calcChain xmlns="http://schemas.openxmlformats.org/spreadsheetml/2006/main">
  <c r="E11" i="14" l="1"/>
  <c r="B12" i="13"/>
  <c r="L65" i="14" l="1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M30" i="14"/>
  <c r="K30" i="14"/>
  <c r="J30" i="14"/>
  <c r="B30" i="14"/>
  <c r="L19" i="14"/>
  <c r="L20" i="14" s="1"/>
  <c r="L21" i="14" s="1"/>
  <c r="L18" i="14"/>
  <c r="O14" i="14"/>
  <c r="O13" i="14"/>
  <c r="O12" i="14"/>
  <c r="O11" i="14"/>
  <c r="O10" i="14"/>
  <c r="O9" i="14"/>
  <c r="O8" i="14"/>
  <c r="D12" i="13"/>
  <c r="F12" i="13" s="1"/>
  <c r="D11" i="13"/>
  <c r="D10" i="13"/>
  <c r="F10" i="13" s="1"/>
  <c r="D13" i="13" l="1"/>
  <c r="E69" i="14"/>
  <c r="E67" i="14"/>
  <c r="E70" i="14"/>
  <c r="E68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N30" i="14"/>
  <c r="O30" i="14" s="1"/>
  <c r="Q30" i="14" s="1"/>
  <c r="C31" i="14"/>
  <c r="E31" i="14"/>
  <c r="E32" i="14"/>
  <c r="E33" i="14"/>
  <c r="E34" i="14"/>
  <c r="E35" i="14"/>
  <c r="E36" i="14"/>
  <c r="E37" i="14"/>
  <c r="E38" i="14"/>
  <c r="F11" i="13"/>
  <c r="F13" i="13" s="1"/>
  <c r="R30" i="14" l="1"/>
  <c r="F31" i="14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G31" i="14"/>
  <c r="H31" i="14" s="1"/>
  <c r="D31" i="14"/>
  <c r="C32" i="14" l="1"/>
  <c r="D32" i="14" s="1"/>
  <c r="M31" i="14"/>
  <c r="I31" i="14"/>
  <c r="C33" i="14" l="1"/>
  <c r="D33" i="14" s="1"/>
  <c r="M32" i="14"/>
  <c r="J31" i="14"/>
  <c r="O31" i="14" s="1"/>
  <c r="K31" i="14"/>
  <c r="N31" i="14" s="1"/>
  <c r="G32" i="14"/>
  <c r="H32" i="14" s="1"/>
  <c r="S31" i="14" l="1"/>
  <c r="Q31" i="14"/>
  <c r="C34" i="14"/>
  <c r="D34" i="14" s="1"/>
  <c r="M33" i="14"/>
  <c r="G33" i="14"/>
  <c r="H33" i="14" s="1"/>
  <c r="I32" i="14"/>
  <c r="C35" i="14" l="1"/>
  <c r="D35" i="14" s="1"/>
  <c r="M34" i="14"/>
  <c r="J32" i="14"/>
  <c r="K32" i="14"/>
  <c r="N32" i="14" s="1"/>
  <c r="G34" i="14"/>
  <c r="H34" i="14" s="1"/>
  <c r="R31" i="14"/>
  <c r="I33" i="14"/>
  <c r="I34" i="14" l="1"/>
  <c r="D36" i="14"/>
  <c r="C36" i="14"/>
  <c r="M35" i="14"/>
  <c r="J33" i="14"/>
  <c r="K33" i="14"/>
  <c r="N33" i="14" s="1"/>
  <c r="G35" i="14"/>
  <c r="H35" i="14" s="1"/>
  <c r="O32" i="14"/>
  <c r="O33" i="14" l="1"/>
  <c r="S33" i="14" s="1"/>
  <c r="Q33" i="14"/>
  <c r="C37" i="14"/>
  <c r="D37" i="14" s="1"/>
  <c r="M36" i="14"/>
  <c r="S32" i="14"/>
  <c r="Q32" i="14"/>
  <c r="G36" i="14"/>
  <c r="H36" i="14" s="1"/>
  <c r="J34" i="14"/>
  <c r="K34" i="14"/>
  <c r="N34" i="14" s="1"/>
  <c r="I35" i="14"/>
  <c r="O34" i="14" l="1"/>
  <c r="S34" i="14"/>
  <c r="Q34" i="14"/>
  <c r="C38" i="14"/>
  <c r="D38" i="14" s="1"/>
  <c r="M37" i="14"/>
  <c r="I37" i="14"/>
  <c r="J35" i="14"/>
  <c r="K35" i="14"/>
  <c r="N35" i="14" s="1"/>
  <c r="R32" i="14"/>
  <c r="R33" i="14" s="1"/>
  <c r="R34" i="14" s="1"/>
  <c r="G37" i="14"/>
  <c r="H37" i="14" s="1"/>
  <c r="I36" i="14"/>
  <c r="O35" i="14" l="1"/>
  <c r="S35" i="14" s="1"/>
  <c r="J36" i="14"/>
  <c r="K36" i="14"/>
  <c r="N36" i="14" s="1"/>
  <c r="C39" i="14"/>
  <c r="D39" i="14" s="1"/>
  <c r="M38" i="14"/>
  <c r="I38" i="14"/>
  <c r="J37" i="14"/>
  <c r="K37" i="14"/>
  <c r="N37" i="14" s="1"/>
  <c r="G38" i="14"/>
  <c r="H38" i="14" s="1"/>
  <c r="O37" i="14" l="1"/>
  <c r="S37" i="14" s="1"/>
  <c r="Q35" i="14"/>
  <c r="R35" i="14" s="1"/>
  <c r="Q37" i="14"/>
  <c r="J38" i="14"/>
  <c r="K38" i="14"/>
  <c r="N38" i="14" s="1"/>
  <c r="C40" i="14"/>
  <c r="D40" i="14" s="1"/>
  <c r="M39" i="14"/>
  <c r="I39" i="14"/>
  <c r="G39" i="14"/>
  <c r="H39" i="14" s="1"/>
  <c r="O36" i="14"/>
  <c r="O38" i="14" l="1"/>
  <c r="S38" i="14" s="1"/>
  <c r="C41" i="14"/>
  <c r="M40" i="14"/>
  <c r="I40" i="14"/>
  <c r="S36" i="14"/>
  <c r="Q36" i="14"/>
  <c r="K39" i="14"/>
  <c r="N39" i="14" s="1"/>
  <c r="J39" i="14"/>
  <c r="G40" i="14"/>
  <c r="H40" i="14" s="1"/>
  <c r="Q38" i="14"/>
  <c r="O39" i="14" l="1"/>
  <c r="Q39" i="14" s="1"/>
  <c r="R36" i="14"/>
  <c r="R37" i="14" s="1"/>
  <c r="R38" i="14" s="1"/>
  <c r="K40" i="14"/>
  <c r="N40" i="14" s="1"/>
  <c r="J40" i="14"/>
  <c r="G41" i="14"/>
  <c r="H41" i="14" s="1"/>
  <c r="D41" i="14"/>
  <c r="S39" i="14" l="1"/>
  <c r="O40" i="14"/>
  <c r="S40" i="14" s="1"/>
  <c r="R39" i="14"/>
  <c r="C42" i="14"/>
  <c r="D42" i="14" s="1"/>
  <c r="M41" i="14"/>
  <c r="I41" i="14"/>
  <c r="Q40" i="14" l="1"/>
  <c r="R40" i="14" s="1"/>
  <c r="C43" i="14"/>
  <c r="M42" i="14"/>
  <c r="I42" i="14"/>
  <c r="K41" i="14"/>
  <c r="N41" i="14" s="1"/>
  <c r="J41" i="14"/>
  <c r="G42" i="14"/>
  <c r="H42" i="14" s="1"/>
  <c r="K42" i="14" l="1"/>
  <c r="N42" i="14" s="1"/>
  <c r="J42" i="14"/>
  <c r="G43" i="14"/>
  <c r="H43" i="14" s="1"/>
  <c r="O41" i="14"/>
  <c r="D43" i="14"/>
  <c r="O42" i="14" l="1"/>
  <c r="Q41" i="14"/>
  <c r="R41" i="14" s="1"/>
  <c r="S41" i="14"/>
  <c r="C44" i="14"/>
  <c r="M43" i="14"/>
  <c r="I43" i="14"/>
  <c r="D44" i="14"/>
  <c r="Q42" i="14"/>
  <c r="S42" i="14"/>
  <c r="C45" i="14" l="1"/>
  <c r="D45" i="14" s="1"/>
  <c r="M44" i="14"/>
  <c r="I44" i="14"/>
  <c r="K43" i="14"/>
  <c r="N43" i="14" s="1"/>
  <c r="J43" i="14"/>
  <c r="G44" i="14"/>
  <c r="H44" i="14" s="1"/>
  <c r="R42" i="14"/>
  <c r="C46" i="14" l="1"/>
  <c r="D46" i="14" s="1"/>
  <c r="M45" i="14"/>
  <c r="I45" i="14"/>
  <c r="K44" i="14"/>
  <c r="N44" i="14" s="1"/>
  <c r="J44" i="14"/>
  <c r="G45" i="14"/>
  <c r="H45" i="14" s="1"/>
  <c r="O43" i="14"/>
  <c r="O44" i="14" l="1"/>
  <c r="Q44" i="14" s="1"/>
  <c r="C47" i="14"/>
  <c r="D47" i="14" s="1"/>
  <c r="M46" i="14"/>
  <c r="I46" i="14"/>
  <c r="S44" i="14"/>
  <c r="Q43" i="14"/>
  <c r="R43" i="14" s="1"/>
  <c r="S43" i="14"/>
  <c r="J45" i="14"/>
  <c r="K45" i="14"/>
  <c r="N45" i="14" s="1"/>
  <c r="G46" i="14"/>
  <c r="H46" i="14" s="1"/>
  <c r="O45" i="14" l="1"/>
  <c r="R44" i="14"/>
  <c r="R45" i="14" s="1"/>
  <c r="C48" i="14"/>
  <c r="D48" i="14" s="1"/>
  <c r="M47" i="14"/>
  <c r="I47" i="14"/>
  <c r="S45" i="14"/>
  <c r="Q45" i="14"/>
  <c r="J46" i="14"/>
  <c r="K46" i="14"/>
  <c r="N46" i="14" s="1"/>
  <c r="G47" i="14"/>
  <c r="H47" i="14" s="1"/>
  <c r="C49" i="14" l="1"/>
  <c r="D49" i="14" s="1"/>
  <c r="M48" i="14"/>
  <c r="I48" i="14"/>
  <c r="J47" i="14"/>
  <c r="O47" i="14" s="1"/>
  <c r="K47" i="14"/>
  <c r="N47" i="14" s="1"/>
  <c r="G48" i="14"/>
  <c r="H48" i="14" s="1"/>
  <c r="O46" i="14"/>
  <c r="C50" i="14" l="1"/>
  <c r="D50" i="14" s="1"/>
  <c r="M49" i="14"/>
  <c r="I49" i="14"/>
  <c r="S46" i="14"/>
  <c r="Q46" i="14"/>
  <c r="R46" i="14" s="1"/>
  <c r="S47" i="14"/>
  <c r="Q47" i="14"/>
  <c r="J48" i="14"/>
  <c r="K48" i="14"/>
  <c r="N48" i="14" s="1"/>
  <c r="G49" i="14"/>
  <c r="H49" i="14" s="1"/>
  <c r="C51" i="14" l="1"/>
  <c r="D51" i="14" s="1"/>
  <c r="M50" i="14"/>
  <c r="I50" i="14"/>
  <c r="R47" i="14"/>
  <c r="J49" i="14"/>
  <c r="K49" i="14"/>
  <c r="N49" i="14" s="1"/>
  <c r="G50" i="14"/>
  <c r="H50" i="14" s="1"/>
  <c r="O48" i="14"/>
  <c r="O49" i="14" l="1"/>
  <c r="C52" i="14"/>
  <c r="M51" i="14"/>
  <c r="I51" i="14"/>
  <c r="S49" i="14"/>
  <c r="Q49" i="14"/>
  <c r="S48" i="14"/>
  <c r="Q48" i="14"/>
  <c r="J50" i="14"/>
  <c r="K50" i="14"/>
  <c r="N50" i="14" s="1"/>
  <c r="G51" i="14"/>
  <c r="H51" i="14" s="1"/>
  <c r="R48" i="14"/>
  <c r="R49" i="14" s="1"/>
  <c r="J51" i="14" l="1"/>
  <c r="K51" i="14"/>
  <c r="N51" i="14" s="1"/>
  <c r="G52" i="14"/>
  <c r="H52" i="14" s="1"/>
  <c r="O50" i="14"/>
  <c r="D52" i="14"/>
  <c r="S50" i="14" l="1"/>
  <c r="Q50" i="14"/>
  <c r="R50" i="14" s="1"/>
  <c r="C53" i="14"/>
  <c r="M52" i="14"/>
  <c r="I52" i="14"/>
  <c r="O51" i="14"/>
  <c r="G53" i="14" l="1"/>
  <c r="H53" i="14" s="1"/>
  <c r="J52" i="14"/>
  <c r="K52" i="14"/>
  <c r="N52" i="14" s="1"/>
  <c r="S51" i="14"/>
  <c r="Q51" i="14"/>
  <c r="R51" i="14" s="1"/>
  <c r="D53" i="14"/>
  <c r="C54" i="14" l="1"/>
  <c r="M53" i="14"/>
  <c r="I53" i="14"/>
  <c r="O52" i="14"/>
  <c r="J53" i="14" l="1"/>
  <c r="K53" i="14"/>
  <c r="N53" i="14" s="1"/>
  <c r="G54" i="14"/>
  <c r="H54" i="14" s="1"/>
  <c r="S52" i="14"/>
  <c r="Q52" i="14"/>
  <c r="R52" i="14" s="1"/>
  <c r="D54" i="14"/>
  <c r="O53" i="14" l="1"/>
  <c r="D55" i="14"/>
  <c r="C55" i="14"/>
  <c r="M54" i="14"/>
  <c r="I54" i="14"/>
  <c r="S53" i="14"/>
  <c r="Q53" i="14"/>
  <c r="R53" i="14" s="1"/>
  <c r="C56" i="14" l="1"/>
  <c r="D56" i="14" s="1"/>
  <c r="M55" i="14"/>
  <c r="I55" i="14"/>
  <c r="J54" i="14"/>
  <c r="K54" i="14"/>
  <c r="N54" i="14" s="1"/>
  <c r="G55" i="14"/>
  <c r="H55" i="14" s="1"/>
  <c r="O54" i="14" l="1"/>
  <c r="S54" i="14" s="1"/>
  <c r="Q54" i="14"/>
  <c r="R54" i="14" s="1"/>
  <c r="D57" i="14"/>
  <c r="C57" i="14"/>
  <c r="M56" i="14"/>
  <c r="I56" i="14"/>
  <c r="J55" i="14"/>
  <c r="K55" i="14"/>
  <c r="N55" i="14" s="1"/>
  <c r="G56" i="14"/>
  <c r="H56" i="14" s="1"/>
  <c r="O55" i="14" l="1"/>
  <c r="S55" i="14" s="1"/>
  <c r="C58" i="14"/>
  <c r="D58" i="14" s="1"/>
  <c r="M57" i="14"/>
  <c r="I57" i="14"/>
  <c r="J56" i="14"/>
  <c r="K56" i="14"/>
  <c r="N56" i="14" s="1"/>
  <c r="G57" i="14"/>
  <c r="H57" i="14" s="1"/>
  <c r="Q55" i="14" l="1"/>
  <c r="R55" i="14" s="1"/>
  <c r="C59" i="14"/>
  <c r="M58" i="14"/>
  <c r="I58" i="14"/>
  <c r="J57" i="14"/>
  <c r="K57" i="14"/>
  <c r="N57" i="14" s="1"/>
  <c r="G58" i="14"/>
  <c r="H58" i="14" s="1"/>
  <c r="O56" i="14"/>
  <c r="S56" i="14" l="1"/>
  <c r="Q56" i="14"/>
  <c r="R56" i="14" s="1"/>
  <c r="J58" i="14"/>
  <c r="K58" i="14"/>
  <c r="N58" i="14" s="1"/>
  <c r="G59" i="14"/>
  <c r="H59" i="14" s="1"/>
  <c r="O57" i="14"/>
  <c r="D59" i="14"/>
  <c r="D60" i="14" l="1"/>
  <c r="C60" i="14"/>
  <c r="M59" i="14"/>
  <c r="I59" i="14"/>
  <c r="S57" i="14"/>
  <c r="Q57" i="14"/>
  <c r="R57" i="14" s="1"/>
  <c r="O58" i="14"/>
  <c r="C61" i="14" l="1"/>
  <c r="M60" i="14"/>
  <c r="I60" i="14"/>
  <c r="S58" i="14"/>
  <c r="Q58" i="14"/>
  <c r="R58" i="14" s="1"/>
  <c r="J59" i="14"/>
  <c r="K59" i="14"/>
  <c r="N59" i="14" s="1"/>
  <c r="G60" i="14"/>
  <c r="H60" i="14" s="1"/>
  <c r="J60" i="14" l="1"/>
  <c r="K60" i="14"/>
  <c r="N60" i="14" s="1"/>
  <c r="G61" i="14"/>
  <c r="H61" i="14" s="1"/>
  <c r="O59" i="14"/>
  <c r="D61" i="14"/>
  <c r="S59" i="14" l="1"/>
  <c r="Q59" i="14"/>
  <c r="R59" i="14" s="1"/>
  <c r="C62" i="14"/>
  <c r="D62" i="14" s="1"/>
  <c r="M61" i="14"/>
  <c r="I61" i="14"/>
  <c r="O60" i="14"/>
  <c r="C63" i="14" l="1"/>
  <c r="D63" i="14" s="1"/>
  <c r="M62" i="14"/>
  <c r="I62" i="14"/>
  <c r="S60" i="14"/>
  <c r="Q60" i="14"/>
  <c r="Q72" i="14" s="1"/>
  <c r="J61" i="14"/>
  <c r="K61" i="14"/>
  <c r="N61" i="14" s="1"/>
  <c r="G62" i="14"/>
  <c r="H62" i="14" s="1"/>
  <c r="R60" i="14"/>
  <c r="O61" i="14" l="1"/>
  <c r="S61" i="14" s="1"/>
  <c r="C64" i="14"/>
  <c r="D64" i="14" s="1"/>
  <c r="M63" i="14"/>
  <c r="I63" i="14"/>
  <c r="J62" i="14"/>
  <c r="K62" i="14"/>
  <c r="N62" i="14" s="1"/>
  <c r="G63" i="14"/>
  <c r="H63" i="14" s="1"/>
  <c r="Q61" i="14" l="1"/>
  <c r="R61" i="14" s="1"/>
  <c r="O62" i="14"/>
  <c r="Q62" i="14" s="1"/>
  <c r="R62" i="14" s="1"/>
  <c r="C65" i="14"/>
  <c r="D65" i="14" s="1"/>
  <c r="M64" i="14"/>
  <c r="I64" i="14"/>
  <c r="S62" i="14"/>
  <c r="J63" i="14"/>
  <c r="K63" i="14"/>
  <c r="N63" i="14" s="1"/>
  <c r="G64" i="14"/>
  <c r="H64" i="14" s="1"/>
  <c r="O63" i="14" l="1"/>
  <c r="C66" i="14"/>
  <c r="D66" i="14" s="1"/>
  <c r="M65" i="14"/>
  <c r="I65" i="14"/>
  <c r="S63" i="14"/>
  <c r="Q63" i="14"/>
  <c r="R63" i="14" s="1"/>
  <c r="J64" i="14"/>
  <c r="K64" i="14"/>
  <c r="N64" i="14" s="1"/>
  <c r="G65" i="14"/>
  <c r="H65" i="14" s="1"/>
  <c r="O64" i="14" l="1"/>
  <c r="S64" i="14" s="1"/>
  <c r="C67" i="14"/>
  <c r="M66" i="14"/>
  <c r="D67" i="14"/>
  <c r="I66" i="14"/>
  <c r="Q64" i="14"/>
  <c r="R64" i="14" s="1"/>
  <c r="J65" i="14"/>
  <c r="K65" i="14"/>
  <c r="N65" i="14" s="1"/>
  <c r="G66" i="14"/>
  <c r="H66" i="14" s="1"/>
  <c r="O65" i="14" l="1"/>
  <c r="S65" i="14" s="1"/>
  <c r="Q65" i="14"/>
  <c r="R65" i="14" s="1"/>
  <c r="I67" i="14"/>
  <c r="C68" i="14"/>
  <c r="M67" i="14"/>
  <c r="G67" i="14"/>
  <c r="H67" i="14" s="1"/>
  <c r="J66" i="14"/>
  <c r="K66" i="14"/>
  <c r="N66" i="14" s="1"/>
  <c r="K67" i="14" l="1"/>
  <c r="N67" i="14" s="1"/>
  <c r="J67" i="14"/>
  <c r="O66" i="14"/>
  <c r="G68" i="14"/>
  <c r="H68" i="14" s="1"/>
  <c r="D68" i="14"/>
  <c r="O67" i="14" l="1"/>
  <c r="S67" i="14" s="1"/>
  <c r="C69" i="14"/>
  <c r="D69" i="14" s="1"/>
  <c r="M68" i="14"/>
  <c r="I68" i="14"/>
  <c r="S66" i="14"/>
  <c r="Q66" i="14"/>
  <c r="R66" i="14" s="1"/>
  <c r="Q67" i="14" l="1"/>
  <c r="R67" i="14"/>
  <c r="J68" i="14"/>
  <c r="K68" i="14"/>
  <c r="N68" i="14" s="1"/>
  <c r="I69" i="14"/>
  <c r="C70" i="14"/>
  <c r="M69" i="14"/>
  <c r="G69" i="14"/>
  <c r="H69" i="14" s="1"/>
  <c r="O68" i="14" l="1"/>
  <c r="K69" i="14"/>
  <c r="N69" i="14" s="1"/>
  <c r="J69" i="14"/>
  <c r="S68" i="14"/>
  <c r="Q68" i="14"/>
  <c r="R68" i="14" s="1"/>
  <c r="G70" i="14"/>
  <c r="H70" i="14" s="1"/>
  <c r="D70" i="14"/>
  <c r="O69" i="14" l="1"/>
  <c r="S69" i="14" s="1"/>
  <c r="M70" i="14"/>
  <c r="I70" i="14"/>
  <c r="Q69" i="14"/>
  <c r="R69" i="14" s="1"/>
  <c r="J70" i="14" l="1"/>
  <c r="K70" i="14"/>
  <c r="N70" i="14" s="1"/>
  <c r="O70" i="14" l="1"/>
  <c r="Q70" i="14" s="1"/>
  <c r="S70" i="14"/>
  <c r="Q71" i="14" l="1"/>
  <c r="E19" i="14" s="1"/>
  <c r="R70" i="14"/>
  <c r="E18" i="14" l="1"/>
  <c r="O18" i="14" s="1"/>
  <c r="O19" i="14" l="1"/>
  <c r="E20" i="14"/>
  <c r="G33" i="12" s="1"/>
  <c r="E21" i="14" l="1"/>
  <c r="O21" i="14" s="1"/>
  <c r="O20" i="14"/>
  <c r="G37" i="12" l="1"/>
  <c r="G20" i="12"/>
  <c r="E20" i="12"/>
  <c r="C20" i="12"/>
  <c r="F20" i="12" s="1"/>
  <c r="G19" i="12"/>
  <c r="E19" i="12"/>
  <c r="C19" i="12"/>
  <c r="G18" i="12"/>
  <c r="E18" i="12"/>
  <c r="C18" i="12"/>
  <c r="G17" i="12"/>
  <c r="E17" i="12"/>
  <c r="C17" i="12"/>
  <c r="G16" i="12"/>
  <c r="E16" i="12"/>
  <c r="C16" i="12"/>
  <c r="G35" i="7"/>
  <c r="F17" i="12" l="1"/>
  <c r="H17" i="12" s="1"/>
  <c r="F16" i="12"/>
  <c r="F19" i="12"/>
  <c r="H19" i="12" s="1"/>
  <c r="F18" i="12"/>
  <c r="H18" i="12" s="1"/>
  <c r="H16" i="12"/>
  <c r="I16" i="12" s="1"/>
  <c r="I17" i="12" s="1"/>
  <c r="H20" i="12"/>
  <c r="D16" i="12"/>
  <c r="D17" i="12" s="1"/>
  <c r="D18" i="12" s="1"/>
  <c r="D19" i="12" s="1"/>
  <c r="D20" i="12" s="1"/>
  <c r="I18" i="12" l="1"/>
  <c r="I19" i="12" s="1"/>
  <c r="I20" i="12" s="1"/>
  <c r="I22" i="12" s="1"/>
  <c r="G27" i="12" s="1"/>
  <c r="G31" i="12" s="1"/>
  <c r="G35" i="12" s="1"/>
  <c r="G42" i="12" l="1"/>
  <c r="G15" i="7" s="1"/>
  <c r="I15" i="7" l="1"/>
  <c r="I18" i="7" s="1"/>
  <c r="I37" i="7"/>
  <c r="I27" i="7"/>
  <c r="I26" i="7"/>
  <c r="I28" i="7" s="1"/>
  <c r="I31" i="7" l="1"/>
  <c r="I39" i="7" s="1"/>
</calcChain>
</file>

<file path=xl/sharedStrings.xml><?xml version="1.0" encoding="utf-8"?>
<sst xmlns="http://schemas.openxmlformats.org/spreadsheetml/2006/main" count="175" uniqueCount="112">
  <si>
    <t>LOUISVILLE GAS AND ELECTRIC COMPANY</t>
  </si>
  <si>
    <t>Loaded Rate</t>
  </si>
  <si>
    <t>Total</t>
  </si>
  <si>
    <t>Billing Integrity</t>
  </si>
  <si>
    <t>Gas Supply</t>
  </si>
  <si>
    <t>Gas Control</t>
  </si>
  <si>
    <t>Charge</t>
  </si>
  <si>
    <t>Rate FT</t>
  </si>
  <si>
    <t>Subtotal</t>
  </si>
  <si>
    <t>Units</t>
  </si>
  <si>
    <t>Hours</t>
  </si>
  <si>
    <t>Labor</t>
  </si>
  <si>
    <t>Eagle Talon Data Acquisition System</t>
  </si>
  <si>
    <t>Estimated</t>
  </si>
  <si>
    <t>Expenses</t>
  </si>
  <si>
    <t xml:space="preserve">   System Cost</t>
  </si>
  <si>
    <t xml:space="preserve">   Carrying Charge Rate (5-Year Life)</t>
  </si>
  <si>
    <t xml:space="preserve">   Annual Software License Renewal Fee</t>
  </si>
  <si>
    <t>Rider TS-2</t>
  </si>
  <si>
    <t>Less Pool Member Revenues</t>
  </si>
  <si>
    <t>Pool Member Revenue Subtotal</t>
  </si>
  <si>
    <t>Number of Customers</t>
  </si>
  <si>
    <t>Administrative Charge for Rider TS-2 and Rate FT Customers</t>
  </si>
  <si>
    <t>DETERMINATION OF ADMINISTRATIVE CHARGES UNDER RIDER TS-2 AND RATE FT</t>
  </si>
  <si>
    <t>Louisville Gas &amp; Electric Company</t>
  </si>
  <si>
    <t>Present Value of Replacement Plant as a Percentage of Original Cost</t>
  </si>
  <si>
    <t>Cumulative</t>
  </si>
  <si>
    <t>Present</t>
  </si>
  <si>
    <t>5-Year R3</t>
  </si>
  <si>
    <t>Cost Escalation</t>
  </si>
  <si>
    <t>Present Value</t>
  </si>
  <si>
    <t>Value of</t>
  </si>
  <si>
    <t>Iowa Curve</t>
  </si>
  <si>
    <t>Annual</t>
  </si>
  <si>
    <t>Factor at a</t>
  </si>
  <si>
    <t>Nominal</t>
  </si>
  <si>
    <t xml:space="preserve">Percent </t>
  </si>
  <si>
    <t>Replacement</t>
  </si>
  <si>
    <t>Replaced</t>
  </si>
  <si>
    <t>Year</t>
  </si>
  <si>
    <t>Surviving</t>
  </si>
  <si>
    <t>Percentage</t>
  </si>
  <si>
    <t>Inflation Factor</t>
  </si>
  <si>
    <t>Cost</t>
  </si>
  <si>
    <t>Discount Rate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</si>
  <si>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</si>
  <si>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</si>
  <si>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</si>
  <si>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</si>
  <si>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</si>
  <si>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</si>
  <si>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</si>
  <si>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</si>
  <si>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</si>
  <si>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(3) x (5)</t>
  </si>
  <si>
    <t>(6) x (7)</t>
  </si>
  <si>
    <t>Gas Meter Pulse Charge</t>
  </si>
  <si>
    <t>Original Cost Basis (100)</t>
  </si>
  <si>
    <t>Total Present Value of Original and Replacement Cost Value as a Percentage of Original Cost</t>
  </si>
  <si>
    <t>Monthly Carrying Charge Percentage (Levelized Carrying Charge Rate / 12 months)</t>
  </si>
  <si>
    <t>Applicable Carrying Charge Charge Percentage (Lines 3 x 4)</t>
  </si>
  <si>
    <t>O&amp;M Percentage</t>
  </si>
  <si>
    <t>Total Monthly Revenue Requirement as Percentage of Original Cost</t>
  </si>
  <si>
    <t>Forecasted Distribution O&amp;M 12 Months Ended June 30, 2016</t>
  </si>
  <si>
    <t>Forecasted Distribution Plant in Service as June 30, 2016</t>
  </si>
  <si>
    <t>Levelized Carrying Charge Analysis</t>
  </si>
  <si>
    <t>Capital Structure:</t>
  </si>
  <si>
    <t>Weighted</t>
  </si>
  <si>
    <t>Adjusted</t>
  </si>
  <si>
    <t>Percent</t>
  </si>
  <si>
    <t>Rate</t>
  </si>
  <si>
    <t>COC</t>
  </si>
  <si>
    <t>Tax Rate</t>
  </si>
  <si>
    <t>Short-Term Debt</t>
  </si>
  <si>
    <t>Long-Term Debt</t>
  </si>
  <si>
    <t>Common Equity</t>
  </si>
  <si>
    <t>Tax Depreciation Table (MACRS)</t>
  </si>
  <si>
    <t>Assumptions:</t>
  </si>
  <si>
    <t xml:space="preserve">   Investment</t>
  </si>
  <si>
    <t xml:space="preserve">   Book Life</t>
  </si>
  <si>
    <t xml:space="preserve">   Tax Life</t>
  </si>
  <si>
    <t xml:space="preserve">   Composite Tax Rate</t>
  </si>
  <si>
    <t xml:space="preserve">   Property Tax Rate</t>
  </si>
  <si>
    <t xml:space="preserve">   Levelized Revenue Requirement Years</t>
  </si>
  <si>
    <t xml:space="preserve">   O&amp;M as Percent of Investment</t>
  </si>
  <si>
    <t>Results:</t>
  </si>
  <si>
    <t xml:space="preserve">   Present Value Revenue Requirement</t>
  </si>
  <si>
    <t xml:space="preserve">   Levelized Revenue Requirement</t>
  </si>
  <si>
    <t xml:space="preserve">   Levelized Carrying Charge Rate</t>
  </si>
  <si>
    <t xml:space="preserve">   Level of Investment that can be Supported by Revenue</t>
  </si>
  <si>
    <t>Times Net Revenue</t>
  </si>
  <si>
    <t>Accumulated</t>
  </si>
  <si>
    <t>Value</t>
  </si>
  <si>
    <t>Carrying</t>
  </si>
  <si>
    <t>Book</t>
  </si>
  <si>
    <t>Residual</t>
  </si>
  <si>
    <t>Tax</t>
  </si>
  <si>
    <t xml:space="preserve">Deferred </t>
  </si>
  <si>
    <t xml:space="preserve">Property </t>
  </si>
  <si>
    <t>Income</t>
  </si>
  <si>
    <t>Revenue</t>
  </si>
  <si>
    <t>Interest</t>
  </si>
  <si>
    <t>Investment</t>
  </si>
  <si>
    <t>Depreciation</t>
  </si>
  <si>
    <t>Plant</t>
  </si>
  <si>
    <t>Income Tax</t>
  </si>
  <si>
    <t>Rate Base</t>
  </si>
  <si>
    <t>Equity</t>
  </si>
  <si>
    <t>O&amp;M</t>
  </si>
  <si>
    <t>Taxes</t>
  </si>
  <si>
    <t>Requirement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</si>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</sst>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540A]#,##0_);\([$$-540A]#,##0\)"/>
    <numFmt numFmtId="165" formatCode="[$$-540A]#,##0.00_);\([$$-540A]#,##0.00\)"/>
    <numFmt numFmtId="166" formatCode="_(* #,##0.0000_);_(* \(#,##0.0000\);_(* &quot;-&quot;??_);_(@_)"/>
    <numFmt numFmtId="167" formatCode="_(* #,##0_);_(* \(#,##0\);_(* &quot;-&quot;??_);_(@_)"/>
    <numFmt numFmtId="168" formatCode="_(* #,##0.00000_);_(* \(#,##0.00000\);_(* &quot;-&quot;??_);_(@_)"/>
    <numFmt numFmtId="169" formatCode="_(&quot;$&quot;* #,##0_);_(&quot;$&quot;* \(#,##0\);_(&quot;$&quot;* &quot;-&quot;??_);_(@_)"/>
    <numFmt numFmtId="170" formatCode="0.000%"/>
    <numFmt numFmtId="171" formatCode="0.0000%"/>
    <numFmt numFmtId="172" formatCode="_(* #,##0.000000_);_(* \(#,##0.0000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7" fontId="0" fillId="0" borderId="0" xfId="0" applyNumberFormat="1" applyFill="1"/>
    <xf numFmtId="37" fontId="0" fillId="0" borderId="0" xfId="0" applyNumberFormat="1" applyFill="1"/>
    <xf numFmtId="0" fontId="1" fillId="0" borderId="0" xfId="0" applyFont="1" applyFill="1" applyAlignment="1">
      <alignment horizontal="right"/>
    </xf>
    <xf numFmtId="5" fontId="0" fillId="0" borderId="0" xfId="0" applyNumberFormat="1" applyFill="1"/>
    <xf numFmtId="0" fontId="1" fillId="0" borderId="0" xfId="0" applyFont="1" applyFill="1"/>
    <xf numFmtId="0" fontId="1" fillId="0" borderId="1" xfId="0" applyFont="1" applyFill="1" applyBorder="1"/>
    <xf numFmtId="0" fontId="0" fillId="0" borderId="0" xfId="0" quotePrefix="1" applyFill="1"/>
    <xf numFmtId="0" fontId="0" fillId="0" borderId="0" xfId="0" applyFont="1" applyFill="1"/>
    <xf numFmtId="0" fontId="1" fillId="0" borderId="0" xfId="0" quotePrefix="1" applyFont="1" applyFill="1"/>
    <xf numFmtId="164" fontId="0" fillId="0" borderId="0" xfId="0" applyNumberFormat="1" applyFill="1"/>
    <xf numFmtId="164" fontId="0" fillId="0" borderId="2" xfId="0" applyNumberFormat="1" applyFill="1" applyBorder="1"/>
    <xf numFmtId="37" fontId="0" fillId="0" borderId="2" xfId="0" applyNumberFormat="1" applyFill="1" applyBorder="1"/>
    <xf numFmtId="165" fontId="1" fillId="0" borderId="2" xfId="0" applyNumberFormat="1" applyFont="1" applyFill="1" applyBorder="1"/>
    <xf numFmtId="10" fontId="0" fillId="2" borderId="0" xfId="0" applyNumberFormat="1" applyFill="1"/>
    <xf numFmtId="37" fontId="0" fillId="2" borderId="0" xfId="0" applyNumberFormat="1" applyFill="1"/>
    <xf numFmtId="164" fontId="0" fillId="0" borderId="3" xfId="0" applyNumberFormat="1" applyFill="1" applyBorder="1"/>
    <xf numFmtId="0" fontId="1" fillId="0" borderId="0" xfId="0" quotePrefix="1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0" fontId="4" fillId="0" borderId="0" xfId="3" applyNumberFormat="1" applyFont="1" applyFill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166" fontId="4" fillId="0" borderId="0" xfId="2" applyNumberFormat="1" applyFont="1" applyFill="1"/>
    <xf numFmtId="166" fontId="4" fillId="0" borderId="0" xfId="0" applyNumberFormat="1" applyFont="1"/>
    <xf numFmtId="166" fontId="4" fillId="0" borderId="0" xfId="2" applyNumberFormat="1" applyFont="1"/>
    <xf numFmtId="166" fontId="4" fillId="0" borderId="4" xfId="0" applyNumberFormat="1" applyFont="1" applyBorder="1"/>
    <xf numFmtId="43" fontId="4" fillId="0" borderId="0" xfId="0" applyNumberFormat="1" applyFont="1" applyBorder="1"/>
    <xf numFmtId="0" fontId="4" fillId="0" borderId="0" xfId="0" applyFont="1" applyBorder="1"/>
    <xf numFmtId="167" fontId="4" fillId="0" borderId="0" xfId="2" applyNumberFormat="1" applyFont="1"/>
    <xf numFmtId="167" fontId="4" fillId="0" borderId="0" xfId="2" applyNumberFormat="1" applyFont="1" applyBorder="1"/>
    <xf numFmtId="43" fontId="4" fillId="0" borderId="0" xfId="0" applyNumberFormat="1" applyFont="1"/>
    <xf numFmtId="0" fontId="6" fillId="0" borderId="0" xfId="0" applyFont="1"/>
    <xf numFmtId="0" fontId="6" fillId="0" borderId="0" xfId="0" applyFont="1" applyBorder="1"/>
    <xf numFmtId="168" fontId="6" fillId="0" borderId="0" xfId="0" applyNumberFormat="1" applyFont="1"/>
    <xf numFmtId="168" fontId="6" fillId="0" borderId="0" xfId="2" applyNumberFormat="1" applyFont="1" applyBorder="1"/>
    <xf numFmtId="10" fontId="6" fillId="0" borderId="0" xfId="3" applyNumberFormat="1" applyFont="1"/>
    <xf numFmtId="10" fontId="6" fillId="0" borderId="0" xfId="3" applyNumberFormat="1" applyFont="1" applyBorder="1"/>
    <xf numFmtId="10" fontId="6" fillId="0" borderId="0" xfId="0" applyNumberFormat="1" applyFont="1" applyBorder="1"/>
    <xf numFmtId="10" fontId="6" fillId="0" borderId="0" xfId="0" applyNumberFormat="1" applyFont="1"/>
    <xf numFmtId="169" fontId="6" fillId="0" borderId="0" xfId="4" applyNumberFormat="1" applyFont="1" applyFill="1"/>
    <xf numFmtId="169" fontId="6" fillId="0" borderId="0" xfId="0" applyNumberFormat="1" applyFont="1" applyFill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69" fontId="6" fillId="0" borderId="0" xfId="4" applyNumberFormat="1" applyFont="1"/>
    <xf numFmtId="44" fontId="6" fillId="0" borderId="0" xfId="4" applyFont="1"/>
    <xf numFmtId="44" fontId="6" fillId="0" borderId="0" xfId="4" applyFont="1" applyBorder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10" fontId="4" fillId="0" borderId="0" xfId="5" applyNumberFormat="1" applyFont="1" applyFill="1"/>
    <xf numFmtId="10" fontId="4" fillId="0" borderId="0" xfId="0" applyNumberFormat="1" applyFont="1" applyFill="1"/>
    <xf numFmtId="10" fontId="4" fillId="0" borderId="0" xfId="0" applyNumberFormat="1" applyFont="1" applyFill="1" applyAlignment="1">
      <alignment horizontal="right"/>
    </xf>
    <xf numFmtId="10" fontId="4" fillId="0" borderId="1" xfId="5" applyNumberFormat="1" applyFont="1" applyFill="1" applyBorder="1"/>
    <xf numFmtId="10" fontId="4" fillId="0" borderId="1" xfId="0" applyNumberFormat="1" applyFont="1" applyFill="1" applyBorder="1"/>
    <xf numFmtId="170" fontId="4" fillId="0" borderId="0" xfId="5" applyNumberFormat="1" applyFont="1"/>
    <xf numFmtId="10" fontId="4" fillId="0" borderId="0" xfId="5" applyNumberFormat="1" applyFont="1"/>
    <xf numFmtId="170" fontId="4" fillId="0" borderId="0" xfId="6" applyNumberFormat="1" applyFont="1"/>
    <xf numFmtId="170" fontId="4" fillId="0" borderId="0" xfId="5" applyNumberFormat="1" applyFont="1" applyFill="1"/>
    <xf numFmtId="170" fontId="4" fillId="0" borderId="0" xfId="0" applyNumberFormat="1" applyFont="1"/>
    <xf numFmtId="0" fontId="4" fillId="0" borderId="0" xfId="0" quotePrefix="1" applyFont="1"/>
    <xf numFmtId="169" fontId="4" fillId="0" borderId="0" xfId="4" applyNumberFormat="1" applyFont="1"/>
    <xf numFmtId="171" fontId="4" fillId="0" borderId="0" xfId="5" applyNumberFormat="1" applyFont="1"/>
    <xf numFmtId="169" fontId="4" fillId="0" borderId="0" xfId="0" applyNumberFormat="1" applyFont="1"/>
    <xf numFmtId="6" fontId="4" fillId="0" borderId="0" xfId="0" applyNumberFormat="1" applyFont="1"/>
    <xf numFmtId="43" fontId="4" fillId="0" borderId="0" xfId="7" applyFont="1"/>
    <xf numFmtId="0" fontId="7" fillId="0" borderId="0" xfId="0" applyFont="1" applyAlignment="1">
      <alignment horizontal="right"/>
    </xf>
    <xf numFmtId="44" fontId="4" fillId="0" borderId="0" xfId="4" applyFont="1"/>
    <xf numFmtId="167" fontId="4" fillId="0" borderId="0" xfId="0" applyNumberFormat="1" applyFont="1"/>
    <xf numFmtId="167" fontId="4" fillId="0" borderId="0" xfId="7" applyNumberFormat="1" applyFont="1"/>
    <xf numFmtId="172" fontId="4" fillId="0" borderId="0" xfId="7" applyNumberFormat="1" applyFont="1"/>
    <xf numFmtId="169" fontId="4" fillId="0" borderId="0" xfId="4" applyNumberFormat="1" applyFont="1" applyAlignment="1"/>
    <xf numFmtId="37" fontId="4" fillId="0" borderId="0" xfId="4" applyNumberFormat="1" applyFont="1"/>
    <xf numFmtId="167" fontId="4" fillId="0" borderId="0" xfId="7" applyNumberFormat="1" applyFont="1" applyAlignment="1"/>
    <xf numFmtId="168" fontId="4" fillId="0" borderId="0" xfId="7" applyNumberFormat="1" applyFont="1"/>
    <xf numFmtId="10" fontId="4" fillId="0" borderId="0" xfId="0" applyNumberFormat="1" applyFont="1"/>
    <xf numFmtId="169" fontId="4" fillId="0" borderId="1" xfId="4" applyNumberFormat="1" applyFont="1" applyBorder="1" applyAlignment="1"/>
    <xf numFmtId="0" fontId="7" fillId="0" borderId="1" xfId="0" applyFont="1" applyBorder="1" applyAlignment="1">
      <alignment horizontal="center"/>
    </xf>
  </cellXfs>
  <cellStyles count="8">
    <cellStyle name="Comma" xfId="2" builtinId="3"/>
    <cellStyle name="Comma 2" xfId="7"/>
    <cellStyle name="Currency 2 2" xfId="4"/>
    <cellStyle name="Normal" xfId="0" builtinId="0"/>
    <cellStyle name="Normal 3" xfId="1"/>
    <cellStyle name="Percent" xfId="3" builtinId="5"/>
    <cellStyle name="Percent 2" xfId="5"/>
    <cellStyle name="Percent 2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Meter%20Pulse%20Charge/Gas%20Meter%20Pulse%20Relaying%20Charge%20-%20Cost%20Sup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&amp;E/2012%20KU-LGEE-LGEG%20Rate%20Case/Gas%20COS/Admin%20Charges%20FT%20&amp;%20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Year"/>
      <sheetName val="WACOC-Tax Table"/>
      <sheetName val="NPV"/>
    </sheetNames>
    <sheetDataSet>
      <sheetData sheetId="0" refreshError="1"/>
      <sheetData sheetId="1" refreshError="1">
        <row r="10">
          <cell r="E10">
            <v>2.1275150000000003E-2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Exhibit XY"/>
      <sheetName val="5-Year"/>
      <sheetName val="WACOC-Tax Table"/>
      <sheetName val="NPV"/>
    </sheetNames>
    <sheetDataSet>
      <sheetData sheetId="0"/>
      <sheetData sheetId="1"/>
      <sheetData sheetId="2">
        <row r="11">
          <cell r="D11">
            <v>1.6768080000000001E-2</v>
          </cell>
        </row>
        <row r="12">
          <cell r="D12">
            <v>6.1204000000000001E-2</v>
          </cell>
        </row>
        <row r="17">
          <cell r="B17">
            <v>5</v>
          </cell>
          <cell r="C17">
            <v>10</v>
          </cell>
          <cell r="D17">
            <v>15</v>
          </cell>
          <cell r="E17">
            <v>20</v>
          </cell>
        </row>
        <row r="18">
          <cell r="B18">
            <v>0.2</v>
          </cell>
          <cell r="C18">
            <v>0.1</v>
          </cell>
          <cell r="D18">
            <v>0.05</v>
          </cell>
          <cell r="E18">
            <v>3.7499999999999999E-2</v>
          </cell>
        </row>
        <row r="19">
          <cell r="B19">
            <v>0.32</v>
          </cell>
          <cell r="C19">
            <v>0.18</v>
          </cell>
          <cell r="D19">
            <v>9.5000000000000001E-2</v>
          </cell>
          <cell r="E19">
            <v>7.2190000000000004E-2</v>
          </cell>
        </row>
        <row r="20">
          <cell r="B20">
            <v>0.192</v>
          </cell>
          <cell r="C20">
            <v>0.14399999999999999</v>
          </cell>
          <cell r="D20">
            <v>8.5500000000000007E-2</v>
          </cell>
          <cell r="E20">
            <v>6.6769999999999996E-2</v>
          </cell>
        </row>
        <row r="21">
          <cell r="B21">
            <v>0.1152</v>
          </cell>
          <cell r="C21">
            <v>0.1152</v>
          </cell>
          <cell r="D21">
            <v>7.6999999999999999E-2</v>
          </cell>
          <cell r="E21">
            <v>6.1769999999999999E-2</v>
          </cell>
        </row>
        <row r="22">
          <cell r="B22">
            <v>0.1152</v>
          </cell>
          <cell r="C22">
            <v>9.2200000000000004E-2</v>
          </cell>
          <cell r="D22">
            <v>6.93E-2</v>
          </cell>
          <cell r="E22">
            <v>5.713E-2</v>
          </cell>
        </row>
        <row r="23">
          <cell r="B23">
            <v>5.7600000000000047E-2</v>
          </cell>
          <cell r="C23">
            <v>7.3700000000000002E-2</v>
          </cell>
          <cell r="D23">
            <v>6.2300000000000001E-2</v>
          </cell>
          <cell r="E23">
            <v>5.2850000000000001E-2</v>
          </cell>
        </row>
        <row r="24">
          <cell r="B24">
            <v>0</v>
          </cell>
          <cell r="C24">
            <v>6.5500000000000003E-2</v>
          </cell>
          <cell r="D24">
            <v>5.8999999999999997E-2</v>
          </cell>
          <cell r="E24">
            <v>4.888E-2</v>
          </cell>
        </row>
        <row r="25">
          <cell r="B25">
            <v>0</v>
          </cell>
          <cell r="C25">
            <v>6.5500000000000003E-2</v>
          </cell>
          <cell r="D25">
            <v>5.8999999999999997E-2</v>
          </cell>
          <cell r="E25">
            <v>4.5220000000000003E-2</v>
          </cell>
        </row>
        <row r="26">
          <cell r="B26">
            <v>0</v>
          </cell>
          <cell r="C26">
            <v>6.5600000000000006E-2</v>
          </cell>
          <cell r="D26">
            <v>5.91E-2</v>
          </cell>
          <cell r="E26">
            <v>4.462E-2</v>
          </cell>
        </row>
        <row r="27">
          <cell r="B27">
            <v>0</v>
          </cell>
          <cell r="C27">
            <v>6.5500000000000003E-2</v>
          </cell>
          <cell r="D27">
            <v>5.8999999999999997E-2</v>
          </cell>
          <cell r="E27">
            <v>4.4609999999999997E-2</v>
          </cell>
        </row>
        <row r="28">
          <cell r="B28">
            <v>0</v>
          </cell>
          <cell r="C28">
            <v>0</v>
          </cell>
          <cell r="D28">
            <v>5.91E-2</v>
          </cell>
          <cell r="E28">
            <v>4.462E-2</v>
          </cell>
        </row>
        <row r="29">
          <cell r="B29">
            <v>0</v>
          </cell>
          <cell r="C29">
            <v>0</v>
          </cell>
          <cell r="D29">
            <v>5.8999999999999997E-2</v>
          </cell>
          <cell r="E29">
            <v>4.4609999999999997E-2</v>
          </cell>
        </row>
        <row r="30">
          <cell r="B30">
            <v>0</v>
          </cell>
          <cell r="C30">
            <v>0</v>
          </cell>
          <cell r="D30">
            <v>5.91E-2</v>
          </cell>
          <cell r="E30">
            <v>4.462E-2</v>
          </cell>
        </row>
        <row r="31">
          <cell r="B31">
            <v>0</v>
          </cell>
          <cell r="C31">
            <v>0</v>
          </cell>
          <cell r="D31">
            <v>5.8999999999999997E-2</v>
          </cell>
          <cell r="E31">
            <v>4.4609999999999997E-2</v>
          </cell>
        </row>
        <row r="32">
          <cell r="B32">
            <v>0</v>
          </cell>
          <cell r="C32">
            <v>0</v>
          </cell>
          <cell r="D32">
            <v>5.91E-2</v>
          </cell>
          <cell r="E32">
            <v>4.462E-2</v>
          </cell>
        </row>
        <row r="33">
          <cell r="B33">
            <v>0</v>
          </cell>
          <cell r="C33">
            <v>0</v>
          </cell>
          <cell r="D33">
            <v>2.9499999999999998E-2</v>
          </cell>
          <cell r="E33">
            <v>4.4609999999999997E-2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4.462E-2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4.4609999999999997E-2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4.462E-2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4.4609999999999997E-2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2.231E-2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0"/>
  <sheetViews>
    <sheetView tabSelected="1" topLeftCell="A13" workbookViewId="0">
      <selection activeCell="I39" sqref="I39"/>
    </sheetView>
  </sheetViews>
  <sheetFormatPr defaultColWidth="8.85546875" defaultRowHeight="12.75" x14ac:dyDescent="0.2"/>
  <cols>
    <col min="1" max="1" width="19.7109375" style="1" customWidth="1"/>
    <col min="2" max="2" width="2.5703125" style="1" customWidth="1"/>
    <col min="3" max="3" width="36.7109375" style="1" customWidth="1"/>
    <col min="4" max="4" width="2.28515625" style="1" customWidth="1"/>
    <col min="5" max="5" width="18.85546875" style="1" customWidth="1"/>
    <col min="6" max="6" width="1.28515625" style="1" customWidth="1"/>
    <col min="7" max="7" width="14.7109375" style="1" customWidth="1"/>
    <col min="8" max="8" width="1.28515625" style="1" customWidth="1"/>
    <col min="9" max="9" width="19.28515625" style="1" customWidth="1"/>
    <col min="10" max="16384" width="8.85546875" style="1"/>
  </cols>
  <sheetData>
    <row r="1" spans="1:9" x14ac:dyDescent="0.2">
      <c r="A1" s="1" t="s">
        <v>0</v>
      </c>
    </row>
    <row r="2" spans="1:9" x14ac:dyDescent="0.2">
      <c r="A2" s="6" t="s">
        <v>23</v>
      </c>
    </row>
    <row r="4" spans="1:9" x14ac:dyDescent="0.2">
      <c r="I4" s="1" t="s">
        <v>13</v>
      </c>
    </row>
    <row r="5" spans="1:9" x14ac:dyDescent="0.2">
      <c r="E5" s="7" t="s">
        <v>1</v>
      </c>
      <c r="G5" s="7" t="s">
        <v>10</v>
      </c>
      <c r="I5" s="7" t="s">
        <v>14</v>
      </c>
    </row>
    <row r="7" spans="1:9" x14ac:dyDescent="0.2">
      <c r="A7" s="1" t="s">
        <v>3</v>
      </c>
      <c r="C7" s="6" t="s">
        <v>11</v>
      </c>
      <c r="E7" s="2">
        <v>46.309999999999995</v>
      </c>
      <c r="G7" s="3">
        <v>460</v>
      </c>
      <c r="I7" s="11">
        <v>21303</v>
      </c>
    </row>
    <row r="8" spans="1:9" x14ac:dyDescent="0.2">
      <c r="I8" s="11"/>
    </row>
    <row r="9" spans="1:9" x14ac:dyDescent="0.2">
      <c r="A9" s="1" t="s">
        <v>4</v>
      </c>
      <c r="C9" s="6" t="s">
        <v>11</v>
      </c>
      <c r="E9" s="2">
        <v>98.68</v>
      </c>
      <c r="G9" s="3">
        <v>3432</v>
      </c>
      <c r="I9" s="11">
        <v>338670</v>
      </c>
    </row>
    <row r="10" spans="1:9" x14ac:dyDescent="0.2">
      <c r="I10" s="11"/>
    </row>
    <row r="11" spans="1:9" x14ac:dyDescent="0.2">
      <c r="A11" s="1" t="s">
        <v>5</v>
      </c>
      <c r="C11" s="6" t="s">
        <v>11</v>
      </c>
      <c r="E11" s="2">
        <v>72.12</v>
      </c>
      <c r="G11" s="3">
        <v>3120</v>
      </c>
      <c r="I11" s="11">
        <v>225014</v>
      </c>
    </row>
    <row r="12" spans="1:9" x14ac:dyDescent="0.2">
      <c r="C12" s="9" t="s">
        <v>12</v>
      </c>
      <c r="E12" s="2"/>
      <c r="G12" s="3"/>
      <c r="I12" s="11"/>
    </row>
    <row r="13" spans="1:9" x14ac:dyDescent="0.2">
      <c r="C13" s="10" t="s">
        <v>17</v>
      </c>
      <c r="E13" s="2"/>
      <c r="G13" s="3"/>
      <c r="I13" s="11">
        <v>7109</v>
      </c>
    </row>
    <row r="14" spans="1:9" x14ac:dyDescent="0.2">
      <c r="C14" s="10" t="s">
        <v>15</v>
      </c>
      <c r="E14" s="2"/>
      <c r="G14" s="5">
        <v>58141.23</v>
      </c>
      <c r="I14" s="11"/>
    </row>
    <row r="15" spans="1:9" x14ac:dyDescent="0.2">
      <c r="C15" s="10" t="s">
        <v>16</v>
      </c>
      <c r="E15" s="2"/>
      <c r="G15" s="15">
        <f>'Carrying Charge'!G42*12</f>
        <v>0.37310176140412671</v>
      </c>
      <c r="I15" s="11">
        <f>ROUND(G14*G15,0)</f>
        <v>21693</v>
      </c>
    </row>
    <row r="16" spans="1:9" x14ac:dyDescent="0.2">
      <c r="E16" s="2"/>
      <c r="G16" s="3"/>
      <c r="I16" s="11"/>
    </row>
    <row r="17" spans="1:9" x14ac:dyDescent="0.2">
      <c r="I17" s="11"/>
    </row>
    <row r="18" spans="1:9" ht="13.5" thickBot="1" x14ac:dyDescent="0.25">
      <c r="A18" s="6" t="s">
        <v>2</v>
      </c>
      <c r="I18" s="12">
        <f>SUM(I7:I17)</f>
        <v>613789</v>
      </c>
    </row>
    <row r="19" spans="1:9" ht="13.5" thickTop="1" x14ac:dyDescent="0.2">
      <c r="I19" s="11"/>
    </row>
    <row r="20" spans="1:9" x14ac:dyDescent="0.2">
      <c r="I20" s="11"/>
    </row>
    <row r="21" spans="1:9" x14ac:dyDescent="0.2">
      <c r="I21" s="11"/>
    </row>
    <row r="22" spans="1:9" x14ac:dyDescent="0.2">
      <c r="I22" s="11"/>
    </row>
    <row r="23" spans="1:9" x14ac:dyDescent="0.2">
      <c r="E23" s="7" t="s">
        <v>6</v>
      </c>
      <c r="G23" s="7" t="s">
        <v>9</v>
      </c>
      <c r="I23" s="11"/>
    </row>
    <row r="24" spans="1:9" x14ac:dyDescent="0.2">
      <c r="I24" s="11"/>
    </row>
    <row r="25" spans="1:9" x14ac:dyDescent="0.2">
      <c r="A25" s="6" t="s">
        <v>19</v>
      </c>
      <c r="I25" s="11"/>
    </row>
    <row r="26" spans="1:9" x14ac:dyDescent="0.2">
      <c r="C26" s="6" t="s">
        <v>7</v>
      </c>
      <c r="E26" s="5">
        <v>75</v>
      </c>
      <c r="G26" s="16">
        <v>828</v>
      </c>
      <c r="I26" s="11">
        <f>ROUND(E26*G26,0)</f>
        <v>62100</v>
      </c>
    </row>
    <row r="27" spans="1:9" x14ac:dyDescent="0.2">
      <c r="A27" s="6"/>
      <c r="C27" s="6" t="s">
        <v>18</v>
      </c>
      <c r="E27" s="5">
        <v>75</v>
      </c>
      <c r="G27" s="16">
        <v>24</v>
      </c>
      <c r="I27" s="11">
        <f>ROUND(E27*G27,0)</f>
        <v>1800</v>
      </c>
    </row>
    <row r="28" spans="1:9" x14ac:dyDescent="0.2">
      <c r="C28" s="18" t="s">
        <v>20</v>
      </c>
      <c r="I28" s="17">
        <f>I26+I27</f>
        <v>63900</v>
      </c>
    </row>
    <row r="29" spans="1:9" x14ac:dyDescent="0.2">
      <c r="I29" s="11"/>
    </row>
    <row r="30" spans="1:9" x14ac:dyDescent="0.2">
      <c r="I30" s="11"/>
    </row>
    <row r="31" spans="1:9" ht="13.5" thickBot="1" x14ac:dyDescent="0.25">
      <c r="A31" s="8" t="s">
        <v>8</v>
      </c>
      <c r="I31" s="12">
        <f>I18-I28</f>
        <v>549889</v>
      </c>
    </row>
    <row r="32" spans="1:9" ht="13.5" thickTop="1" x14ac:dyDescent="0.2">
      <c r="I32" s="11"/>
    </row>
    <row r="33" spans="1:9" x14ac:dyDescent="0.2">
      <c r="A33" s="6" t="s">
        <v>21</v>
      </c>
      <c r="I33" s="11"/>
    </row>
    <row r="34" spans="1:9" x14ac:dyDescent="0.2">
      <c r="A34" s="4" t="s">
        <v>7</v>
      </c>
      <c r="G34" s="16">
        <v>948</v>
      </c>
      <c r="I34" s="11"/>
    </row>
    <row r="35" spans="1:9" x14ac:dyDescent="0.2">
      <c r="A35" s="4" t="s">
        <v>18</v>
      </c>
      <c r="G35" s="16">
        <f>24+24</f>
        <v>48</v>
      </c>
      <c r="I35" s="11"/>
    </row>
    <row r="36" spans="1:9" x14ac:dyDescent="0.2">
      <c r="I36" s="11"/>
    </row>
    <row r="37" spans="1:9" ht="13.5" thickBot="1" x14ac:dyDescent="0.25">
      <c r="A37" s="6" t="s">
        <v>2</v>
      </c>
      <c r="I37" s="13">
        <f>SUM(G34:G35)</f>
        <v>996</v>
      </c>
    </row>
    <row r="38" spans="1:9" ht="13.5" thickTop="1" x14ac:dyDescent="0.2">
      <c r="I38" s="11"/>
    </row>
    <row r="39" spans="1:9" ht="13.5" thickBot="1" x14ac:dyDescent="0.25">
      <c r="A39" s="6" t="s">
        <v>22</v>
      </c>
      <c r="I39" s="14">
        <f>I31/I37</f>
        <v>552.09738955823298</v>
      </c>
    </row>
    <row r="40" spans="1:9" ht="13.5" thickTop="1" x14ac:dyDescent="0.2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" workbookViewId="0">
      <selection activeCell="J40" sqref="J40"/>
    </sheetView>
  </sheetViews>
  <sheetFormatPr defaultRowHeight="12.75" x14ac:dyDescent="0.2"/>
  <cols>
    <col min="1" max="1" width="6.42578125" style="20" customWidth="1"/>
    <col min="2" max="2" width="14.5703125" style="20" customWidth="1"/>
    <col min="3" max="3" width="12.5703125" style="20" bestFit="1" customWidth="1"/>
    <col min="4" max="4" width="13.5703125" style="20" customWidth="1"/>
    <col min="5" max="7" width="16" style="20" customWidth="1"/>
    <col min="8" max="8" width="14.28515625" style="20" customWidth="1"/>
    <col min="9" max="9" width="12.7109375" style="20" customWidth="1"/>
    <col min="10" max="16384" width="9.140625" style="20"/>
  </cols>
  <sheetData>
    <row r="1" spans="1:9" ht="18.75" x14ac:dyDescent="0.3">
      <c r="A1" s="19" t="s">
        <v>24</v>
      </c>
      <c r="I1" s="21"/>
    </row>
    <row r="2" spans="1:9" x14ac:dyDescent="0.2">
      <c r="A2" s="22" t="s">
        <v>25</v>
      </c>
      <c r="B2" s="22"/>
      <c r="C2" s="22"/>
      <c r="D2" s="22"/>
      <c r="E2" s="22"/>
      <c r="F2" s="22"/>
      <c r="G2" s="22"/>
      <c r="I2" s="23"/>
    </row>
    <row r="3" spans="1:9" x14ac:dyDescent="0.2">
      <c r="I3" s="23"/>
    </row>
    <row r="4" spans="1:9" x14ac:dyDescent="0.2">
      <c r="I4" s="23"/>
    </row>
    <row r="6" spans="1:9" x14ac:dyDescent="0.2">
      <c r="I6" s="24" t="s">
        <v>26</v>
      </c>
    </row>
    <row r="7" spans="1:9" x14ac:dyDescent="0.2">
      <c r="D7" s="24"/>
      <c r="E7" s="24"/>
      <c r="F7" s="24"/>
      <c r="G7" s="24"/>
      <c r="H7" s="24" t="s">
        <v>27</v>
      </c>
      <c r="I7" s="24" t="s">
        <v>27</v>
      </c>
    </row>
    <row r="8" spans="1:9" x14ac:dyDescent="0.2">
      <c r="B8" s="24" t="s">
        <v>28</v>
      </c>
      <c r="D8" s="24"/>
      <c r="E8" s="24" t="s">
        <v>29</v>
      </c>
      <c r="F8" s="24"/>
      <c r="G8" s="24" t="s">
        <v>30</v>
      </c>
      <c r="H8" s="24" t="s">
        <v>31</v>
      </c>
      <c r="I8" s="24" t="s">
        <v>31</v>
      </c>
    </row>
    <row r="9" spans="1:9" x14ac:dyDescent="0.2">
      <c r="B9" s="24" t="s">
        <v>32</v>
      </c>
      <c r="C9" s="24" t="s">
        <v>33</v>
      </c>
      <c r="D9" s="24" t="s">
        <v>26</v>
      </c>
      <c r="E9" s="24" t="s">
        <v>34</v>
      </c>
      <c r="F9" s="25" t="s">
        <v>35</v>
      </c>
      <c r="G9" s="24" t="s">
        <v>34</v>
      </c>
      <c r="H9" s="24" t="s">
        <v>33</v>
      </c>
      <c r="I9" s="24" t="s">
        <v>33</v>
      </c>
    </row>
    <row r="10" spans="1:9" x14ac:dyDescent="0.2">
      <c r="B10" s="24" t="s">
        <v>36</v>
      </c>
      <c r="C10" s="24" t="s">
        <v>37</v>
      </c>
      <c r="D10" s="24" t="s">
        <v>37</v>
      </c>
      <c r="E10" s="26">
        <v>0.03</v>
      </c>
      <c r="F10" s="24" t="s">
        <v>37</v>
      </c>
      <c r="G10" s="26">
        <v>7.0000000000000007E-2</v>
      </c>
      <c r="H10" s="24" t="s">
        <v>37</v>
      </c>
      <c r="I10" s="24" t="s">
        <v>38</v>
      </c>
    </row>
    <row r="11" spans="1:9" x14ac:dyDescent="0.2">
      <c r="A11" s="24" t="s">
        <v>39</v>
      </c>
      <c r="B11" s="24" t="s">
        <v>40</v>
      </c>
      <c r="C11" s="24" t="s">
        <v>41</v>
      </c>
      <c r="D11" s="24" t="s">
        <v>41</v>
      </c>
      <c r="E11" s="24" t="s">
        <v>42</v>
      </c>
      <c r="F11" s="24" t="s">
        <v>43</v>
      </c>
      <c r="G11" s="24" t="s">
        <v>44</v>
      </c>
      <c r="H11" s="24" t="s">
        <v>43</v>
      </c>
      <c r="I11" s="24" t="s">
        <v>43</v>
      </c>
    </row>
    <row r="12" spans="1:9" x14ac:dyDescent="0.2">
      <c r="A12" s="27" t="s">
        <v>45</v>
      </c>
      <c r="B12" s="27" t="s">
        <v>46</v>
      </c>
      <c r="C12" s="27" t="s">
        <v>47</v>
      </c>
      <c r="D12" s="27" t="s">
        <v>48</v>
      </c>
      <c r="E12" s="27" t="s">
        <v>49</v>
      </c>
      <c r="F12" s="27" t="s">
        <v>50</v>
      </c>
      <c r="G12" s="27" t="s">
        <v>51</v>
      </c>
      <c r="H12" s="27" t="s">
        <v>52</v>
      </c>
      <c r="I12" s="27" t="s">
        <v>53</v>
      </c>
    </row>
    <row r="13" spans="1:9" x14ac:dyDescent="0.2">
      <c r="A13" s="28"/>
      <c r="B13" s="28"/>
      <c r="C13" s="28"/>
      <c r="D13" s="28"/>
      <c r="E13" s="28"/>
      <c r="F13" s="24" t="s">
        <v>54</v>
      </c>
      <c r="G13" s="28"/>
      <c r="H13" s="28" t="s">
        <v>55</v>
      </c>
    </row>
    <row r="14" spans="1:9" x14ac:dyDescent="0.2">
      <c r="A14" s="28"/>
      <c r="B14" s="28"/>
      <c r="C14" s="28"/>
      <c r="D14" s="28"/>
      <c r="E14" s="28"/>
      <c r="F14" s="28"/>
      <c r="G14" s="28"/>
      <c r="H14" s="28"/>
    </row>
    <row r="15" spans="1:9" x14ac:dyDescent="0.2">
      <c r="A15" s="28">
        <v>0</v>
      </c>
      <c r="B15" s="29">
        <v>100</v>
      </c>
      <c r="C15" s="28"/>
      <c r="D15" s="28"/>
      <c r="E15" s="28"/>
      <c r="F15" s="28"/>
      <c r="G15" s="28"/>
      <c r="H15" s="28"/>
    </row>
    <row r="16" spans="1:9" x14ac:dyDescent="0.2">
      <c r="A16" s="24">
        <v>1</v>
      </c>
      <c r="B16" s="29">
        <v>99.298854758402257</v>
      </c>
      <c r="C16" s="30">
        <f>B15-B16</f>
        <v>0.70114524159774305</v>
      </c>
      <c r="D16" s="30">
        <f>D15+C16</f>
        <v>0.70114524159774305</v>
      </c>
      <c r="E16" s="30">
        <f>(1+$E$10)^A16</f>
        <v>1.03</v>
      </c>
      <c r="F16" s="30">
        <f>C16*E16</f>
        <v>0.7221795988456754</v>
      </c>
      <c r="G16" s="30">
        <f>1/(1+$G$10)^A16</f>
        <v>0.93457943925233644</v>
      </c>
      <c r="H16" s="31">
        <f>G16*F16</f>
        <v>0.67493420452866859</v>
      </c>
      <c r="I16" s="30">
        <f>I15+H16</f>
        <v>0.67493420452866859</v>
      </c>
    </row>
    <row r="17" spans="1:9" x14ac:dyDescent="0.2">
      <c r="A17" s="24">
        <v>2</v>
      </c>
      <c r="B17" s="29">
        <v>96.895344714681357</v>
      </c>
      <c r="C17" s="30">
        <f>B16-B17</f>
        <v>2.4035100437208996</v>
      </c>
      <c r="D17" s="30">
        <f>D16+C17</f>
        <v>3.1046552853186427</v>
      </c>
      <c r="E17" s="30">
        <f>(1+$E$10)^A17</f>
        <v>1.0609</v>
      </c>
      <c r="F17" s="30">
        <f>C17*E17</f>
        <v>2.5498838053835025</v>
      </c>
      <c r="G17" s="30">
        <f>1/(1+$G$10)^A17</f>
        <v>0.87343872827321156</v>
      </c>
      <c r="H17" s="31">
        <f>G17*F17</f>
        <v>2.2271672682186239</v>
      </c>
      <c r="I17" s="30">
        <f>I16+H17</f>
        <v>2.9021014727472925</v>
      </c>
    </row>
    <row r="18" spans="1:9" x14ac:dyDescent="0.2">
      <c r="A18" s="24">
        <v>3</v>
      </c>
      <c r="B18" s="29">
        <v>90.799033242460922</v>
      </c>
      <c r="C18" s="30">
        <f>B17-B18</f>
        <v>6.0963114722204352</v>
      </c>
      <c r="D18" s="30">
        <f>D17+C18</f>
        <v>9.2009667575390779</v>
      </c>
      <c r="E18" s="30">
        <f>(1+$E$10)^A18</f>
        <v>1.092727</v>
      </c>
      <c r="F18" s="30">
        <f>C18*E18</f>
        <v>6.6616041461050193</v>
      </c>
      <c r="G18" s="30">
        <f>1/(1+$G$10)^A18</f>
        <v>0.81629787689085187</v>
      </c>
      <c r="H18" s="31">
        <f>G18*F18</f>
        <v>5.437853321152823</v>
      </c>
      <c r="I18" s="30">
        <f>I17+H18</f>
        <v>8.339954793900116</v>
      </c>
    </row>
    <row r="19" spans="1:9" x14ac:dyDescent="0.2">
      <c r="A19" s="24">
        <v>4</v>
      </c>
      <c r="B19" s="29">
        <v>78.027274518593032</v>
      </c>
      <c r="C19" s="30">
        <f>B18-B19</f>
        <v>12.77175872386789</v>
      </c>
      <c r="D19" s="30">
        <f>D18+C19</f>
        <v>21.972725481406968</v>
      </c>
      <c r="E19" s="30">
        <f>(1+$E$10)^A19</f>
        <v>1.1255088099999999</v>
      </c>
      <c r="F19" s="30">
        <f>C19*E19</f>
        <v>14.374726962907667</v>
      </c>
      <c r="G19" s="30">
        <f>1/(1+$G$10)^A19</f>
        <v>0.7628952120475252</v>
      </c>
      <c r="H19" s="31">
        <f>G19*F19</f>
        <v>10.966410374492723</v>
      </c>
      <c r="I19" s="30">
        <f>I18+H19</f>
        <v>19.306365168392837</v>
      </c>
    </row>
    <row r="20" spans="1:9" x14ac:dyDescent="0.2">
      <c r="A20" s="24">
        <v>5</v>
      </c>
      <c r="B20" s="29">
        <v>54.741527548555055</v>
      </c>
      <c r="C20" s="30">
        <f>B19-B20</f>
        <v>23.285746970037977</v>
      </c>
      <c r="D20" s="30">
        <f>D19+C20</f>
        <v>45.258472451444945</v>
      </c>
      <c r="E20" s="30">
        <f>(1+$E$10)^A20</f>
        <v>1.1592740742999998</v>
      </c>
      <c r="F20" s="30">
        <f>C20*E20</f>
        <v>26.9945627630748</v>
      </c>
      <c r="G20" s="30">
        <f>1/(1+$G$10)^A20</f>
        <v>0.71298617948366838</v>
      </c>
      <c r="H20" s="31">
        <f>G20*F20</f>
        <v>19.246750171276801</v>
      </c>
      <c r="I20" s="30">
        <f>I19+H20</f>
        <v>38.553115339669638</v>
      </c>
    </row>
    <row r="22" spans="1:9" x14ac:dyDescent="0.2">
      <c r="D22" s="20" t="s">
        <v>25</v>
      </c>
      <c r="I22" s="32">
        <f>I20</f>
        <v>38.553115339669638</v>
      </c>
    </row>
    <row r="23" spans="1:9" ht="18.75" x14ac:dyDescent="0.3">
      <c r="A23" s="19" t="s">
        <v>24</v>
      </c>
      <c r="I23" s="21"/>
    </row>
    <row r="24" spans="1:9" x14ac:dyDescent="0.2">
      <c r="A24" s="20" t="s">
        <v>56</v>
      </c>
      <c r="I24" s="23"/>
    </row>
    <row r="25" spans="1:9" x14ac:dyDescent="0.2">
      <c r="I25" s="23"/>
    </row>
    <row r="26" spans="1:9" x14ac:dyDescent="0.2">
      <c r="I26" s="23"/>
    </row>
    <row r="27" spans="1:9" x14ac:dyDescent="0.2">
      <c r="A27" s="24">
        <v>1</v>
      </c>
      <c r="B27" s="20" t="s">
        <v>25</v>
      </c>
      <c r="G27" s="33">
        <f>I22</f>
        <v>38.553115339669638</v>
      </c>
      <c r="H27" s="33"/>
    </row>
    <row r="28" spans="1:9" x14ac:dyDescent="0.2">
      <c r="A28" s="24"/>
      <c r="H28" s="34"/>
    </row>
    <row r="29" spans="1:9" x14ac:dyDescent="0.2">
      <c r="A29" s="24">
        <v>2</v>
      </c>
      <c r="B29" s="20" t="s">
        <v>57</v>
      </c>
      <c r="G29" s="35">
        <v>100</v>
      </c>
      <c r="H29" s="36"/>
    </row>
    <row r="30" spans="1:9" x14ac:dyDescent="0.2">
      <c r="A30" s="24"/>
      <c r="G30" s="37"/>
      <c r="H30" s="34"/>
    </row>
    <row r="31" spans="1:9" x14ac:dyDescent="0.2">
      <c r="A31" s="24">
        <v>3</v>
      </c>
      <c r="B31" s="20" t="s">
        <v>58</v>
      </c>
      <c r="G31" s="37">
        <f>G27+G29</f>
        <v>138.55311533966963</v>
      </c>
      <c r="H31" s="33"/>
    </row>
    <row r="32" spans="1:9" x14ac:dyDescent="0.2">
      <c r="A32" s="24"/>
      <c r="B32" s="38"/>
      <c r="C32" s="38"/>
      <c r="D32" s="38"/>
      <c r="E32" s="38"/>
      <c r="F32" s="38"/>
      <c r="G32" s="38"/>
      <c r="H32" s="39"/>
    </row>
    <row r="33" spans="1:10" x14ac:dyDescent="0.2">
      <c r="A33" s="24">
        <v>4</v>
      </c>
      <c r="B33" s="38" t="s">
        <v>59</v>
      </c>
      <c r="C33" s="38"/>
      <c r="D33" s="38"/>
      <c r="E33" s="38"/>
      <c r="F33" s="38"/>
      <c r="G33" s="40">
        <f>NPV!E20/12</f>
        <v>2.0351132123001124E-2</v>
      </c>
      <c r="H33" s="41"/>
      <c r="J33" s="37"/>
    </row>
    <row r="34" spans="1:10" x14ac:dyDescent="0.2">
      <c r="A34" s="24"/>
      <c r="B34" s="38"/>
      <c r="C34" s="38"/>
      <c r="D34" s="38"/>
      <c r="E34" s="38"/>
      <c r="F34" s="38"/>
      <c r="G34" s="38"/>
      <c r="H34" s="39"/>
    </row>
    <row r="35" spans="1:10" x14ac:dyDescent="0.2">
      <c r="A35" s="24">
        <v>5</v>
      </c>
      <c r="B35" s="38" t="s">
        <v>60</v>
      </c>
      <c r="C35" s="38"/>
      <c r="D35" s="38"/>
      <c r="E35" s="38"/>
      <c r="F35" s="38"/>
      <c r="G35" s="42">
        <f>G33*G31/100</f>
        <v>2.8197127563310304E-2</v>
      </c>
      <c r="H35" s="43"/>
    </row>
    <row r="36" spans="1:10" x14ac:dyDescent="0.2">
      <c r="A36" s="24"/>
      <c r="B36" s="38"/>
      <c r="C36" s="38"/>
      <c r="D36" s="38"/>
      <c r="E36" s="38"/>
      <c r="F36" s="38"/>
      <c r="G36" s="38"/>
      <c r="H36" s="39"/>
    </row>
    <row r="37" spans="1:10" x14ac:dyDescent="0.2">
      <c r="A37" s="24">
        <v>6</v>
      </c>
      <c r="B37" s="38" t="s">
        <v>61</v>
      </c>
      <c r="C37" s="38"/>
      <c r="D37" s="38"/>
      <c r="E37" s="38"/>
      <c r="F37" s="38"/>
      <c r="G37" s="42">
        <f>F39/F40/12</f>
        <v>2.8946858870335886E-3</v>
      </c>
      <c r="H37" s="44"/>
    </row>
    <row r="38" spans="1:10" x14ac:dyDescent="0.2">
      <c r="A38" s="24"/>
      <c r="B38" s="38"/>
      <c r="C38" s="38"/>
      <c r="D38" s="38"/>
      <c r="E38" s="38"/>
      <c r="F38" s="38"/>
      <c r="G38" s="45"/>
      <c r="H38" s="39"/>
    </row>
    <row r="39" spans="1:10" x14ac:dyDescent="0.2">
      <c r="A39" s="24">
        <v>7</v>
      </c>
      <c r="B39" s="38" t="s">
        <v>63</v>
      </c>
      <c r="C39" s="38"/>
      <c r="D39" s="38"/>
      <c r="E39" s="38"/>
      <c r="F39" s="46">
        <v>22728052.999999993</v>
      </c>
      <c r="G39" s="38"/>
      <c r="H39" s="39"/>
    </row>
    <row r="40" spans="1:10" x14ac:dyDescent="0.2">
      <c r="A40" s="24">
        <v>8</v>
      </c>
      <c r="B40" s="38" t="s">
        <v>64</v>
      </c>
      <c r="C40" s="38"/>
      <c r="D40" s="38"/>
      <c r="E40" s="38"/>
      <c r="F40" s="47">
        <v>654303952.3392297</v>
      </c>
      <c r="G40" s="38"/>
      <c r="H40" s="39"/>
    </row>
    <row r="41" spans="1:10" x14ac:dyDescent="0.2">
      <c r="A41" s="24"/>
      <c r="B41" s="38"/>
      <c r="C41" s="38"/>
      <c r="D41" s="38"/>
      <c r="E41" s="38"/>
      <c r="F41" s="38"/>
      <c r="G41" s="38"/>
      <c r="H41" s="39"/>
    </row>
    <row r="42" spans="1:10" x14ac:dyDescent="0.2">
      <c r="A42" s="24">
        <v>9</v>
      </c>
      <c r="B42" s="38" t="s">
        <v>62</v>
      </c>
      <c r="C42" s="38"/>
      <c r="D42" s="38"/>
      <c r="E42" s="38"/>
      <c r="F42" s="38"/>
      <c r="G42" s="45">
        <f>G37+G35</f>
        <v>3.1091813450343894E-2</v>
      </c>
      <c r="H42" s="44"/>
    </row>
    <row r="43" spans="1:10" x14ac:dyDescent="0.2">
      <c r="B43" s="38"/>
      <c r="C43" s="38"/>
      <c r="D43" s="38"/>
      <c r="E43" s="38"/>
      <c r="F43" s="38"/>
      <c r="G43" s="38"/>
      <c r="H43" s="38"/>
    </row>
    <row r="44" spans="1:10" x14ac:dyDescent="0.2">
      <c r="B44" s="38"/>
      <c r="C44" s="38"/>
      <c r="D44" s="38"/>
      <c r="E44" s="38"/>
      <c r="F44" s="38"/>
      <c r="G44" s="48"/>
      <c r="H44" s="49"/>
    </row>
    <row r="45" spans="1:10" x14ac:dyDescent="0.2">
      <c r="A45" s="24"/>
      <c r="B45" s="38"/>
      <c r="C45" s="38"/>
      <c r="D45" s="38"/>
      <c r="E45" s="38"/>
      <c r="F45" s="38"/>
      <c r="G45" s="50"/>
      <c r="H45" s="50"/>
    </row>
    <row r="46" spans="1:10" x14ac:dyDescent="0.2">
      <c r="B46" s="38"/>
      <c r="C46" s="38"/>
      <c r="D46" s="38"/>
      <c r="E46" s="38"/>
      <c r="F46" s="38"/>
      <c r="G46" s="38"/>
      <c r="H46" s="39"/>
    </row>
    <row r="47" spans="1:10" x14ac:dyDescent="0.2">
      <c r="A47" s="24"/>
      <c r="B47" s="38"/>
      <c r="C47" s="38"/>
      <c r="D47" s="38"/>
      <c r="E47" s="38"/>
      <c r="F47" s="38"/>
      <c r="G47" s="51"/>
      <c r="H47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" workbookViewId="0">
      <selection activeCell="H19" sqref="H19"/>
    </sheetView>
  </sheetViews>
  <sheetFormatPr defaultRowHeight="12.75" x14ac:dyDescent="0.2"/>
  <cols>
    <col min="1" max="1" width="18.5703125" style="20" customWidth="1"/>
    <col min="2" max="2" width="13.140625" style="20" customWidth="1"/>
    <col min="3" max="4" width="9.140625" style="20"/>
    <col min="5" max="5" width="12.5703125" style="20" customWidth="1"/>
    <col min="6" max="6" width="10.28515625" style="20" customWidth="1"/>
    <col min="7" max="16384" width="9.140625" style="20"/>
  </cols>
  <sheetData>
    <row r="1" spans="1:9" ht="18.75" x14ac:dyDescent="0.3">
      <c r="A1" s="19" t="s">
        <v>24</v>
      </c>
      <c r="G1" s="21"/>
    </row>
    <row r="2" spans="1:9" x14ac:dyDescent="0.2">
      <c r="A2" s="53" t="s">
        <v>65</v>
      </c>
      <c r="G2" s="23"/>
    </row>
    <row r="3" spans="1:9" x14ac:dyDescent="0.2">
      <c r="A3" s="53"/>
      <c r="G3" s="23"/>
    </row>
    <row r="4" spans="1:9" x14ac:dyDescent="0.2">
      <c r="G4" s="23"/>
    </row>
    <row r="7" spans="1:9" x14ac:dyDescent="0.2">
      <c r="A7" s="53" t="s">
        <v>66</v>
      </c>
    </row>
    <row r="8" spans="1:9" x14ac:dyDescent="0.2">
      <c r="B8" s="54"/>
      <c r="C8" s="54"/>
      <c r="D8" s="54"/>
      <c r="E8" s="55" t="s">
        <v>67</v>
      </c>
      <c r="F8" s="55" t="s">
        <v>68</v>
      </c>
      <c r="G8" s="22"/>
      <c r="H8" s="22"/>
      <c r="I8" s="22"/>
    </row>
    <row r="9" spans="1:9" x14ac:dyDescent="0.2">
      <c r="B9" s="56" t="s">
        <v>69</v>
      </c>
      <c r="C9" s="56" t="s">
        <v>70</v>
      </c>
      <c r="D9" s="56" t="s">
        <v>71</v>
      </c>
      <c r="E9" s="56" t="s">
        <v>72</v>
      </c>
      <c r="F9" s="56" t="s">
        <v>70</v>
      </c>
      <c r="G9" s="22"/>
      <c r="H9" s="22"/>
      <c r="I9" s="22"/>
    </row>
    <row r="10" spans="1:9" x14ac:dyDescent="0.2">
      <c r="A10" s="20" t="s">
        <v>73</v>
      </c>
      <c r="B10" s="57">
        <v>4.5432174093805906E-2</v>
      </c>
      <c r="C10" s="57">
        <v>9.0018620221744249E-3</v>
      </c>
      <c r="D10" s="57">
        <f>B10*C10</f>
        <v>4.0897416255984817E-4</v>
      </c>
      <c r="E10" s="22"/>
      <c r="F10" s="58">
        <f>D10</f>
        <v>4.0897416255984817E-4</v>
      </c>
      <c r="G10" s="22"/>
      <c r="H10" s="22"/>
      <c r="I10" s="22"/>
    </row>
    <row r="11" spans="1:9" x14ac:dyDescent="0.2">
      <c r="A11" s="20" t="s">
        <v>74</v>
      </c>
      <c r="B11" s="57">
        <v>0.42708637687477419</v>
      </c>
      <c r="C11" s="57">
        <v>4.1630442918146882E-2</v>
      </c>
      <c r="D11" s="57">
        <f>B11*C11</f>
        <v>1.7779795033603454E-2</v>
      </c>
      <c r="E11" s="59">
        <v>0.37318192322147398</v>
      </c>
      <c r="F11" s="57">
        <f>D11*(1-E11)</f>
        <v>1.1144696928479707E-2</v>
      </c>
      <c r="G11" s="22"/>
      <c r="H11" s="22"/>
      <c r="I11" s="22"/>
    </row>
    <row r="12" spans="1:9" x14ac:dyDescent="0.2">
      <c r="A12" s="20" t="s">
        <v>75</v>
      </c>
      <c r="B12" s="57">
        <f>1-B10-B11</f>
        <v>0.52748144903141991</v>
      </c>
      <c r="C12" s="60">
        <v>0.105</v>
      </c>
      <c r="D12" s="60">
        <f>B12*C12</f>
        <v>5.5385552148299086E-2</v>
      </c>
      <c r="E12" s="22"/>
      <c r="F12" s="61">
        <f>D12</f>
        <v>5.5385552148299086E-2</v>
      </c>
      <c r="G12" s="22"/>
      <c r="H12" s="22"/>
      <c r="I12" s="22"/>
    </row>
    <row r="13" spans="1:9" x14ac:dyDescent="0.2">
      <c r="B13" s="58"/>
      <c r="C13" s="22"/>
      <c r="D13" s="58">
        <f>SUM(D11:D12)</f>
        <v>7.316534718190254E-2</v>
      </c>
      <c r="E13" s="22"/>
      <c r="F13" s="58">
        <f>SUM(F11:F12)</f>
        <v>6.6530249076778791E-2</v>
      </c>
      <c r="G13" s="22"/>
      <c r="H13" s="22"/>
      <c r="I13" s="22"/>
    </row>
    <row r="14" spans="1:9" x14ac:dyDescent="0.2"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B15" s="84" t="s">
        <v>76</v>
      </c>
      <c r="C15" s="84"/>
      <c r="D15" s="84"/>
      <c r="E15" s="84"/>
    </row>
    <row r="17" spans="1:6" x14ac:dyDescent="0.2">
      <c r="B17" s="24">
        <v>5</v>
      </c>
      <c r="C17" s="24">
        <v>10</v>
      </c>
      <c r="D17" s="24">
        <v>15</v>
      </c>
      <c r="E17" s="24">
        <v>20</v>
      </c>
    </row>
    <row r="18" spans="1:6" x14ac:dyDescent="0.2">
      <c r="A18" s="20">
        <v>1</v>
      </c>
      <c r="B18" s="62">
        <v>0.2</v>
      </c>
      <c r="C18" s="62">
        <v>0.1</v>
      </c>
      <c r="D18" s="62">
        <v>0.05</v>
      </c>
      <c r="E18" s="62">
        <v>3.7499999999999999E-2</v>
      </c>
      <c r="F18" s="63"/>
    </row>
    <row r="19" spans="1:6" x14ac:dyDescent="0.2">
      <c r="A19" s="20">
        <v>2</v>
      </c>
      <c r="B19" s="62">
        <v>0.32</v>
      </c>
      <c r="C19" s="62">
        <v>0.18</v>
      </c>
      <c r="D19" s="62">
        <v>9.5000000000000001E-2</v>
      </c>
      <c r="E19" s="62">
        <v>7.2190000000000004E-2</v>
      </c>
      <c r="F19" s="63"/>
    </row>
    <row r="20" spans="1:6" x14ac:dyDescent="0.2">
      <c r="A20" s="20">
        <v>3</v>
      </c>
      <c r="B20" s="62">
        <v>0.192</v>
      </c>
      <c r="C20" s="62">
        <v>0.14399999999999999</v>
      </c>
      <c r="D20" s="62">
        <v>8.5500000000000007E-2</v>
      </c>
      <c r="E20" s="62">
        <v>6.6769999999999996E-2</v>
      </c>
      <c r="F20" s="63"/>
    </row>
    <row r="21" spans="1:6" x14ac:dyDescent="0.2">
      <c r="A21" s="20">
        <v>4</v>
      </c>
      <c r="B21" s="62">
        <v>0.1152</v>
      </c>
      <c r="C21" s="62">
        <v>0.1152</v>
      </c>
      <c r="D21" s="62">
        <v>7.6999999999999999E-2</v>
      </c>
      <c r="E21" s="62">
        <v>6.1769999999999999E-2</v>
      </c>
      <c r="F21" s="63"/>
    </row>
    <row r="22" spans="1:6" x14ac:dyDescent="0.2">
      <c r="A22" s="20">
        <v>5</v>
      </c>
      <c r="B22" s="62">
        <v>0.1152</v>
      </c>
      <c r="C22" s="62">
        <v>9.2200000000000004E-2</v>
      </c>
      <c r="D22" s="62">
        <v>6.93E-2</v>
      </c>
      <c r="E22" s="62">
        <v>5.713E-2</v>
      </c>
      <c r="F22" s="63"/>
    </row>
    <row r="23" spans="1:6" x14ac:dyDescent="0.2">
      <c r="A23" s="20">
        <v>6</v>
      </c>
      <c r="B23" s="64">
        <v>5.7600000000000047E-2</v>
      </c>
      <c r="C23" s="62">
        <v>7.3700000000000002E-2</v>
      </c>
      <c r="D23" s="62">
        <v>6.2300000000000001E-2</v>
      </c>
      <c r="E23" s="62">
        <v>5.2850000000000001E-2</v>
      </c>
      <c r="F23" s="63"/>
    </row>
    <row r="24" spans="1:6" x14ac:dyDescent="0.2">
      <c r="A24" s="20">
        <v>7</v>
      </c>
      <c r="B24" s="62">
        <v>0</v>
      </c>
      <c r="C24" s="62">
        <v>6.5500000000000003E-2</v>
      </c>
      <c r="D24" s="62">
        <v>5.8999999999999997E-2</v>
      </c>
      <c r="E24" s="62">
        <v>4.888E-2</v>
      </c>
      <c r="F24" s="63"/>
    </row>
    <row r="25" spans="1:6" x14ac:dyDescent="0.2">
      <c r="A25" s="20">
        <v>8</v>
      </c>
      <c r="B25" s="62">
        <v>0</v>
      </c>
      <c r="C25" s="62">
        <v>6.5500000000000003E-2</v>
      </c>
      <c r="D25" s="62">
        <v>5.8999999999999997E-2</v>
      </c>
      <c r="E25" s="62">
        <v>4.5220000000000003E-2</v>
      </c>
      <c r="F25" s="63"/>
    </row>
    <row r="26" spans="1:6" x14ac:dyDescent="0.2">
      <c r="A26" s="20">
        <v>9</v>
      </c>
      <c r="B26" s="62">
        <v>0</v>
      </c>
      <c r="C26" s="62">
        <v>6.5600000000000006E-2</v>
      </c>
      <c r="D26" s="62">
        <v>5.91E-2</v>
      </c>
      <c r="E26" s="62">
        <v>4.462E-2</v>
      </c>
      <c r="F26" s="63"/>
    </row>
    <row r="27" spans="1:6" x14ac:dyDescent="0.2">
      <c r="A27" s="20">
        <v>10</v>
      </c>
      <c r="B27" s="62">
        <v>0</v>
      </c>
      <c r="C27" s="62">
        <v>6.5500000000000003E-2</v>
      </c>
      <c r="D27" s="62">
        <v>5.8999999999999997E-2</v>
      </c>
      <c r="E27" s="62">
        <v>4.4609999999999997E-2</v>
      </c>
      <c r="F27" s="63"/>
    </row>
    <row r="28" spans="1:6" x14ac:dyDescent="0.2">
      <c r="A28" s="20">
        <v>11</v>
      </c>
      <c r="B28" s="62">
        <v>0</v>
      </c>
      <c r="C28" s="65">
        <v>0</v>
      </c>
      <c r="D28" s="62">
        <v>5.91E-2</v>
      </c>
      <c r="E28" s="62">
        <v>4.462E-2</v>
      </c>
      <c r="F28" s="63"/>
    </row>
    <row r="29" spans="1:6" x14ac:dyDescent="0.2">
      <c r="A29" s="20">
        <v>12</v>
      </c>
      <c r="B29" s="62">
        <v>0</v>
      </c>
      <c r="C29" s="62">
        <v>0</v>
      </c>
      <c r="D29" s="62">
        <v>5.8999999999999997E-2</v>
      </c>
      <c r="E29" s="62">
        <v>4.4609999999999997E-2</v>
      </c>
      <c r="F29" s="63"/>
    </row>
    <row r="30" spans="1:6" x14ac:dyDescent="0.2">
      <c r="A30" s="20">
        <v>13</v>
      </c>
      <c r="B30" s="62">
        <v>0</v>
      </c>
      <c r="C30" s="62">
        <v>0</v>
      </c>
      <c r="D30" s="62">
        <v>5.91E-2</v>
      </c>
      <c r="E30" s="62">
        <v>4.462E-2</v>
      </c>
      <c r="F30" s="63"/>
    </row>
    <row r="31" spans="1:6" x14ac:dyDescent="0.2">
      <c r="A31" s="20">
        <v>14</v>
      </c>
      <c r="B31" s="62">
        <v>0</v>
      </c>
      <c r="C31" s="62">
        <v>0</v>
      </c>
      <c r="D31" s="62">
        <v>5.8999999999999997E-2</v>
      </c>
      <c r="E31" s="62">
        <v>4.4609999999999997E-2</v>
      </c>
      <c r="F31" s="63"/>
    </row>
    <row r="32" spans="1:6" x14ac:dyDescent="0.2">
      <c r="A32" s="20">
        <v>15</v>
      </c>
      <c r="B32" s="62">
        <v>0</v>
      </c>
      <c r="C32" s="62">
        <v>0</v>
      </c>
      <c r="D32" s="62">
        <v>5.91E-2</v>
      </c>
      <c r="E32" s="62">
        <v>4.462E-2</v>
      </c>
      <c r="F32" s="63"/>
    </row>
    <row r="33" spans="1:6" x14ac:dyDescent="0.2">
      <c r="A33" s="20">
        <v>16</v>
      </c>
      <c r="B33" s="62">
        <v>0</v>
      </c>
      <c r="C33" s="62">
        <v>0</v>
      </c>
      <c r="D33" s="62">
        <v>2.9499999999999998E-2</v>
      </c>
      <c r="E33" s="62">
        <v>4.4609999999999997E-2</v>
      </c>
      <c r="F33" s="63"/>
    </row>
    <row r="34" spans="1:6" x14ac:dyDescent="0.2">
      <c r="A34" s="20">
        <v>17</v>
      </c>
      <c r="B34" s="62">
        <v>0</v>
      </c>
      <c r="C34" s="62">
        <v>0</v>
      </c>
      <c r="D34" s="62">
        <v>0</v>
      </c>
      <c r="E34" s="62">
        <v>4.462E-2</v>
      </c>
      <c r="F34" s="63"/>
    </row>
    <row r="35" spans="1:6" x14ac:dyDescent="0.2">
      <c r="A35" s="20">
        <v>18</v>
      </c>
      <c r="B35" s="62">
        <v>0</v>
      </c>
      <c r="C35" s="62">
        <v>0</v>
      </c>
      <c r="D35" s="62">
        <v>0</v>
      </c>
      <c r="E35" s="62">
        <v>4.4609999999999997E-2</v>
      </c>
      <c r="F35" s="63"/>
    </row>
    <row r="36" spans="1:6" x14ac:dyDescent="0.2">
      <c r="A36" s="20">
        <v>19</v>
      </c>
      <c r="B36" s="62">
        <v>0</v>
      </c>
      <c r="C36" s="62">
        <v>0</v>
      </c>
      <c r="D36" s="62">
        <v>0</v>
      </c>
      <c r="E36" s="62">
        <v>4.462E-2</v>
      </c>
      <c r="F36" s="63"/>
    </row>
    <row r="37" spans="1:6" x14ac:dyDescent="0.2">
      <c r="A37" s="20">
        <v>20</v>
      </c>
      <c r="B37" s="62">
        <v>0</v>
      </c>
      <c r="C37" s="62">
        <v>0</v>
      </c>
      <c r="D37" s="62">
        <v>0</v>
      </c>
      <c r="E37" s="62">
        <v>4.4609999999999997E-2</v>
      </c>
      <c r="F37" s="63"/>
    </row>
    <row r="38" spans="1:6" x14ac:dyDescent="0.2">
      <c r="A38" s="20">
        <v>21</v>
      </c>
      <c r="B38" s="62">
        <v>0</v>
      </c>
      <c r="C38" s="62">
        <v>0</v>
      </c>
      <c r="D38" s="62">
        <v>0</v>
      </c>
      <c r="E38" s="62">
        <v>2.231E-2</v>
      </c>
      <c r="F38" s="63"/>
    </row>
    <row r="39" spans="1:6" x14ac:dyDescent="0.2">
      <c r="A39" s="20">
        <v>22</v>
      </c>
      <c r="B39" s="62">
        <v>0</v>
      </c>
      <c r="C39" s="62">
        <v>0</v>
      </c>
      <c r="D39" s="62">
        <v>0</v>
      </c>
      <c r="E39" s="62">
        <v>0</v>
      </c>
    </row>
    <row r="40" spans="1:6" x14ac:dyDescent="0.2">
      <c r="A40" s="20">
        <v>23</v>
      </c>
      <c r="B40" s="62">
        <v>0</v>
      </c>
      <c r="C40" s="62">
        <v>0</v>
      </c>
      <c r="D40" s="62">
        <v>0</v>
      </c>
      <c r="E40" s="62">
        <v>0</v>
      </c>
    </row>
    <row r="41" spans="1:6" x14ac:dyDescent="0.2">
      <c r="A41" s="20">
        <v>24</v>
      </c>
      <c r="B41" s="62">
        <v>0</v>
      </c>
      <c r="C41" s="62">
        <v>0</v>
      </c>
      <c r="D41" s="62">
        <v>0</v>
      </c>
      <c r="E41" s="62">
        <v>0</v>
      </c>
    </row>
    <row r="42" spans="1:6" x14ac:dyDescent="0.2">
      <c r="A42" s="20">
        <v>25</v>
      </c>
      <c r="B42" s="62">
        <v>0</v>
      </c>
      <c r="C42" s="62">
        <v>0</v>
      </c>
      <c r="D42" s="62">
        <v>0</v>
      </c>
      <c r="E42" s="62">
        <v>0</v>
      </c>
    </row>
    <row r="43" spans="1:6" x14ac:dyDescent="0.2">
      <c r="A43" s="20">
        <v>26</v>
      </c>
      <c r="B43" s="62">
        <v>0</v>
      </c>
      <c r="C43" s="62">
        <v>0</v>
      </c>
      <c r="D43" s="62">
        <v>0</v>
      </c>
      <c r="E43" s="62">
        <v>0</v>
      </c>
    </row>
    <row r="44" spans="1:6" x14ac:dyDescent="0.2">
      <c r="A44" s="20">
        <v>27</v>
      </c>
      <c r="B44" s="62">
        <v>0</v>
      </c>
      <c r="C44" s="62">
        <v>0</v>
      </c>
      <c r="D44" s="62">
        <v>0</v>
      </c>
      <c r="E44" s="62">
        <v>0</v>
      </c>
    </row>
    <row r="45" spans="1:6" x14ac:dyDescent="0.2">
      <c r="A45" s="20">
        <v>28</v>
      </c>
      <c r="B45" s="62">
        <v>0</v>
      </c>
      <c r="C45" s="62">
        <v>0</v>
      </c>
      <c r="D45" s="62">
        <v>0</v>
      </c>
      <c r="E45" s="62">
        <v>0</v>
      </c>
    </row>
    <row r="46" spans="1:6" x14ac:dyDescent="0.2">
      <c r="A46" s="20">
        <v>29</v>
      </c>
      <c r="B46" s="62">
        <v>0</v>
      </c>
      <c r="C46" s="62">
        <v>0</v>
      </c>
      <c r="D46" s="62">
        <v>0</v>
      </c>
      <c r="E46" s="62">
        <v>0</v>
      </c>
    </row>
    <row r="47" spans="1:6" x14ac:dyDescent="0.2">
      <c r="A47" s="20">
        <v>30</v>
      </c>
      <c r="B47" s="62">
        <v>0</v>
      </c>
      <c r="C47" s="62">
        <v>0</v>
      </c>
      <c r="D47" s="62">
        <v>0</v>
      </c>
      <c r="E47" s="62">
        <v>0</v>
      </c>
    </row>
    <row r="48" spans="1:6" x14ac:dyDescent="0.2">
      <c r="A48" s="20">
        <v>31</v>
      </c>
      <c r="B48" s="62">
        <v>0</v>
      </c>
      <c r="C48" s="62">
        <v>0</v>
      </c>
      <c r="D48" s="62">
        <v>0</v>
      </c>
      <c r="E48" s="62">
        <v>0</v>
      </c>
    </row>
    <row r="49" spans="1:5" x14ac:dyDescent="0.2">
      <c r="A49" s="20">
        <v>31</v>
      </c>
      <c r="B49" s="62">
        <v>0</v>
      </c>
      <c r="C49" s="62">
        <v>0</v>
      </c>
      <c r="D49" s="62">
        <v>0</v>
      </c>
      <c r="E49" s="62">
        <v>0</v>
      </c>
    </row>
    <row r="51" spans="1:5" x14ac:dyDescent="0.2">
      <c r="B51" s="66"/>
    </row>
    <row r="53" spans="1:5" x14ac:dyDescent="0.2">
      <c r="B53" s="66"/>
    </row>
  </sheetData>
  <mergeCells count="1">
    <mergeCell ref="B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workbookViewId="0">
      <selection activeCell="E21" sqref="E21"/>
    </sheetView>
  </sheetViews>
  <sheetFormatPr defaultRowHeight="12.75" x14ac:dyDescent="0.2"/>
  <cols>
    <col min="1" max="1" width="9.140625" style="20"/>
    <col min="2" max="2" width="13.5703125" style="20" customWidth="1"/>
    <col min="3" max="3" width="18.140625" style="20" customWidth="1"/>
    <col min="4" max="4" width="17.85546875" style="20" customWidth="1"/>
    <col min="5" max="5" width="13" style="20" customWidth="1"/>
    <col min="6" max="7" width="12.85546875" style="20" customWidth="1"/>
    <col min="8" max="8" width="14" style="20" customWidth="1"/>
    <col min="9" max="9" width="13.140625" style="20" customWidth="1"/>
    <col min="10" max="10" width="12.85546875" style="20" customWidth="1"/>
    <col min="11" max="11" width="12.140625" style="20" customWidth="1"/>
    <col min="12" max="12" width="12" style="20" hidden="1" customWidth="1"/>
    <col min="13" max="13" width="11" style="20" hidden="1" customWidth="1"/>
    <col min="14" max="14" width="11.85546875" style="20" customWidth="1"/>
    <col min="15" max="15" width="14.28515625" style="20" customWidth="1"/>
    <col min="16" max="16" width="12.28515625" style="20" customWidth="1"/>
    <col min="17" max="17" width="13.85546875" style="20" customWidth="1"/>
    <col min="18" max="18" width="15" style="20" customWidth="1"/>
    <col min="19" max="16384" width="9.140625" style="20"/>
  </cols>
  <sheetData>
    <row r="1" spans="2:17" ht="18.75" x14ac:dyDescent="0.3">
      <c r="B1" s="19" t="s">
        <v>24</v>
      </c>
      <c r="H1" s="21"/>
      <c r="I1" s="19" t="s">
        <v>24</v>
      </c>
      <c r="Q1" s="21"/>
    </row>
    <row r="2" spans="2:17" x14ac:dyDescent="0.2">
      <c r="B2" s="53" t="s">
        <v>65</v>
      </c>
      <c r="H2" s="23"/>
      <c r="I2" s="53" t="s">
        <v>65</v>
      </c>
      <c r="Q2" s="23"/>
    </row>
    <row r="3" spans="2:17" x14ac:dyDescent="0.2">
      <c r="B3" s="53"/>
      <c r="H3" s="23"/>
      <c r="I3" s="53"/>
      <c r="Q3" s="23"/>
    </row>
    <row r="4" spans="2:17" x14ac:dyDescent="0.2">
      <c r="B4" s="53"/>
      <c r="H4" s="23"/>
      <c r="I4" s="53"/>
      <c r="Q4" s="23"/>
    </row>
    <row r="7" spans="2:17" x14ac:dyDescent="0.2">
      <c r="B7" s="53" t="s">
        <v>77</v>
      </c>
      <c r="I7" s="53" t="s">
        <v>77</v>
      </c>
    </row>
    <row r="8" spans="2:17" x14ac:dyDescent="0.2">
      <c r="B8" s="67" t="s">
        <v>78</v>
      </c>
      <c r="E8" s="68">
        <v>1000</v>
      </c>
      <c r="I8" s="67" t="s">
        <v>78</v>
      </c>
      <c r="L8" s="68">
        <v>1000</v>
      </c>
      <c r="O8" s="68">
        <f t="shared" ref="O8:O14" si="0">E8</f>
        <v>1000</v>
      </c>
    </row>
    <row r="9" spans="2:17" x14ac:dyDescent="0.2">
      <c r="B9" s="67" t="s">
        <v>79</v>
      </c>
      <c r="E9" s="20">
        <v>5</v>
      </c>
      <c r="I9" s="67" t="s">
        <v>79</v>
      </c>
      <c r="L9" s="20">
        <v>30</v>
      </c>
      <c r="O9" s="20">
        <f t="shared" si="0"/>
        <v>5</v>
      </c>
    </row>
    <row r="10" spans="2:17" x14ac:dyDescent="0.2">
      <c r="B10" s="67" t="s">
        <v>80</v>
      </c>
      <c r="E10" s="20">
        <v>5</v>
      </c>
      <c r="I10" s="67" t="s">
        <v>80</v>
      </c>
      <c r="L10" s="20">
        <v>20</v>
      </c>
      <c r="O10" s="20">
        <f t="shared" si="0"/>
        <v>5</v>
      </c>
    </row>
    <row r="11" spans="2:17" x14ac:dyDescent="0.2">
      <c r="B11" s="67" t="s">
        <v>81</v>
      </c>
      <c r="E11" s="63">
        <f>WACOC!E11</f>
        <v>0.37318192322147398</v>
      </c>
      <c r="I11" s="67" t="s">
        <v>81</v>
      </c>
      <c r="L11" s="69">
        <v>0.37602808360000001</v>
      </c>
      <c r="O11" s="63">
        <f t="shared" si="0"/>
        <v>0.37318192322147398</v>
      </c>
    </row>
    <row r="12" spans="2:17" x14ac:dyDescent="0.2">
      <c r="B12" s="67" t="s">
        <v>82</v>
      </c>
      <c r="E12" s="63">
        <v>0</v>
      </c>
      <c r="I12" s="67" t="s">
        <v>82</v>
      </c>
      <c r="L12" s="63">
        <v>0</v>
      </c>
      <c r="O12" s="63">
        <f t="shared" si="0"/>
        <v>0</v>
      </c>
    </row>
    <row r="13" spans="2:17" x14ac:dyDescent="0.2">
      <c r="B13" s="67" t="s">
        <v>83</v>
      </c>
      <c r="E13" s="20">
        <v>5</v>
      </c>
      <c r="I13" s="67" t="s">
        <v>83</v>
      </c>
      <c r="L13" s="20">
        <v>35</v>
      </c>
      <c r="O13" s="20">
        <f t="shared" si="0"/>
        <v>5</v>
      </c>
    </row>
    <row r="14" spans="2:17" x14ac:dyDescent="0.2">
      <c r="B14" s="67" t="s">
        <v>84</v>
      </c>
      <c r="E14" s="63">
        <v>0</v>
      </c>
      <c r="I14" s="67" t="s">
        <v>84</v>
      </c>
      <c r="L14" s="63">
        <v>0</v>
      </c>
      <c r="O14" s="63">
        <f t="shared" si="0"/>
        <v>0</v>
      </c>
    </row>
    <row r="15" spans="2:17" x14ac:dyDescent="0.2">
      <c r="B15" s="67"/>
      <c r="E15" s="63"/>
      <c r="I15" s="67"/>
      <c r="L15" s="63"/>
      <c r="O15" s="63"/>
    </row>
    <row r="17" spans="1:20" x14ac:dyDescent="0.2">
      <c r="B17" s="53" t="s">
        <v>85</v>
      </c>
      <c r="I17" s="53" t="s">
        <v>85</v>
      </c>
    </row>
    <row r="18" spans="1:20" x14ac:dyDescent="0.2">
      <c r="B18" s="67" t="s">
        <v>86</v>
      </c>
      <c r="E18" s="70">
        <f>Q71</f>
        <v>992.89429865895329</v>
      </c>
      <c r="I18" s="67" t="s">
        <v>86</v>
      </c>
      <c r="L18" s="70">
        <f>X71</f>
        <v>0</v>
      </c>
      <c r="O18" s="70">
        <f>E18</f>
        <v>992.89429865895329</v>
      </c>
    </row>
    <row r="19" spans="1:20" x14ac:dyDescent="0.2">
      <c r="B19" s="67" t="s">
        <v>87</v>
      </c>
      <c r="E19" s="71">
        <f>PMT(WACOC!D13,E13,Q71)*-1</f>
        <v>244.21358547601349</v>
      </c>
      <c r="I19" s="67" t="s">
        <v>87</v>
      </c>
      <c r="L19" s="71" t="e">
        <f>PMT('[1]WACOC-Tax Table'!L13,L13,X71)*-1</f>
        <v>#REF!</v>
      </c>
      <c r="O19" s="71">
        <f>E19</f>
        <v>244.21358547601349</v>
      </c>
    </row>
    <row r="20" spans="1:20" x14ac:dyDescent="0.2">
      <c r="B20" s="67" t="s">
        <v>88</v>
      </c>
      <c r="E20" s="63">
        <f>E19/E8</f>
        <v>0.24421358547601349</v>
      </c>
      <c r="I20" s="67" t="s">
        <v>88</v>
      </c>
      <c r="L20" s="63" t="e">
        <f>L19/L8</f>
        <v>#REF!</v>
      </c>
      <c r="O20" s="63">
        <f>E20</f>
        <v>0.24421358547601349</v>
      </c>
    </row>
    <row r="21" spans="1:20" x14ac:dyDescent="0.2">
      <c r="B21" s="67" t="s">
        <v>89</v>
      </c>
      <c r="E21" s="72">
        <f>1/E20</f>
        <v>4.0947762920348234</v>
      </c>
      <c r="F21" s="20" t="s">
        <v>90</v>
      </c>
      <c r="I21" s="67" t="s">
        <v>89</v>
      </c>
      <c r="L21" s="72" t="e">
        <f>1/L20</f>
        <v>#REF!</v>
      </c>
      <c r="M21" s="20" t="s">
        <v>90</v>
      </c>
      <c r="O21" s="72">
        <f>E21</f>
        <v>4.0947762920348234</v>
      </c>
      <c r="P21" s="20" t="s">
        <v>90</v>
      </c>
    </row>
    <row r="22" spans="1:20" x14ac:dyDescent="0.2">
      <c r="C22" s="72"/>
    </row>
    <row r="23" spans="1:20" x14ac:dyDescent="0.2">
      <c r="C23" s="72"/>
    </row>
    <row r="24" spans="1:20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73"/>
      <c r="Q24" s="23"/>
      <c r="R24" s="73" t="s">
        <v>26</v>
      </c>
      <c r="S24" s="23"/>
    </row>
    <row r="25" spans="1:20" x14ac:dyDescent="0.2">
      <c r="A25" s="23"/>
      <c r="B25" s="23"/>
      <c r="C25" s="23"/>
      <c r="D25" s="23"/>
      <c r="E25" s="23"/>
      <c r="F25" s="23"/>
      <c r="G25" s="23"/>
      <c r="H25" s="23"/>
      <c r="I25" s="73"/>
      <c r="J25" s="23"/>
      <c r="K25" s="23"/>
      <c r="L25" s="23"/>
      <c r="M25" s="23"/>
      <c r="N25" s="73"/>
      <c r="O25" s="73"/>
      <c r="P25" s="73" t="s">
        <v>27</v>
      </c>
      <c r="Q25" s="73" t="s">
        <v>27</v>
      </c>
      <c r="R25" s="73" t="s">
        <v>27</v>
      </c>
      <c r="S25" s="73" t="s">
        <v>33</v>
      </c>
    </row>
    <row r="26" spans="1:20" x14ac:dyDescent="0.2">
      <c r="A26" s="23"/>
      <c r="B26" s="23"/>
      <c r="C26" s="23"/>
      <c r="D26" s="23"/>
      <c r="E26" s="23"/>
      <c r="F26" s="23"/>
      <c r="G26" s="23"/>
      <c r="H26" s="73" t="s">
        <v>91</v>
      </c>
      <c r="I26" s="73"/>
      <c r="J26" s="23"/>
      <c r="K26" s="23"/>
      <c r="L26" s="23"/>
      <c r="M26" s="23"/>
      <c r="N26" s="73"/>
      <c r="O26" s="73" t="s">
        <v>33</v>
      </c>
      <c r="P26" s="73" t="s">
        <v>92</v>
      </c>
      <c r="Q26" s="73" t="s">
        <v>92</v>
      </c>
      <c r="R26" s="73" t="s">
        <v>92</v>
      </c>
      <c r="S26" s="73" t="s">
        <v>93</v>
      </c>
    </row>
    <row r="27" spans="1:20" x14ac:dyDescent="0.2">
      <c r="A27" s="23"/>
      <c r="B27" s="73"/>
      <c r="C27" s="73" t="s">
        <v>94</v>
      </c>
      <c r="D27" s="73" t="s">
        <v>95</v>
      </c>
      <c r="E27" s="73" t="s">
        <v>96</v>
      </c>
      <c r="F27" s="73" t="s">
        <v>95</v>
      </c>
      <c r="G27" s="73" t="s">
        <v>97</v>
      </c>
      <c r="H27" s="73" t="s">
        <v>97</v>
      </c>
      <c r="I27" s="73"/>
      <c r="J27" s="73"/>
      <c r="K27" s="73"/>
      <c r="L27" s="73"/>
      <c r="M27" s="73" t="s">
        <v>98</v>
      </c>
      <c r="N27" s="73" t="s">
        <v>99</v>
      </c>
      <c r="O27" s="73" t="s">
        <v>100</v>
      </c>
      <c r="P27" s="73" t="s">
        <v>101</v>
      </c>
      <c r="Q27" s="73" t="s">
        <v>100</v>
      </c>
      <c r="R27" s="73" t="s">
        <v>100</v>
      </c>
      <c r="S27" s="73" t="s">
        <v>6</v>
      </c>
    </row>
    <row r="28" spans="1:20" x14ac:dyDescent="0.2">
      <c r="A28" s="73" t="s">
        <v>39</v>
      </c>
      <c r="B28" s="73" t="s">
        <v>102</v>
      </c>
      <c r="C28" s="73" t="s">
        <v>103</v>
      </c>
      <c r="D28" s="73" t="s">
        <v>104</v>
      </c>
      <c r="E28" s="73" t="s">
        <v>103</v>
      </c>
      <c r="F28" s="73" t="s">
        <v>104</v>
      </c>
      <c r="G28" s="73" t="s">
        <v>105</v>
      </c>
      <c r="H28" s="73" t="s">
        <v>105</v>
      </c>
      <c r="I28" s="73" t="s">
        <v>106</v>
      </c>
      <c r="J28" s="73" t="s">
        <v>101</v>
      </c>
      <c r="K28" s="73" t="s">
        <v>107</v>
      </c>
      <c r="L28" s="73" t="s">
        <v>108</v>
      </c>
      <c r="M28" s="73" t="s">
        <v>109</v>
      </c>
      <c r="N28" s="73" t="s">
        <v>109</v>
      </c>
      <c r="O28" s="73" t="s">
        <v>110</v>
      </c>
      <c r="P28" s="73" t="s">
        <v>111</v>
      </c>
      <c r="Q28" s="73" t="s">
        <v>110</v>
      </c>
      <c r="R28" s="73" t="s">
        <v>110</v>
      </c>
      <c r="S28" s="73" t="s">
        <v>70</v>
      </c>
    </row>
    <row r="30" spans="1:20" x14ac:dyDescent="0.2">
      <c r="A30" s="20">
        <v>0</v>
      </c>
      <c r="B30" s="68">
        <f>E8</f>
        <v>1000</v>
      </c>
      <c r="C30" s="74"/>
      <c r="D30" s="74"/>
      <c r="E30" s="74"/>
      <c r="F30" s="74"/>
      <c r="G30" s="74"/>
      <c r="H30" s="74"/>
      <c r="I30" s="70">
        <v>0</v>
      </c>
      <c r="J30" s="75">
        <f>'[2]WACOC-Tax Table'!$D$11*I30</f>
        <v>0</v>
      </c>
      <c r="K30" s="75">
        <f>I30*('[2]WACOC-Tax Table'!$D$12)</f>
        <v>0</v>
      </c>
      <c r="M30" s="70">
        <f t="shared" ref="M30:M70" si="1">$E$12*D30</f>
        <v>0</v>
      </c>
      <c r="N30" s="76">
        <f t="shared" ref="N30:N70" si="2">($E$11/(1-$E$11))*K30</f>
        <v>0</v>
      </c>
      <c r="O30" s="68">
        <f t="shared" ref="O30:O70" si="3">C30+J30+K30+L30+M30+N30</f>
        <v>0</v>
      </c>
      <c r="P30" s="77">
        <v>1</v>
      </c>
      <c r="Q30" s="78">
        <f t="shared" ref="Q30:Q70" si="4">O30*P30</f>
        <v>0</v>
      </c>
      <c r="R30" s="70">
        <f>Q30</f>
        <v>0</v>
      </c>
    </row>
    <row r="31" spans="1:20" x14ac:dyDescent="0.2">
      <c r="A31" s="20">
        <v>1</v>
      </c>
      <c r="C31" s="76">
        <f>(1/$E$9)*$B$30</f>
        <v>200</v>
      </c>
      <c r="D31" s="76">
        <f>$B$30-C31</f>
        <v>800</v>
      </c>
      <c r="E31" s="76">
        <f>HLOOKUP($E$10,'[2]WACOC-Tax Table'!$B$17:$E$58,A32)*$B$30</f>
        <v>200</v>
      </c>
      <c r="F31" s="76">
        <f>B30-E31</f>
        <v>800</v>
      </c>
      <c r="G31" s="76">
        <f t="shared" ref="G31:G70" si="5">(E31-C31)*$E$11</f>
        <v>0</v>
      </c>
      <c r="H31" s="76">
        <f>G31</f>
        <v>0</v>
      </c>
      <c r="I31" s="76">
        <f t="shared" ref="I31:I36" si="6">D31-H31</f>
        <v>800</v>
      </c>
      <c r="J31" s="75">
        <f>'[2]WACOC-Tax Table'!$D$11*I31</f>
        <v>13.414464000000001</v>
      </c>
      <c r="K31" s="79">
        <f>I31*('[2]WACOC-Tax Table'!$D$12)</f>
        <v>48.963200000000001</v>
      </c>
      <c r="L31" s="76">
        <f>$E$14*$E$8</f>
        <v>0</v>
      </c>
      <c r="M31" s="76">
        <f t="shared" si="1"/>
        <v>0</v>
      </c>
      <c r="N31" s="76">
        <f t="shared" si="2"/>
        <v>29.150692712925373</v>
      </c>
      <c r="O31" s="76">
        <f t="shared" si="3"/>
        <v>291.52835671292536</v>
      </c>
      <c r="P31" s="77">
        <v>0.9276678112108433</v>
      </c>
      <c r="Q31" s="80">
        <f t="shared" si="4"/>
        <v>270.44147257777342</v>
      </c>
      <c r="R31" s="76">
        <f t="shared" ref="R31:R69" si="7">R30+Q31</f>
        <v>270.44147257777342</v>
      </c>
      <c r="S31" s="63">
        <f t="shared" ref="S31:S70" si="8">O31/$B$30</f>
        <v>0.29152835671292537</v>
      </c>
      <c r="T31" s="71"/>
    </row>
    <row r="32" spans="1:20" x14ac:dyDescent="0.2">
      <c r="A32" s="20">
        <v>2</v>
      </c>
      <c r="C32" s="76">
        <f t="shared" ref="C32:C69" si="9">IF(D31&lt;=0.001,0,(1/$E$9)*$B$30)</f>
        <v>200</v>
      </c>
      <c r="D32" s="76">
        <f t="shared" ref="D32:D69" si="10">D31-C32</f>
        <v>600</v>
      </c>
      <c r="E32" s="76">
        <f>HLOOKUP($E$10,'[2]WACOC-Tax Table'!$B$17:$E$58,A33)*$B$30</f>
        <v>320</v>
      </c>
      <c r="F32" s="76">
        <f t="shared" ref="F32:F69" si="11">F31-E32</f>
        <v>480</v>
      </c>
      <c r="G32" s="76">
        <f t="shared" si="5"/>
        <v>44.781830786576876</v>
      </c>
      <c r="H32" s="76">
        <f t="shared" ref="H32:H69" si="12">H31+G32</f>
        <v>44.781830786576876</v>
      </c>
      <c r="I32" s="76">
        <f t="shared" si="6"/>
        <v>555.21816921342315</v>
      </c>
      <c r="J32" s="75">
        <f>'[2]WACOC-Tax Table'!$D$11*I32</f>
        <v>9.3099426788242177</v>
      </c>
      <c r="K32" s="79">
        <f>I32*('[2]WACOC-Tax Table'!$D$12)</f>
        <v>33.981572828538354</v>
      </c>
      <c r="L32" s="76">
        <f t="shared" ref="L32:L65" si="13">$E$14*$E$8*(1+$E$15)^A31</f>
        <v>0</v>
      </c>
      <c r="M32" s="76">
        <f t="shared" si="1"/>
        <v>0</v>
      </c>
      <c r="N32" s="76">
        <f t="shared" si="2"/>
        <v>20.231242799216876</v>
      </c>
      <c r="O32" s="76">
        <f t="shared" si="3"/>
        <v>263.52275830657948</v>
      </c>
      <c r="P32" s="77">
        <v>0.86056756795671685</v>
      </c>
      <c r="Q32" s="80">
        <f t="shared" si="4"/>
        <v>226.77913921713881</v>
      </c>
      <c r="R32" s="76">
        <f t="shared" si="7"/>
        <v>497.2206117949122</v>
      </c>
      <c r="S32" s="63">
        <f t="shared" si="8"/>
        <v>0.26352275830657945</v>
      </c>
      <c r="T32" s="71"/>
    </row>
    <row r="33" spans="1:20" x14ac:dyDescent="0.2">
      <c r="A33" s="20">
        <v>3</v>
      </c>
      <c r="C33" s="76">
        <f t="shared" si="9"/>
        <v>200</v>
      </c>
      <c r="D33" s="76">
        <f t="shared" si="10"/>
        <v>400</v>
      </c>
      <c r="E33" s="76">
        <f>HLOOKUP($E$10,'[2]WACOC-Tax Table'!$B$17:$E$58,A34)*$B$30</f>
        <v>192</v>
      </c>
      <c r="F33" s="76">
        <f t="shared" si="11"/>
        <v>288</v>
      </c>
      <c r="G33" s="76">
        <f t="shared" si="5"/>
        <v>-2.9854553857717918</v>
      </c>
      <c r="H33" s="76">
        <f t="shared" si="12"/>
        <v>41.796375400805083</v>
      </c>
      <c r="I33" s="76">
        <f t="shared" si="6"/>
        <v>358.20362459919494</v>
      </c>
      <c r="J33" s="75">
        <f>'[2]WACOC-Tax Table'!$D$11*I33</f>
        <v>6.0063870335692693</v>
      </c>
      <c r="K33" s="79">
        <f>I33*('[2]WACOC-Tax Table'!$D$12)</f>
        <v>21.923494639969128</v>
      </c>
      <c r="L33" s="76">
        <f t="shared" si="13"/>
        <v>0</v>
      </c>
      <c r="M33" s="76">
        <f t="shared" si="1"/>
        <v>0</v>
      </c>
      <c r="N33" s="76">
        <f t="shared" si="2"/>
        <v>13.052354736684009</v>
      </c>
      <c r="O33" s="76">
        <f t="shared" si="3"/>
        <v>240.98223641022241</v>
      </c>
      <c r="P33" s="77">
        <v>0.79832083216544625</v>
      </c>
      <c r="Q33" s="80">
        <f t="shared" si="4"/>
        <v>192.38113950809907</v>
      </c>
      <c r="R33" s="76">
        <f t="shared" si="7"/>
        <v>689.60175130301127</v>
      </c>
      <c r="S33" s="63">
        <f t="shared" si="8"/>
        <v>0.2409822364102224</v>
      </c>
      <c r="T33" s="71"/>
    </row>
    <row r="34" spans="1:20" x14ac:dyDescent="0.2">
      <c r="A34" s="20">
        <v>4</v>
      </c>
      <c r="C34" s="76">
        <f t="shared" si="9"/>
        <v>200</v>
      </c>
      <c r="D34" s="76">
        <f t="shared" si="10"/>
        <v>200</v>
      </c>
      <c r="E34" s="76">
        <f>HLOOKUP($E$10,'[2]WACOC-Tax Table'!$B$17:$E$58,A35)*$B$30</f>
        <v>115.2</v>
      </c>
      <c r="F34" s="76">
        <f t="shared" si="11"/>
        <v>172.8</v>
      </c>
      <c r="G34" s="76">
        <f t="shared" si="5"/>
        <v>-31.645827089180994</v>
      </c>
      <c r="H34" s="76">
        <f t="shared" si="12"/>
        <v>10.150548311624089</v>
      </c>
      <c r="I34" s="76">
        <f t="shared" si="6"/>
        <v>189.84945168837592</v>
      </c>
      <c r="J34" s="75">
        <f>'[2]WACOC-Tax Table'!$D$11*I34</f>
        <v>3.1834107938668228</v>
      </c>
      <c r="K34" s="79">
        <f>I34*('[2]WACOC-Tax Table'!$D$12)</f>
        <v>11.619545841135361</v>
      </c>
      <c r="L34" s="76">
        <f t="shared" si="13"/>
        <v>0</v>
      </c>
      <c r="M34" s="76">
        <f t="shared" si="1"/>
        <v>0</v>
      </c>
      <c r="N34" s="76">
        <f t="shared" si="2"/>
        <v>6.9178037848565221</v>
      </c>
      <c r="O34" s="76">
        <f t="shared" si="3"/>
        <v>221.72076041985869</v>
      </c>
      <c r="P34" s="77">
        <v>0.74057653901893838</v>
      </c>
      <c r="Q34" s="80">
        <f t="shared" si="4"/>
        <v>164.20119338038617</v>
      </c>
      <c r="R34" s="76">
        <f t="shared" si="7"/>
        <v>853.80294468339741</v>
      </c>
      <c r="S34" s="63">
        <f t="shared" si="8"/>
        <v>0.22172076041985869</v>
      </c>
      <c r="T34" s="71"/>
    </row>
    <row r="35" spans="1:20" ht="13.5" customHeight="1" x14ac:dyDescent="0.2">
      <c r="A35" s="20">
        <v>5</v>
      </c>
      <c r="C35" s="76">
        <f t="shared" si="9"/>
        <v>200</v>
      </c>
      <c r="D35" s="76">
        <f t="shared" si="10"/>
        <v>0</v>
      </c>
      <c r="E35" s="76">
        <f>HLOOKUP($E$10,'[2]WACOC-Tax Table'!$B$17:$E$58,A36)*$B$30</f>
        <v>115.2</v>
      </c>
      <c r="F35" s="76">
        <f t="shared" si="11"/>
        <v>57.600000000000009</v>
      </c>
      <c r="G35" s="76">
        <f t="shared" si="5"/>
        <v>-31.645827089180994</v>
      </c>
      <c r="H35" s="76">
        <f t="shared" si="12"/>
        <v>-21.495278777556905</v>
      </c>
      <c r="I35" s="76">
        <f t="shared" si="6"/>
        <v>21.495278777556905</v>
      </c>
      <c r="J35" s="75">
        <f>'[2]WACOC-Tax Table'!$D$11*I35</f>
        <v>0.36043455416437642</v>
      </c>
      <c r="K35" s="79">
        <f>I35*('[2]WACOC-Tax Table'!$D$12)</f>
        <v>1.3155970423015928</v>
      </c>
      <c r="L35" s="76">
        <f t="shared" si="13"/>
        <v>0</v>
      </c>
      <c r="M35" s="76">
        <f t="shared" si="1"/>
        <v>0</v>
      </c>
      <c r="N35" s="76">
        <f t="shared" si="2"/>
        <v>0.78325283302903437</v>
      </c>
      <c r="O35" s="76">
        <f t="shared" si="3"/>
        <v>202.459284429495</v>
      </c>
      <c r="P35" s="77">
        <v>0.6870090169858003</v>
      </c>
      <c r="Q35" s="80">
        <f t="shared" si="4"/>
        <v>139.0913539755559</v>
      </c>
      <c r="R35" s="76">
        <f t="shared" si="7"/>
        <v>992.89429865895329</v>
      </c>
      <c r="S35" s="63">
        <f t="shared" si="8"/>
        <v>0.20245928442949501</v>
      </c>
      <c r="T35" s="71"/>
    </row>
    <row r="36" spans="1:20" x14ac:dyDescent="0.2">
      <c r="A36" s="20">
        <v>6</v>
      </c>
      <c r="C36" s="76">
        <f t="shared" si="9"/>
        <v>0</v>
      </c>
      <c r="D36" s="76">
        <f t="shared" si="10"/>
        <v>0</v>
      </c>
      <c r="E36" s="76">
        <f>HLOOKUP($E$10,'[2]WACOC-Tax Table'!$B$17:$E$58,A37)*$B$30</f>
        <v>57.600000000000044</v>
      </c>
      <c r="F36" s="76">
        <f t="shared" si="11"/>
        <v>0</v>
      </c>
      <c r="G36" s="76">
        <f t="shared" si="5"/>
        <v>21.495278777556919</v>
      </c>
      <c r="H36" s="76">
        <f t="shared" si="12"/>
        <v>0</v>
      </c>
      <c r="I36" s="76">
        <f t="shared" si="6"/>
        <v>0</v>
      </c>
      <c r="J36" s="75">
        <f>'[2]WACOC-Tax Table'!$D$11*I36</f>
        <v>0</v>
      </c>
      <c r="K36" s="79">
        <f>I36*('[2]WACOC-Tax Table'!$D$12)</f>
        <v>0</v>
      </c>
      <c r="L36" s="76">
        <f t="shared" si="13"/>
        <v>0</v>
      </c>
      <c r="M36" s="76">
        <f t="shared" si="1"/>
        <v>0</v>
      </c>
      <c r="N36" s="76">
        <f t="shared" si="2"/>
        <v>0</v>
      </c>
      <c r="O36" s="76">
        <f t="shared" si="3"/>
        <v>0</v>
      </c>
      <c r="P36" s="77">
        <v>0.63731615106933048</v>
      </c>
      <c r="Q36" s="80">
        <f t="shared" si="4"/>
        <v>0</v>
      </c>
      <c r="R36" s="76">
        <f t="shared" si="7"/>
        <v>992.89429865895329</v>
      </c>
      <c r="S36" s="63">
        <f t="shared" si="8"/>
        <v>0</v>
      </c>
      <c r="T36" s="71"/>
    </row>
    <row r="37" spans="1:20" ht="10.5" hidden="1" customHeight="1" x14ac:dyDescent="0.2">
      <c r="A37" s="20">
        <v>7</v>
      </c>
      <c r="C37" s="76">
        <f t="shared" si="9"/>
        <v>0</v>
      </c>
      <c r="D37" s="76">
        <f t="shared" si="10"/>
        <v>0</v>
      </c>
      <c r="E37" s="76">
        <f>HLOOKUP($E$10,'[2]WACOC-Tax Table'!$B$17:$E$58,A38)*$B$30</f>
        <v>0</v>
      </c>
      <c r="F37" s="76">
        <f t="shared" si="11"/>
        <v>0</v>
      </c>
      <c r="G37" s="76">
        <f t="shared" si="5"/>
        <v>0</v>
      </c>
      <c r="H37" s="76">
        <f t="shared" si="12"/>
        <v>0</v>
      </c>
      <c r="I37" s="76">
        <f t="shared" ref="I37:I70" si="14">D37</f>
        <v>0</v>
      </c>
      <c r="J37" s="76">
        <f>'[1]WACOC-Tax Table'!$E$10*I37</f>
        <v>0</v>
      </c>
      <c r="K37" s="79">
        <f>I37*('[2]WACOC-Tax Table'!$D$12)</f>
        <v>0</v>
      </c>
      <c r="L37" s="76">
        <f t="shared" si="13"/>
        <v>0</v>
      </c>
      <c r="M37" s="76">
        <f t="shared" si="1"/>
        <v>0</v>
      </c>
      <c r="N37" s="76">
        <f t="shared" si="2"/>
        <v>0</v>
      </c>
      <c r="O37" s="76">
        <f t="shared" si="3"/>
        <v>0</v>
      </c>
      <c r="P37" s="77">
        <v>0.57152075060014274</v>
      </c>
      <c r="Q37" s="80">
        <f t="shared" si="4"/>
        <v>0</v>
      </c>
      <c r="R37" s="76">
        <f t="shared" si="7"/>
        <v>992.89429865895329</v>
      </c>
      <c r="S37" s="63">
        <f t="shared" si="8"/>
        <v>0</v>
      </c>
      <c r="T37" s="71"/>
    </row>
    <row r="38" spans="1:20" hidden="1" x14ac:dyDescent="0.2">
      <c r="A38" s="20">
        <v>8</v>
      </c>
      <c r="C38" s="76">
        <f t="shared" si="9"/>
        <v>0</v>
      </c>
      <c r="D38" s="76">
        <f t="shared" si="10"/>
        <v>0</v>
      </c>
      <c r="E38" s="76">
        <f>HLOOKUP($E$10,'[2]WACOC-Tax Table'!$B$17:$E$58,A39)*$B$30</f>
        <v>0</v>
      </c>
      <c r="F38" s="76">
        <f t="shared" si="11"/>
        <v>0</v>
      </c>
      <c r="G38" s="76">
        <f t="shared" si="5"/>
        <v>0</v>
      </c>
      <c r="H38" s="76">
        <f t="shared" si="12"/>
        <v>0</v>
      </c>
      <c r="I38" s="76">
        <f t="shared" si="14"/>
        <v>0</v>
      </c>
      <c r="J38" s="76">
        <f>'[1]WACOC-Tax Table'!$E$10*I38</f>
        <v>0</v>
      </c>
      <c r="K38" s="79">
        <f>I38*('[2]WACOC-Tax Table'!$D$12)</f>
        <v>0</v>
      </c>
      <c r="L38" s="76">
        <f t="shared" si="13"/>
        <v>0</v>
      </c>
      <c r="M38" s="76">
        <f t="shared" si="1"/>
        <v>0</v>
      </c>
      <c r="N38" s="76">
        <f t="shared" si="2"/>
        <v>0</v>
      </c>
      <c r="O38" s="76">
        <f t="shared" si="3"/>
        <v>0</v>
      </c>
      <c r="P38" s="77">
        <v>0.52762126329744741</v>
      </c>
      <c r="Q38" s="80">
        <f t="shared" si="4"/>
        <v>0</v>
      </c>
      <c r="R38" s="76">
        <f t="shared" si="7"/>
        <v>992.89429865895329</v>
      </c>
      <c r="S38" s="63">
        <f t="shared" si="8"/>
        <v>0</v>
      </c>
      <c r="T38" s="71"/>
    </row>
    <row r="39" spans="1:20" hidden="1" x14ac:dyDescent="0.2">
      <c r="A39" s="20">
        <v>9</v>
      </c>
      <c r="C39" s="76">
        <f t="shared" si="9"/>
        <v>0</v>
      </c>
      <c r="D39" s="76">
        <f t="shared" si="10"/>
        <v>0</v>
      </c>
      <c r="E39" s="76">
        <f>HLOOKUP($E$10,'[2]WACOC-Tax Table'!$B$17:$E$58,A40)*$B$30</f>
        <v>0</v>
      </c>
      <c r="F39" s="76">
        <f t="shared" si="11"/>
        <v>0</v>
      </c>
      <c r="G39" s="76">
        <f t="shared" si="5"/>
        <v>0</v>
      </c>
      <c r="H39" s="76">
        <f t="shared" si="12"/>
        <v>0</v>
      </c>
      <c r="I39" s="76">
        <f t="shared" si="14"/>
        <v>0</v>
      </c>
      <c r="J39" s="76">
        <f>'[1]WACOC-Tax Table'!$E$10*I39</f>
        <v>0</v>
      </c>
      <c r="K39" s="79">
        <f>I39*('[2]WACOC-Tax Table'!$D$12)</f>
        <v>0</v>
      </c>
      <c r="L39" s="76">
        <f t="shared" si="13"/>
        <v>0</v>
      </c>
      <c r="M39" s="76">
        <f t="shared" si="1"/>
        <v>0</v>
      </c>
      <c r="N39" s="76">
        <f t="shared" si="2"/>
        <v>0</v>
      </c>
      <c r="O39" s="76">
        <f t="shared" si="3"/>
        <v>0</v>
      </c>
      <c r="P39" s="77">
        <v>0.48709377077082233</v>
      </c>
      <c r="Q39" s="80">
        <f t="shared" si="4"/>
        <v>0</v>
      </c>
      <c r="R39" s="76">
        <f t="shared" si="7"/>
        <v>992.89429865895329</v>
      </c>
      <c r="S39" s="63">
        <f t="shared" si="8"/>
        <v>0</v>
      </c>
      <c r="T39" s="71"/>
    </row>
    <row r="40" spans="1:20" hidden="1" x14ac:dyDescent="0.2">
      <c r="A40" s="20">
        <v>10</v>
      </c>
      <c r="C40" s="76">
        <f t="shared" si="9"/>
        <v>0</v>
      </c>
      <c r="D40" s="76">
        <f t="shared" si="10"/>
        <v>0</v>
      </c>
      <c r="E40" s="76">
        <f>HLOOKUP($E$10,'[2]WACOC-Tax Table'!$B$17:$E$58,A41)*$B$30</f>
        <v>0</v>
      </c>
      <c r="F40" s="76">
        <f t="shared" si="11"/>
        <v>0</v>
      </c>
      <c r="G40" s="76">
        <f t="shared" si="5"/>
        <v>0</v>
      </c>
      <c r="H40" s="76">
        <f t="shared" si="12"/>
        <v>0</v>
      </c>
      <c r="I40" s="76">
        <f t="shared" si="14"/>
        <v>0</v>
      </c>
      <c r="J40" s="76">
        <f>'[1]WACOC-Tax Table'!$E$10*I40</f>
        <v>0</v>
      </c>
      <c r="K40" s="79">
        <f>I40*('[2]WACOC-Tax Table'!$D$12)</f>
        <v>0</v>
      </c>
      <c r="L40" s="76">
        <f t="shared" si="13"/>
        <v>0</v>
      </c>
      <c r="M40" s="76">
        <f t="shared" si="1"/>
        <v>0</v>
      </c>
      <c r="N40" s="76">
        <f t="shared" si="2"/>
        <v>0</v>
      </c>
      <c r="O40" s="76">
        <f t="shared" si="3"/>
        <v>0</v>
      </c>
      <c r="P40" s="77">
        <v>0.44967926432862992</v>
      </c>
      <c r="Q40" s="80">
        <f t="shared" si="4"/>
        <v>0</v>
      </c>
      <c r="R40" s="76">
        <f t="shared" si="7"/>
        <v>992.89429865895329</v>
      </c>
      <c r="S40" s="63">
        <f t="shared" si="8"/>
        <v>0</v>
      </c>
      <c r="T40" s="71"/>
    </row>
    <row r="41" spans="1:20" hidden="1" x14ac:dyDescent="0.2">
      <c r="A41" s="20">
        <v>11</v>
      </c>
      <c r="C41" s="76">
        <f t="shared" si="9"/>
        <v>0</v>
      </c>
      <c r="D41" s="76">
        <f t="shared" si="10"/>
        <v>0</v>
      </c>
      <c r="E41" s="76">
        <f>HLOOKUP($E$10,'[2]WACOC-Tax Table'!$B$17:$E$58,A42)*$B$30</f>
        <v>0</v>
      </c>
      <c r="F41" s="76">
        <f t="shared" si="11"/>
        <v>0</v>
      </c>
      <c r="G41" s="76">
        <f t="shared" si="5"/>
        <v>0</v>
      </c>
      <c r="H41" s="76">
        <f t="shared" si="12"/>
        <v>0</v>
      </c>
      <c r="I41" s="76">
        <f t="shared" si="14"/>
        <v>0</v>
      </c>
      <c r="J41" s="76">
        <f>'[1]WACOC-Tax Table'!$E$10*I41</f>
        <v>0</v>
      </c>
      <c r="K41" s="79">
        <f>I41*('[2]WACOC-Tax Table'!$D$12)</f>
        <v>0</v>
      </c>
      <c r="L41" s="76">
        <f t="shared" si="13"/>
        <v>0</v>
      </c>
      <c r="M41" s="76">
        <f t="shared" si="1"/>
        <v>0</v>
      </c>
      <c r="N41" s="76">
        <f t="shared" si="2"/>
        <v>0</v>
      </c>
      <c r="O41" s="76">
        <f t="shared" si="3"/>
        <v>0</v>
      </c>
      <c r="P41" s="77">
        <v>0.41513863018026209</v>
      </c>
      <c r="Q41" s="80">
        <f t="shared" si="4"/>
        <v>0</v>
      </c>
      <c r="R41" s="76">
        <f t="shared" si="7"/>
        <v>992.89429865895329</v>
      </c>
      <c r="S41" s="63">
        <f t="shared" si="8"/>
        <v>0</v>
      </c>
      <c r="T41" s="71"/>
    </row>
    <row r="42" spans="1:20" hidden="1" x14ac:dyDescent="0.2">
      <c r="A42" s="20">
        <v>12</v>
      </c>
      <c r="C42" s="76">
        <f t="shared" si="9"/>
        <v>0</v>
      </c>
      <c r="D42" s="76">
        <f t="shared" si="10"/>
        <v>0</v>
      </c>
      <c r="E42" s="76">
        <f>HLOOKUP($E$10,'[2]WACOC-Tax Table'!$B$17:$E$58,A43)*$B$30</f>
        <v>0</v>
      </c>
      <c r="F42" s="76">
        <f t="shared" si="11"/>
        <v>0</v>
      </c>
      <c r="G42" s="76">
        <f t="shared" si="5"/>
        <v>0</v>
      </c>
      <c r="H42" s="76">
        <f t="shared" si="12"/>
        <v>0</v>
      </c>
      <c r="I42" s="76">
        <f t="shared" si="14"/>
        <v>0</v>
      </c>
      <c r="J42" s="76">
        <f>'[1]WACOC-Tax Table'!$E$10*I42</f>
        <v>0</v>
      </c>
      <c r="K42" s="79">
        <f>I42*('[2]WACOC-Tax Table'!$D$12)</f>
        <v>0</v>
      </c>
      <c r="L42" s="76">
        <f t="shared" si="13"/>
        <v>0</v>
      </c>
      <c r="M42" s="76">
        <f t="shared" si="1"/>
        <v>0</v>
      </c>
      <c r="N42" s="76">
        <f t="shared" si="2"/>
        <v>0</v>
      </c>
      <c r="O42" s="76">
        <f t="shared" si="3"/>
        <v>0</v>
      </c>
      <c r="P42" s="77">
        <v>0.38325112127473299</v>
      </c>
      <c r="Q42" s="80">
        <f t="shared" si="4"/>
        <v>0</v>
      </c>
      <c r="R42" s="76">
        <f t="shared" si="7"/>
        <v>992.89429865895329</v>
      </c>
      <c r="S42" s="63">
        <f t="shared" si="8"/>
        <v>0</v>
      </c>
      <c r="T42" s="71"/>
    </row>
    <row r="43" spans="1:20" hidden="1" x14ac:dyDescent="0.2">
      <c r="A43" s="20">
        <v>13</v>
      </c>
      <c r="C43" s="76">
        <f t="shared" si="9"/>
        <v>0</v>
      </c>
      <c r="D43" s="76">
        <f t="shared" si="10"/>
        <v>0</v>
      </c>
      <c r="E43" s="76">
        <f>HLOOKUP($E$10,'[2]WACOC-Tax Table'!$B$17:$E$58,A44)*$B$30</f>
        <v>0</v>
      </c>
      <c r="F43" s="76">
        <f t="shared" si="11"/>
        <v>0</v>
      </c>
      <c r="G43" s="76">
        <f t="shared" si="5"/>
        <v>0</v>
      </c>
      <c r="H43" s="76">
        <f t="shared" si="12"/>
        <v>0</v>
      </c>
      <c r="I43" s="76">
        <f t="shared" si="14"/>
        <v>0</v>
      </c>
      <c r="J43" s="76">
        <f>'[1]WACOC-Tax Table'!$E$10*I43</f>
        <v>0</v>
      </c>
      <c r="K43" s="79">
        <f>I43*('[2]WACOC-Tax Table'!$D$12)</f>
        <v>0</v>
      </c>
      <c r="L43" s="76">
        <f t="shared" si="13"/>
        <v>0</v>
      </c>
      <c r="M43" s="76">
        <f t="shared" si="1"/>
        <v>0</v>
      </c>
      <c r="N43" s="76">
        <f t="shared" si="2"/>
        <v>0</v>
      </c>
      <c r="O43" s="76">
        <f t="shared" si="3"/>
        <v>0</v>
      </c>
      <c r="P43" s="77">
        <v>0.35381294651996376</v>
      </c>
      <c r="Q43" s="80">
        <f t="shared" si="4"/>
        <v>0</v>
      </c>
      <c r="R43" s="76">
        <f t="shared" si="7"/>
        <v>992.89429865895329</v>
      </c>
      <c r="S43" s="63">
        <f t="shared" si="8"/>
        <v>0</v>
      </c>
      <c r="T43" s="71"/>
    </row>
    <row r="44" spans="1:20" hidden="1" x14ac:dyDescent="0.2">
      <c r="A44" s="20">
        <v>14</v>
      </c>
      <c r="C44" s="76">
        <f t="shared" si="9"/>
        <v>0</v>
      </c>
      <c r="D44" s="76">
        <f t="shared" si="10"/>
        <v>0</v>
      </c>
      <c r="E44" s="76">
        <f>HLOOKUP($E$10,'[2]WACOC-Tax Table'!$B$17:$E$58,A45)*$B$30</f>
        <v>0</v>
      </c>
      <c r="F44" s="76">
        <f t="shared" si="11"/>
        <v>0</v>
      </c>
      <c r="G44" s="76">
        <f t="shared" si="5"/>
        <v>0</v>
      </c>
      <c r="H44" s="76">
        <f t="shared" si="12"/>
        <v>0</v>
      </c>
      <c r="I44" s="76">
        <f t="shared" si="14"/>
        <v>0</v>
      </c>
      <c r="J44" s="76">
        <f>'[1]WACOC-Tax Table'!$E$10*I44</f>
        <v>0</v>
      </c>
      <c r="K44" s="79">
        <f>I44*('[2]WACOC-Tax Table'!$D$12)</f>
        <v>0</v>
      </c>
      <c r="L44" s="76">
        <f t="shared" si="13"/>
        <v>0</v>
      </c>
      <c r="M44" s="76">
        <f t="shared" si="1"/>
        <v>0</v>
      </c>
      <c r="N44" s="76">
        <f t="shared" si="2"/>
        <v>0</v>
      </c>
      <c r="O44" s="76">
        <f t="shared" si="3"/>
        <v>0</v>
      </c>
      <c r="P44" s="77">
        <v>0.32663596836655051</v>
      </c>
      <c r="Q44" s="80">
        <f t="shared" si="4"/>
        <v>0</v>
      </c>
      <c r="R44" s="76">
        <f t="shared" si="7"/>
        <v>992.89429865895329</v>
      </c>
      <c r="S44" s="63">
        <f t="shared" si="8"/>
        <v>0</v>
      </c>
      <c r="T44" s="71"/>
    </row>
    <row r="45" spans="1:20" hidden="1" x14ac:dyDescent="0.2">
      <c r="A45" s="20">
        <v>15</v>
      </c>
      <c r="C45" s="76">
        <f t="shared" si="9"/>
        <v>0</v>
      </c>
      <c r="D45" s="76">
        <f t="shared" si="10"/>
        <v>0</v>
      </c>
      <c r="E45" s="76">
        <f>HLOOKUP($E$10,'[2]WACOC-Tax Table'!$B$17:$E$58,A46)*$B$30</f>
        <v>0</v>
      </c>
      <c r="F45" s="76">
        <f t="shared" si="11"/>
        <v>0</v>
      </c>
      <c r="G45" s="76">
        <f t="shared" si="5"/>
        <v>0</v>
      </c>
      <c r="H45" s="76">
        <f t="shared" si="12"/>
        <v>0</v>
      </c>
      <c r="I45" s="76">
        <f t="shared" si="14"/>
        <v>0</v>
      </c>
      <c r="J45" s="76">
        <f>'[1]WACOC-Tax Table'!$E$10*I45</f>
        <v>0</v>
      </c>
      <c r="K45" s="79">
        <f>I45*('[2]WACOC-Tax Table'!$D$12)</f>
        <v>0</v>
      </c>
      <c r="L45" s="76">
        <f t="shared" si="13"/>
        <v>0</v>
      </c>
      <c r="M45" s="76">
        <f t="shared" si="1"/>
        <v>0</v>
      </c>
      <c r="N45" s="76">
        <f t="shared" si="2"/>
        <v>0</v>
      </c>
      <c r="O45" s="76">
        <f t="shared" si="3"/>
        <v>0</v>
      </c>
      <c r="P45" s="77">
        <v>0.30154650043235265</v>
      </c>
      <c r="Q45" s="80">
        <f t="shared" si="4"/>
        <v>0</v>
      </c>
      <c r="R45" s="76">
        <f t="shared" si="7"/>
        <v>992.89429865895329</v>
      </c>
      <c r="S45" s="63">
        <f t="shared" si="8"/>
        <v>0</v>
      </c>
      <c r="T45" s="71"/>
    </row>
    <row r="46" spans="1:20" hidden="1" x14ac:dyDescent="0.2">
      <c r="A46" s="20">
        <v>16</v>
      </c>
      <c r="C46" s="76">
        <f t="shared" si="9"/>
        <v>0</v>
      </c>
      <c r="D46" s="76">
        <f t="shared" si="10"/>
        <v>0</v>
      </c>
      <c r="E46" s="76">
        <f>HLOOKUP($E$10,'[2]WACOC-Tax Table'!$B$17:$E$58,A47)*$B$30</f>
        <v>0</v>
      </c>
      <c r="F46" s="76">
        <f t="shared" si="11"/>
        <v>0</v>
      </c>
      <c r="G46" s="76">
        <f t="shared" si="5"/>
        <v>0</v>
      </c>
      <c r="H46" s="76">
        <f t="shared" si="12"/>
        <v>0</v>
      </c>
      <c r="I46" s="76">
        <f t="shared" si="14"/>
        <v>0</v>
      </c>
      <c r="J46" s="76">
        <f>'[1]WACOC-Tax Table'!$E$10*I46</f>
        <v>0</v>
      </c>
      <c r="K46" s="79">
        <f>I46*('[2]WACOC-Tax Table'!$D$12)</f>
        <v>0</v>
      </c>
      <c r="L46" s="76">
        <f t="shared" si="13"/>
        <v>0</v>
      </c>
      <c r="M46" s="76">
        <f t="shared" si="1"/>
        <v>0</v>
      </c>
      <c r="N46" s="76">
        <f t="shared" si="2"/>
        <v>0</v>
      </c>
      <c r="O46" s="76">
        <f t="shared" si="3"/>
        <v>0</v>
      </c>
      <c r="P46" s="77">
        <v>0.27838419748359428</v>
      </c>
      <c r="Q46" s="80">
        <f t="shared" si="4"/>
        <v>0</v>
      </c>
      <c r="R46" s="76">
        <f t="shared" si="7"/>
        <v>992.89429865895329</v>
      </c>
      <c r="S46" s="63">
        <f t="shared" si="8"/>
        <v>0</v>
      </c>
      <c r="T46" s="71"/>
    </row>
    <row r="47" spans="1:20" hidden="1" x14ac:dyDescent="0.2">
      <c r="A47" s="20">
        <v>17</v>
      </c>
      <c r="C47" s="76">
        <f t="shared" si="9"/>
        <v>0</v>
      </c>
      <c r="D47" s="76">
        <f t="shared" si="10"/>
        <v>0</v>
      </c>
      <c r="E47" s="76">
        <f>HLOOKUP($E$10,'[2]WACOC-Tax Table'!$B$17:$E$58,A48)*$B$30</f>
        <v>0</v>
      </c>
      <c r="F47" s="76">
        <f t="shared" si="11"/>
        <v>0</v>
      </c>
      <c r="G47" s="76">
        <f t="shared" si="5"/>
        <v>0</v>
      </c>
      <c r="H47" s="76">
        <f t="shared" si="12"/>
        <v>0</v>
      </c>
      <c r="I47" s="76">
        <f t="shared" si="14"/>
        <v>0</v>
      </c>
      <c r="J47" s="76">
        <f>'[1]WACOC-Tax Table'!$E$10*I47</f>
        <v>0</v>
      </c>
      <c r="K47" s="79">
        <f>I47*('[2]WACOC-Tax Table'!$D$12)</f>
        <v>0</v>
      </c>
      <c r="L47" s="76">
        <f t="shared" si="13"/>
        <v>0</v>
      </c>
      <c r="M47" s="76">
        <f t="shared" si="1"/>
        <v>0</v>
      </c>
      <c r="N47" s="76">
        <f t="shared" si="2"/>
        <v>0</v>
      </c>
      <c r="O47" s="76">
        <f t="shared" si="3"/>
        <v>0</v>
      </c>
      <c r="P47" s="77">
        <v>0.25700103067841856</v>
      </c>
      <c r="Q47" s="80">
        <f t="shared" si="4"/>
        <v>0</v>
      </c>
      <c r="R47" s="76">
        <f t="shared" si="7"/>
        <v>992.89429865895329</v>
      </c>
      <c r="S47" s="63">
        <f t="shared" si="8"/>
        <v>0</v>
      </c>
      <c r="T47" s="71"/>
    </row>
    <row r="48" spans="1:20" hidden="1" x14ac:dyDescent="0.2">
      <c r="A48" s="20">
        <v>18</v>
      </c>
      <c r="C48" s="76">
        <f t="shared" si="9"/>
        <v>0</v>
      </c>
      <c r="D48" s="76">
        <f t="shared" si="10"/>
        <v>0</v>
      </c>
      <c r="E48" s="76">
        <f>HLOOKUP($E$10,'[2]WACOC-Tax Table'!$B$17:$E$58,A49)*$B$30</f>
        <v>0</v>
      </c>
      <c r="F48" s="76">
        <f t="shared" si="11"/>
        <v>0</v>
      </c>
      <c r="G48" s="76">
        <f t="shared" si="5"/>
        <v>0</v>
      </c>
      <c r="H48" s="76">
        <f t="shared" si="12"/>
        <v>0</v>
      </c>
      <c r="I48" s="76">
        <f t="shared" si="14"/>
        <v>0</v>
      </c>
      <c r="J48" s="76">
        <f>'[1]WACOC-Tax Table'!$E$10*I48</f>
        <v>0</v>
      </c>
      <c r="K48" s="79">
        <f>I48*('[2]WACOC-Tax Table'!$D$12)</f>
        <v>0</v>
      </c>
      <c r="L48" s="76">
        <f t="shared" si="13"/>
        <v>0</v>
      </c>
      <c r="M48" s="76">
        <f t="shared" si="1"/>
        <v>0</v>
      </c>
      <c r="N48" s="76">
        <f t="shared" si="2"/>
        <v>0</v>
      </c>
      <c r="O48" s="76">
        <f t="shared" si="3"/>
        <v>0</v>
      </c>
      <c r="P48" s="77">
        <v>0.23726034152373848</v>
      </c>
      <c r="Q48" s="80">
        <f t="shared" si="4"/>
        <v>0</v>
      </c>
      <c r="R48" s="76">
        <f t="shared" si="7"/>
        <v>992.89429865895329</v>
      </c>
      <c r="S48" s="63">
        <f t="shared" si="8"/>
        <v>0</v>
      </c>
      <c r="T48" s="71"/>
    </row>
    <row r="49" spans="1:20" hidden="1" x14ac:dyDescent="0.2">
      <c r="A49" s="20">
        <v>19</v>
      </c>
      <c r="C49" s="76">
        <f t="shared" si="9"/>
        <v>0</v>
      </c>
      <c r="D49" s="76">
        <f t="shared" si="10"/>
        <v>0</v>
      </c>
      <c r="E49" s="76">
        <f>HLOOKUP($E$10,'[2]WACOC-Tax Table'!$B$17:$E$58,A50)*$B$30</f>
        <v>0</v>
      </c>
      <c r="F49" s="76">
        <f t="shared" si="11"/>
        <v>0</v>
      </c>
      <c r="G49" s="76">
        <f t="shared" si="5"/>
        <v>0</v>
      </c>
      <c r="H49" s="76">
        <f t="shared" si="12"/>
        <v>0</v>
      </c>
      <c r="I49" s="76">
        <f t="shared" si="14"/>
        <v>0</v>
      </c>
      <c r="J49" s="76">
        <f>'[1]WACOC-Tax Table'!$E$10*I49</f>
        <v>0</v>
      </c>
      <c r="K49" s="79">
        <f>I49*('[2]WACOC-Tax Table'!$D$12)</f>
        <v>0</v>
      </c>
      <c r="L49" s="76">
        <f t="shared" si="13"/>
        <v>0</v>
      </c>
      <c r="M49" s="76">
        <f t="shared" si="1"/>
        <v>0</v>
      </c>
      <c r="N49" s="76">
        <f t="shared" si="2"/>
        <v>0</v>
      </c>
      <c r="O49" s="76">
        <f t="shared" si="3"/>
        <v>0</v>
      </c>
      <c r="P49" s="77">
        <v>0.2190359684992817</v>
      </c>
      <c r="Q49" s="80">
        <f t="shared" si="4"/>
        <v>0</v>
      </c>
      <c r="R49" s="76">
        <f t="shared" si="7"/>
        <v>992.89429865895329</v>
      </c>
      <c r="S49" s="63">
        <f t="shared" si="8"/>
        <v>0</v>
      </c>
      <c r="T49" s="71"/>
    </row>
    <row r="50" spans="1:20" hidden="1" x14ac:dyDescent="0.2">
      <c r="A50" s="20">
        <v>20</v>
      </c>
      <c r="C50" s="76">
        <f t="shared" si="9"/>
        <v>0</v>
      </c>
      <c r="D50" s="76">
        <f t="shared" si="10"/>
        <v>0</v>
      </c>
      <c r="E50" s="76">
        <f>HLOOKUP($E$10,'[2]WACOC-Tax Table'!$B$17:$E$58,A51)*$B$30</f>
        <v>0</v>
      </c>
      <c r="F50" s="76">
        <f t="shared" si="11"/>
        <v>0</v>
      </c>
      <c r="G50" s="76">
        <f t="shared" si="5"/>
        <v>0</v>
      </c>
      <c r="H50" s="76">
        <f t="shared" si="12"/>
        <v>0</v>
      </c>
      <c r="I50" s="76">
        <f t="shared" si="14"/>
        <v>0</v>
      </c>
      <c r="J50" s="76">
        <f>'[1]WACOC-Tax Table'!$E$10*I50</f>
        <v>0</v>
      </c>
      <c r="K50" s="79">
        <f>I50*('[2]WACOC-Tax Table'!$D$12)</f>
        <v>0</v>
      </c>
      <c r="L50" s="76">
        <f t="shared" si="13"/>
        <v>0</v>
      </c>
      <c r="M50" s="76">
        <f t="shared" si="1"/>
        <v>0</v>
      </c>
      <c r="N50" s="76">
        <f t="shared" si="2"/>
        <v>0</v>
      </c>
      <c r="O50" s="76">
        <f t="shared" si="3"/>
        <v>0</v>
      </c>
      <c r="P50" s="77">
        <v>0.20221144076713782</v>
      </c>
      <c r="Q50" s="80">
        <f t="shared" si="4"/>
        <v>0</v>
      </c>
      <c r="R50" s="76">
        <f t="shared" si="7"/>
        <v>992.89429865895329</v>
      </c>
      <c r="S50" s="63">
        <f t="shared" si="8"/>
        <v>0</v>
      </c>
      <c r="T50" s="71"/>
    </row>
    <row r="51" spans="1:20" hidden="1" x14ac:dyDescent="0.2">
      <c r="A51" s="20">
        <v>21</v>
      </c>
      <c r="C51" s="76">
        <f t="shared" si="9"/>
        <v>0</v>
      </c>
      <c r="D51" s="76">
        <f t="shared" si="10"/>
        <v>0</v>
      </c>
      <c r="E51" s="76">
        <f>HLOOKUP($E$10,'[2]WACOC-Tax Table'!$B$17:$E$58,A52)*$B$30</f>
        <v>0</v>
      </c>
      <c r="F51" s="76">
        <f t="shared" si="11"/>
        <v>0</v>
      </c>
      <c r="G51" s="76">
        <f t="shared" si="5"/>
        <v>0</v>
      </c>
      <c r="H51" s="76">
        <f t="shared" si="12"/>
        <v>0</v>
      </c>
      <c r="I51" s="76">
        <f t="shared" si="14"/>
        <v>0</v>
      </c>
      <c r="J51" s="76">
        <f>'[1]WACOC-Tax Table'!$E$10*I51</f>
        <v>0</v>
      </c>
      <c r="K51" s="79">
        <f>I51*('[2]WACOC-Tax Table'!$D$12)</f>
        <v>0</v>
      </c>
      <c r="L51" s="76">
        <f t="shared" si="13"/>
        <v>0</v>
      </c>
      <c r="M51" s="76">
        <f t="shared" si="1"/>
        <v>0</v>
      </c>
      <c r="N51" s="76">
        <f t="shared" si="2"/>
        <v>0</v>
      </c>
      <c r="O51" s="76">
        <f t="shared" si="3"/>
        <v>0</v>
      </c>
      <c r="P51" s="77">
        <v>0.18667923381385546</v>
      </c>
      <c r="Q51" s="80">
        <f t="shared" si="4"/>
        <v>0</v>
      </c>
      <c r="R51" s="76">
        <f t="shared" si="7"/>
        <v>992.89429865895329</v>
      </c>
      <c r="S51" s="63">
        <f t="shared" si="8"/>
        <v>0</v>
      </c>
      <c r="T51" s="71"/>
    </row>
    <row r="52" spans="1:20" hidden="1" x14ac:dyDescent="0.2">
      <c r="A52" s="20">
        <v>22</v>
      </c>
      <c r="C52" s="76">
        <f t="shared" si="9"/>
        <v>0</v>
      </c>
      <c r="D52" s="76">
        <f t="shared" si="10"/>
        <v>0</v>
      </c>
      <c r="E52" s="76">
        <f>HLOOKUP($E$10,'[2]WACOC-Tax Table'!$B$17:$E$58,A53)*$B$30</f>
        <v>0</v>
      </c>
      <c r="F52" s="76">
        <f t="shared" si="11"/>
        <v>0</v>
      </c>
      <c r="G52" s="76">
        <f t="shared" si="5"/>
        <v>0</v>
      </c>
      <c r="H52" s="76">
        <f t="shared" si="12"/>
        <v>0</v>
      </c>
      <c r="I52" s="76">
        <f t="shared" si="14"/>
        <v>0</v>
      </c>
      <c r="J52" s="76">
        <f>'[1]WACOC-Tax Table'!$E$10*I52</f>
        <v>0</v>
      </c>
      <c r="K52" s="79">
        <f>I52*('[2]WACOC-Tax Table'!$D$12)</f>
        <v>0</v>
      </c>
      <c r="L52" s="76">
        <f t="shared" si="13"/>
        <v>0</v>
      </c>
      <c r="M52" s="76">
        <f t="shared" si="1"/>
        <v>0</v>
      </c>
      <c r="N52" s="76">
        <f t="shared" si="2"/>
        <v>0</v>
      </c>
      <c r="O52" s="76">
        <f t="shared" si="3"/>
        <v>0</v>
      </c>
      <c r="P52" s="77">
        <v>0.17234008226794445</v>
      </c>
      <c r="Q52" s="80">
        <f t="shared" si="4"/>
        <v>0</v>
      </c>
      <c r="R52" s="76">
        <f t="shared" si="7"/>
        <v>992.89429865895329</v>
      </c>
      <c r="S52" s="63">
        <f t="shared" si="8"/>
        <v>0</v>
      </c>
      <c r="T52" s="71"/>
    </row>
    <row r="53" spans="1:20" hidden="1" x14ac:dyDescent="0.2">
      <c r="A53" s="20">
        <v>23</v>
      </c>
      <c r="C53" s="76">
        <f t="shared" si="9"/>
        <v>0</v>
      </c>
      <c r="D53" s="76">
        <f t="shared" si="10"/>
        <v>0</v>
      </c>
      <c r="E53" s="76">
        <f>HLOOKUP($E$10,'[2]WACOC-Tax Table'!$B$17:$E$58,A54)*$B$30</f>
        <v>0</v>
      </c>
      <c r="F53" s="76">
        <f t="shared" si="11"/>
        <v>0</v>
      </c>
      <c r="G53" s="76">
        <f t="shared" si="5"/>
        <v>0</v>
      </c>
      <c r="H53" s="76">
        <f t="shared" si="12"/>
        <v>0</v>
      </c>
      <c r="I53" s="76">
        <f t="shared" si="14"/>
        <v>0</v>
      </c>
      <c r="J53" s="76">
        <f>'[1]WACOC-Tax Table'!$E$10*I53</f>
        <v>0</v>
      </c>
      <c r="K53" s="79">
        <f>I53*('[2]WACOC-Tax Table'!$D$12)</f>
        <v>0</v>
      </c>
      <c r="L53" s="76">
        <f t="shared" si="13"/>
        <v>0</v>
      </c>
      <c r="M53" s="76">
        <f t="shared" si="1"/>
        <v>0</v>
      </c>
      <c r="N53" s="76">
        <f t="shared" si="2"/>
        <v>0</v>
      </c>
      <c r="O53" s="76">
        <f t="shared" si="3"/>
        <v>0</v>
      </c>
      <c r="P53" s="77">
        <v>0.15910234550104216</v>
      </c>
      <c r="Q53" s="80">
        <f t="shared" si="4"/>
        <v>0</v>
      </c>
      <c r="R53" s="76">
        <f t="shared" si="7"/>
        <v>992.89429865895329</v>
      </c>
      <c r="S53" s="63">
        <f t="shared" si="8"/>
        <v>0</v>
      </c>
      <c r="T53" s="71"/>
    </row>
    <row r="54" spans="1:20" hidden="1" x14ac:dyDescent="0.2">
      <c r="A54" s="20">
        <v>24</v>
      </c>
      <c r="C54" s="76">
        <f t="shared" si="9"/>
        <v>0</v>
      </c>
      <c r="D54" s="76">
        <f t="shared" si="10"/>
        <v>0</v>
      </c>
      <c r="E54" s="76">
        <f>HLOOKUP($E$10,'[2]WACOC-Tax Table'!$B$17:$E$58,A55)*$B$30</f>
        <v>0</v>
      </c>
      <c r="F54" s="76">
        <f t="shared" si="11"/>
        <v>0</v>
      </c>
      <c r="G54" s="76">
        <f t="shared" si="5"/>
        <v>0</v>
      </c>
      <c r="H54" s="76">
        <f t="shared" si="12"/>
        <v>0</v>
      </c>
      <c r="I54" s="76">
        <f t="shared" si="14"/>
        <v>0</v>
      </c>
      <c r="J54" s="76">
        <f>'[1]WACOC-Tax Table'!$E$10*I54</f>
        <v>0</v>
      </c>
      <c r="K54" s="79">
        <f>I54*('[2]WACOC-Tax Table'!$D$12)</f>
        <v>0</v>
      </c>
      <c r="L54" s="76">
        <f t="shared" si="13"/>
        <v>0</v>
      </c>
      <c r="M54" s="76">
        <f t="shared" si="1"/>
        <v>0</v>
      </c>
      <c r="N54" s="76">
        <f t="shared" si="2"/>
        <v>0</v>
      </c>
      <c r="O54" s="76">
        <f t="shared" si="3"/>
        <v>0</v>
      </c>
      <c r="P54" s="77">
        <v>0.14688142195834009</v>
      </c>
      <c r="Q54" s="80">
        <f t="shared" si="4"/>
        <v>0</v>
      </c>
      <c r="R54" s="76">
        <f t="shared" si="7"/>
        <v>992.89429865895329</v>
      </c>
      <c r="S54" s="63">
        <f t="shared" si="8"/>
        <v>0</v>
      </c>
      <c r="T54" s="71"/>
    </row>
    <row r="55" spans="1:20" hidden="1" x14ac:dyDescent="0.2">
      <c r="A55" s="20">
        <v>25</v>
      </c>
      <c r="C55" s="76">
        <f t="shared" si="9"/>
        <v>0</v>
      </c>
      <c r="D55" s="76">
        <f t="shared" si="10"/>
        <v>0</v>
      </c>
      <c r="E55" s="76">
        <f>HLOOKUP($E$10,'[2]WACOC-Tax Table'!$B$17:$E$58,A56)*$B$30</f>
        <v>0</v>
      </c>
      <c r="F55" s="76">
        <f t="shared" si="11"/>
        <v>0</v>
      </c>
      <c r="G55" s="76">
        <f t="shared" si="5"/>
        <v>0</v>
      </c>
      <c r="H55" s="76">
        <f t="shared" si="12"/>
        <v>0</v>
      </c>
      <c r="I55" s="76">
        <f t="shared" si="14"/>
        <v>0</v>
      </c>
      <c r="J55" s="76">
        <f>'[1]WACOC-Tax Table'!$E$10*I55</f>
        <v>0</v>
      </c>
      <c r="K55" s="79">
        <f>I55*('[2]WACOC-Tax Table'!$D$12)</f>
        <v>0</v>
      </c>
      <c r="L55" s="76">
        <f t="shared" si="13"/>
        <v>0</v>
      </c>
      <c r="M55" s="76">
        <f t="shared" si="1"/>
        <v>0</v>
      </c>
      <c r="N55" s="76">
        <f t="shared" si="2"/>
        <v>0</v>
      </c>
      <c r="O55" s="76">
        <f t="shared" si="3"/>
        <v>0</v>
      </c>
      <c r="P55" s="77">
        <v>0.13559920847529322</v>
      </c>
      <c r="Q55" s="80">
        <f t="shared" si="4"/>
        <v>0</v>
      </c>
      <c r="R55" s="76">
        <f t="shared" si="7"/>
        <v>992.89429865895329</v>
      </c>
      <c r="S55" s="63">
        <f t="shared" si="8"/>
        <v>0</v>
      </c>
      <c r="T55" s="71"/>
    </row>
    <row r="56" spans="1:20" hidden="1" x14ac:dyDescent="0.2">
      <c r="A56" s="20">
        <v>26</v>
      </c>
      <c r="C56" s="76">
        <f t="shared" si="9"/>
        <v>0</v>
      </c>
      <c r="D56" s="76">
        <f t="shared" si="10"/>
        <v>0</v>
      </c>
      <c r="E56" s="76">
        <f>HLOOKUP($E$10,'[2]WACOC-Tax Table'!$B$17:$E$58,A57)*$B$30</f>
        <v>0</v>
      </c>
      <c r="F56" s="76">
        <f t="shared" si="11"/>
        <v>0</v>
      </c>
      <c r="G56" s="76">
        <f t="shared" si="5"/>
        <v>0</v>
      </c>
      <c r="H56" s="76">
        <f t="shared" si="12"/>
        <v>0</v>
      </c>
      <c r="I56" s="76">
        <f t="shared" si="14"/>
        <v>0</v>
      </c>
      <c r="J56" s="76">
        <f>'[1]WACOC-Tax Table'!$E$10*I56</f>
        <v>0</v>
      </c>
      <c r="K56" s="79">
        <f>I56*('[2]WACOC-Tax Table'!$D$12)</f>
        <v>0</v>
      </c>
      <c r="L56" s="76">
        <f t="shared" si="13"/>
        <v>0</v>
      </c>
      <c r="M56" s="76">
        <f t="shared" si="1"/>
        <v>0</v>
      </c>
      <c r="N56" s="76">
        <f t="shared" si="2"/>
        <v>0</v>
      </c>
      <c r="O56" s="76">
        <f t="shared" si="3"/>
        <v>0</v>
      </c>
      <c r="P56" s="77">
        <v>0.12518360112513871</v>
      </c>
      <c r="Q56" s="80">
        <f t="shared" si="4"/>
        <v>0</v>
      </c>
      <c r="R56" s="76">
        <f t="shared" si="7"/>
        <v>992.89429865895329</v>
      </c>
      <c r="S56" s="63">
        <f t="shared" si="8"/>
        <v>0</v>
      </c>
      <c r="T56" s="71"/>
    </row>
    <row r="57" spans="1:20" hidden="1" x14ac:dyDescent="0.2">
      <c r="A57" s="20">
        <v>27</v>
      </c>
      <c r="C57" s="76">
        <f t="shared" si="9"/>
        <v>0</v>
      </c>
      <c r="D57" s="76">
        <f t="shared" si="10"/>
        <v>0</v>
      </c>
      <c r="E57" s="76">
        <f>HLOOKUP($E$10,'[2]WACOC-Tax Table'!$B$17:$E$58,A58)*$B$30</f>
        <v>0</v>
      </c>
      <c r="F57" s="76">
        <f t="shared" si="11"/>
        <v>0</v>
      </c>
      <c r="G57" s="76">
        <f t="shared" si="5"/>
        <v>0</v>
      </c>
      <c r="H57" s="76">
        <f t="shared" si="12"/>
        <v>0</v>
      </c>
      <c r="I57" s="76">
        <f t="shared" si="14"/>
        <v>0</v>
      </c>
      <c r="J57" s="76">
        <f>'[1]WACOC-Tax Table'!$E$10*I57</f>
        <v>0</v>
      </c>
      <c r="K57" s="79">
        <f>I57*('[2]WACOC-Tax Table'!$D$12)</f>
        <v>0</v>
      </c>
      <c r="L57" s="76">
        <f t="shared" si="13"/>
        <v>0</v>
      </c>
      <c r="M57" s="76">
        <f t="shared" si="1"/>
        <v>0</v>
      </c>
      <c r="N57" s="76">
        <f t="shared" si="2"/>
        <v>0</v>
      </c>
      <c r="O57" s="76">
        <f t="shared" si="3"/>
        <v>0</v>
      </c>
      <c r="P57" s="77">
        <v>0.11556803440717091</v>
      </c>
      <c r="Q57" s="80">
        <f t="shared" si="4"/>
        <v>0</v>
      </c>
      <c r="R57" s="76">
        <f t="shared" si="7"/>
        <v>992.89429865895329</v>
      </c>
      <c r="S57" s="63">
        <f t="shared" si="8"/>
        <v>0</v>
      </c>
      <c r="T57" s="71"/>
    </row>
    <row r="58" spans="1:20" hidden="1" x14ac:dyDescent="0.2">
      <c r="A58" s="20">
        <v>28</v>
      </c>
      <c r="C58" s="76">
        <f t="shared" si="9"/>
        <v>0</v>
      </c>
      <c r="D58" s="76">
        <f t="shared" si="10"/>
        <v>0</v>
      </c>
      <c r="E58" s="76">
        <f>HLOOKUP($E$10,'[2]WACOC-Tax Table'!$B$17:$E$58,A59)*$B$30</f>
        <v>0</v>
      </c>
      <c r="F58" s="76">
        <f t="shared" si="11"/>
        <v>0</v>
      </c>
      <c r="G58" s="76">
        <f t="shared" si="5"/>
        <v>0</v>
      </c>
      <c r="H58" s="76">
        <f t="shared" si="12"/>
        <v>0</v>
      </c>
      <c r="I58" s="76">
        <f t="shared" si="14"/>
        <v>0</v>
      </c>
      <c r="J58" s="76">
        <f>'[1]WACOC-Tax Table'!$E$10*I58</f>
        <v>0</v>
      </c>
      <c r="K58" s="79">
        <f>I58*('[2]WACOC-Tax Table'!$D$12)</f>
        <v>0</v>
      </c>
      <c r="L58" s="76">
        <f t="shared" si="13"/>
        <v>0</v>
      </c>
      <c r="M58" s="76">
        <f t="shared" si="1"/>
        <v>0</v>
      </c>
      <c r="N58" s="76">
        <f t="shared" si="2"/>
        <v>0</v>
      </c>
      <c r="O58" s="76">
        <f t="shared" si="3"/>
        <v>0</v>
      </c>
      <c r="P58" s="77">
        <v>0.10669105583075419</v>
      </c>
      <c r="Q58" s="80">
        <f t="shared" si="4"/>
        <v>0</v>
      </c>
      <c r="R58" s="76">
        <f t="shared" si="7"/>
        <v>992.89429865895329</v>
      </c>
      <c r="S58" s="63">
        <f t="shared" si="8"/>
        <v>0</v>
      </c>
      <c r="T58" s="71"/>
    </row>
    <row r="59" spans="1:20" hidden="1" x14ac:dyDescent="0.2">
      <c r="A59" s="20">
        <v>29</v>
      </c>
      <c r="C59" s="76">
        <f t="shared" si="9"/>
        <v>0</v>
      </c>
      <c r="D59" s="76">
        <f t="shared" si="10"/>
        <v>0</v>
      </c>
      <c r="E59" s="76">
        <f>HLOOKUP($E$10,'[2]WACOC-Tax Table'!$B$17:$E$58,A60)*$B$30</f>
        <v>0</v>
      </c>
      <c r="F59" s="76">
        <f t="shared" si="11"/>
        <v>0</v>
      </c>
      <c r="G59" s="76">
        <f t="shared" si="5"/>
        <v>0</v>
      </c>
      <c r="H59" s="76">
        <f t="shared" si="12"/>
        <v>0</v>
      </c>
      <c r="I59" s="76">
        <f t="shared" si="14"/>
        <v>0</v>
      </c>
      <c r="J59" s="76">
        <f>'[1]WACOC-Tax Table'!$E$10*I59</f>
        <v>0</v>
      </c>
      <c r="K59" s="79">
        <f>I59*('[2]WACOC-Tax Table'!$D$12)</f>
        <v>0</v>
      </c>
      <c r="L59" s="76">
        <f t="shared" si="13"/>
        <v>0</v>
      </c>
      <c r="M59" s="76">
        <f t="shared" si="1"/>
        <v>0</v>
      </c>
      <c r="N59" s="76">
        <f t="shared" si="2"/>
        <v>0</v>
      </c>
      <c r="O59" s="76">
        <f t="shared" si="3"/>
        <v>0</v>
      </c>
      <c r="P59" s="77">
        <v>9.8495933176265954E-2</v>
      </c>
      <c r="Q59" s="80">
        <f t="shared" si="4"/>
        <v>0</v>
      </c>
      <c r="R59" s="76">
        <f t="shared" si="7"/>
        <v>992.89429865895329</v>
      </c>
      <c r="S59" s="63">
        <f t="shared" si="8"/>
        <v>0</v>
      </c>
      <c r="T59" s="71"/>
    </row>
    <row r="60" spans="1:20" hidden="1" x14ac:dyDescent="0.2">
      <c r="A60" s="20">
        <v>30</v>
      </c>
      <c r="C60" s="76">
        <f t="shared" si="9"/>
        <v>0</v>
      </c>
      <c r="D60" s="76">
        <f t="shared" si="10"/>
        <v>0</v>
      </c>
      <c r="E60" s="76">
        <f>HLOOKUP($E$10,'[2]WACOC-Tax Table'!$B$17:$E$58,A61)*$B$30</f>
        <v>0</v>
      </c>
      <c r="F60" s="76">
        <f t="shared" si="11"/>
        <v>0</v>
      </c>
      <c r="G60" s="76">
        <f t="shared" si="5"/>
        <v>0</v>
      </c>
      <c r="H60" s="76">
        <f t="shared" si="12"/>
        <v>0</v>
      </c>
      <c r="I60" s="76">
        <f t="shared" si="14"/>
        <v>0</v>
      </c>
      <c r="J60" s="76">
        <f>'[1]WACOC-Tax Table'!$E$10*I60</f>
        <v>0</v>
      </c>
      <c r="K60" s="79">
        <f>I60*('[2]WACOC-Tax Table'!$D$12)</f>
        <v>0</v>
      </c>
      <c r="L60" s="76">
        <f t="shared" si="13"/>
        <v>0</v>
      </c>
      <c r="M60" s="76">
        <f t="shared" si="1"/>
        <v>0</v>
      </c>
      <c r="N60" s="76">
        <f t="shared" si="2"/>
        <v>0</v>
      </c>
      <c r="O60" s="76">
        <f t="shared" si="3"/>
        <v>0</v>
      </c>
      <c r="P60" s="77">
        <v>9.0930291922998854E-2</v>
      </c>
      <c r="Q60" s="80">
        <f t="shared" si="4"/>
        <v>0</v>
      </c>
      <c r="R60" s="76">
        <f t="shared" si="7"/>
        <v>992.89429865895329</v>
      </c>
      <c r="S60" s="63">
        <f t="shared" si="8"/>
        <v>0</v>
      </c>
      <c r="T60" s="71"/>
    </row>
    <row r="61" spans="1:20" hidden="1" x14ac:dyDescent="0.2">
      <c r="A61" s="20">
        <v>31</v>
      </c>
      <c r="C61" s="76">
        <f>IF(D60&lt;=0.001,0,(1/$E$9)*$B$30)</f>
        <v>0</v>
      </c>
      <c r="D61" s="76">
        <f>D60-C61</f>
        <v>0</v>
      </c>
      <c r="E61" s="76">
        <f>HLOOKUP($E$10,'[2]WACOC-Tax Table'!$B$17:$E$58,A62)*$B$30</f>
        <v>0</v>
      </c>
      <c r="F61" s="76">
        <f>F60-E61</f>
        <v>0</v>
      </c>
      <c r="G61" s="68">
        <f t="shared" si="5"/>
        <v>0</v>
      </c>
      <c r="H61" s="70">
        <f>H60+G61</f>
        <v>0</v>
      </c>
      <c r="I61" s="70">
        <f t="shared" si="14"/>
        <v>0</v>
      </c>
      <c r="J61" s="37">
        <f>'[1]WACOC-Tax Table'!$E$10*I61</f>
        <v>0</v>
      </c>
      <c r="K61" s="79">
        <f>I61*('[2]WACOC-Tax Table'!$D$12)</f>
        <v>0</v>
      </c>
      <c r="L61" s="68">
        <f>$E$14*$E$8*(1+$E$15)^A60</f>
        <v>0</v>
      </c>
      <c r="M61" s="70">
        <f t="shared" si="1"/>
        <v>0</v>
      </c>
      <c r="N61" s="76">
        <f t="shared" si="2"/>
        <v>0</v>
      </c>
      <c r="O61" s="68">
        <f t="shared" si="3"/>
        <v>0</v>
      </c>
      <c r="P61" s="81">
        <v>8.39457805268468E-2</v>
      </c>
      <c r="Q61" s="78">
        <f t="shared" si="4"/>
        <v>0</v>
      </c>
      <c r="R61" s="70">
        <f>R60+Q61</f>
        <v>992.89429865895329</v>
      </c>
      <c r="S61" s="63">
        <f t="shared" si="8"/>
        <v>0</v>
      </c>
      <c r="T61" s="71"/>
    </row>
    <row r="62" spans="1:20" hidden="1" x14ac:dyDescent="0.2">
      <c r="A62" s="20">
        <v>32</v>
      </c>
      <c r="C62" s="76">
        <f t="shared" si="9"/>
        <v>0</v>
      </c>
      <c r="D62" s="76">
        <f t="shared" si="10"/>
        <v>0</v>
      </c>
      <c r="E62" s="76">
        <f>HLOOKUP($E$10,'[2]WACOC-Tax Table'!$B$17:$E$58,A63)*$B$30</f>
        <v>0</v>
      </c>
      <c r="F62" s="76">
        <f t="shared" si="11"/>
        <v>0</v>
      </c>
      <c r="G62" s="68">
        <f t="shared" si="5"/>
        <v>0</v>
      </c>
      <c r="H62" s="70">
        <f t="shared" si="12"/>
        <v>0</v>
      </c>
      <c r="I62" s="70">
        <f t="shared" si="14"/>
        <v>0</v>
      </c>
      <c r="J62" s="37">
        <f>'[1]WACOC-Tax Table'!$E$10*I62</f>
        <v>0</v>
      </c>
      <c r="K62" s="79">
        <f>I62*('[2]WACOC-Tax Table'!$D$12)</f>
        <v>0</v>
      </c>
      <c r="L62" s="68">
        <f t="shared" si="13"/>
        <v>0</v>
      </c>
      <c r="M62" s="70">
        <f t="shared" si="1"/>
        <v>0</v>
      </c>
      <c r="N62" s="76">
        <f t="shared" si="2"/>
        <v>0</v>
      </c>
      <c r="O62" s="68">
        <f t="shared" si="3"/>
        <v>0</v>
      </c>
      <c r="P62" s="81">
        <v>7.7497761408584817E-2</v>
      </c>
      <c r="Q62" s="78">
        <f t="shared" si="4"/>
        <v>0</v>
      </c>
      <c r="R62" s="70">
        <f t="shared" si="7"/>
        <v>992.89429865895329</v>
      </c>
      <c r="S62" s="63">
        <f t="shared" si="8"/>
        <v>0</v>
      </c>
      <c r="T62" s="71"/>
    </row>
    <row r="63" spans="1:20" hidden="1" x14ac:dyDescent="0.2">
      <c r="A63" s="20">
        <v>33</v>
      </c>
      <c r="C63" s="76">
        <f t="shared" si="9"/>
        <v>0</v>
      </c>
      <c r="D63" s="76">
        <f t="shared" si="10"/>
        <v>0</v>
      </c>
      <c r="E63" s="76">
        <f>HLOOKUP($E$10,'[2]WACOC-Tax Table'!$B$17:$E$58,A64)*$B$30</f>
        <v>0</v>
      </c>
      <c r="F63" s="76">
        <f t="shared" si="11"/>
        <v>0</v>
      </c>
      <c r="G63" s="68">
        <f t="shared" si="5"/>
        <v>0</v>
      </c>
      <c r="H63" s="70">
        <f t="shared" si="12"/>
        <v>0</v>
      </c>
      <c r="I63" s="70">
        <f t="shared" si="14"/>
        <v>0</v>
      </c>
      <c r="J63" s="37">
        <f>'[1]WACOC-Tax Table'!$E$10*I63</f>
        <v>0</v>
      </c>
      <c r="K63" s="79">
        <f>I63*('[2]WACOC-Tax Table'!$D$12)</f>
        <v>0</v>
      </c>
      <c r="L63" s="68">
        <f t="shared" si="13"/>
        <v>0</v>
      </c>
      <c r="M63" s="70">
        <f t="shared" si="1"/>
        <v>0</v>
      </c>
      <c r="N63" s="76">
        <f t="shared" si="2"/>
        <v>0</v>
      </c>
      <c r="O63" s="68">
        <f t="shared" si="3"/>
        <v>0</v>
      </c>
      <c r="P63" s="81">
        <v>7.1545025677868135E-2</v>
      </c>
      <c r="Q63" s="78">
        <f t="shared" si="4"/>
        <v>0</v>
      </c>
      <c r="R63" s="70">
        <f t="shared" si="7"/>
        <v>992.89429865895329</v>
      </c>
      <c r="S63" s="63">
        <f t="shared" si="8"/>
        <v>0</v>
      </c>
      <c r="T63" s="71"/>
    </row>
    <row r="64" spans="1:20" hidden="1" x14ac:dyDescent="0.2">
      <c r="A64" s="20">
        <v>34</v>
      </c>
      <c r="C64" s="76">
        <f t="shared" si="9"/>
        <v>0</v>
      </c>
      <c r="D64" s="76">
        <f t="shared" si="10"/>
        <v>0</v>
      </c>
      <c r="E64" s="76">
        <f>HLOOKUP($E$10,'[2]WACOC-Tax Table'!$B$17:$E$58,A65)*$B$30</f>
        <v>0</v>
      </c>
      <c r="F64" s="76">
        <f t="shared" si="11"/>
        <v>0</v>
      </c>
      <c r="G64" s="68">
        <f t="shared" si="5"/>
        <v>0</v>
      </c>
      <c r="H64" s="70">
        <f t="shared" si="12"/>
        <v>0</v>
      </c>
      <c r="I64" s="70">
        <f t="shared" si="14"/>
        <v>0</v>
      </c>
      <c r="J64" s="37">
        <f>'[1]WACOC-Tax Table'!$E$10*I64</f>
        <v>0</v>
      </c>
      <c r="K64" s="79">
        <f>I64*('[2]WACOC-Tax Table'!$D$12)</f>
        <v>0</v>
      </c>
      <c r="L64" s="68">
        <f t="shared" si="13"/>
        <v>0</v>
      </c>
      <c r="M64" s="70">
        <f t="shared" si="1"/>
        <v>0</v>
      </c>
      <c r="N64" s="76">
        <f t="shared" si="2"/>
        <v>0</v>
      </c>
      <c r="O64" s="68">
        <f t="shared" si="3"/>
        <v>0</v>
      </c>
      <c r="P64" s="81">
        <v>6.6049529769769438E-2</v>
      </c>
      <c r="Q64" s="78">
        <f t="shared" si="4"/>
        <v>0</v>
      </c>
      <c r="R64" s="70">
        <f t="shared" si="7"/>
        <v>992.89429865895329</v>
      </c>
      <c r="S64" s="63">
        <f t="shared" si="8"/>
        <v>0</v>
      </c>
      <c r="T64" s="71"/>
    </row>
    <row r="65" spans="1:20" hidden="1" x14ac:dyDescent="0.2">
      <c r="A65" s="20">
        <v>35</v>
      </c>
      <c r="C65" s="76">
        <f t="shared" si="9"/>
        <v>0</v>
      </c>
      <c r="D65" s="76">
        <f t="shared" si="10"/>
        <v>0</v>
      </c>
      <c r="E65" s="76">
        <f>HLOOKUP($E$10,'[2]WACOC-Tax Table'!$B$17:$E$58,A66)*$B$30</f>
        <v>0</v>
      </c>
      <c r="F65" s="76">
        <f t="shared" si="11"/>
        <v>0</v>
      </c>
      <c r="G65" s="68">
        <f t="shared" si="5"/>
        <v>0</v>
      </c>
      <c r="H65" s="70">
        <f t="shared" si="12"/>
        <v>0</v>
      </c>
      <c r="I65" s="70">
        <f t="shared" si="14"/>
        <v>0</v>
      </c>
      <c r="J65" s="37">
        <f>'[1]WACOC-Tax Table'!$E$10*I65</f>
        <v>0</v>
      </c>
      <c r="K65" s="79">
        <f>I65*('[2]WACOC-Tax Table'!$D$12)</f>
        <v>0</v>
      </c>
      <c r="L65" s="68">
        <f t="shared" si="13"/>
        <v>0</v>
      </c>
      <c r="M65" s="70">
        <f t="shared" si="1"/>
        <v>0</v>
      </c>
      <c r="N65" s="76">
        <f t="shared" si="2"/>
        <v>0</v>
      </c>
      <c r="O65" s="68">
        <f t="shared" si="3"/>
        <v>0</v>
      </c>
      <c r="P65" s="81">
        <v>6.0976152310714377E-2</v>
      </c>
      <c r="Q65" s="78">
        <f t="shared" si="4"/>
        <v>0</v>
      </c>
      <c r="R65" s="70">
        <f t="shared" si="7"/>
        <v>992.89429865895329</v>
      </c>
      <c r="S65" s="63">
        <f t="shared" si="8"/>
        <v>0</v>
      </c>
      <c r="T65" s="71"/>
    </row>
    <row r="66" spans="1:20" hidden="1" x14ac:dyDescent="0.2">
      <c r="A66" s="20">
        <v>36</v>
      </c>
      <c r="C66" s="76">
        <f t="shared" si="9"/>
        <v>0</v>
      </c>
      <c r="D66" s="76">
        <f t="shared" si="10"/>
        <v>0</v>
      </c>
      <c r="E66" s="76">
        <f>HLOOKUP($E$10,'[2]WACOC-Tax Table'!$B$17:$E$58,A67)*$B$30</f>
        <v>0</v>
      </c>
      <c r="F66" s="76">
        <f t="shared" si="11"/>
        <v>0</v>
      </c>
      <c r="G66" s="68">
        <f t="shared" si="5"/>
        <v>0</v>
      </c>
      <c r="H66" s="70">
        <f t="shared" si="12"/>
        <v>0</v>
      </c>
      <c r="I66" s="70">
        <f t="shared" si="14"/>
        <v>0</v>
      </c>
      <c r="J66" s="37">
        <f>'[1]WACOC-Tax Table'!$E$10*I66</f>
        <v>0</v>
      </c>
      <c r="K66" s="79">
        <f>I66*('[2]WACOC-Tax Table'!$D$12)</f>
        <v>0</v>
      </c>
      <c r="L66" s="76">
        <v>0</v>
      </c>
      <c r="M66" s="70">
        <f t="shared" si="1"/>
        <v>0</v>
      </c>
      <c r="N66" s="76">
        <f t="shared" si="2"/>
        <v>0</v>
      </c>
      <c r="O66" s="68">
        <f t="shared" si="3"/>
        <v>0</v>
      </c>
      <c r="P66" s="81">
        <v>5.6292469659961028E-2</v>
      </c>
      <c r="Q66" s="78">
        <f t="shared" si="4"/>
        <v>0</v>
      </c>
      <c r="R66" s="70">
        <f t="shared" si="7"/>
        <v>992.89429865895329</v>
      </c>
      <c r="S66" s="63">
        <f t="shared" si="8"/>
        <v>0</v>
      </c>
      <c r="T66" s="82"/>
    </row>
    <row r="67" spans="1:20" hidden="1" x14ac:dyDescent="0.2">
      <c r="A67" s="20">
        <v>37</v>
      </c>
      <c r="C67" s="76">
        <f t="shared" si="9"/>
        <v>0</v>
      </c>
      <c r="D67" s="76">
        <f t="shared" si="10"/>
        <v>0</v>
      </c>
      <c r="E67" s="76">
        <f>HLOOKUP($E$10,'[2]WACOC-Tax Table'!$B$17:$E$58,A68)*$B$30</f>
        <v>0</v>
      </c>
      <c r="F67" s="76">
        <f t="shared" si="11"/>
        <v>0</v>
      </c>
      <c r="G67" s="68">
        <f t="shared" si="5"/>
        <v>0</v>
      </c>
      <c r="H67" s="70">
        <f t="shared" si="12"/>
        <v>0</v>
      </c>
      <c r="I67" s="70">
        <f t="shared" si="14"/>
        <v>0</v>
      </c>
      <c r="J67" s="37">
        <f>'[1]WACOC-Tax Table'!$E$10*I67</f>
        <v>0</v>
      </c>
      <c r="K67" s="79">
        <f>I67*('[2]WACOC-Tax Table'!$D$12)</f>
        <v>0</v>
      </c>
      <c r="L67" s="76">
        <v>0</v>
      </c>
      <c r="M67" s="70">
        <f t="shared" si="1"/>
        <v>0</v>
      </c>
      <c r="N67" s="76">
        <f t="shared" si="2"/>
        <v>0</v>
      </c>
      <c r="O67" s="68">
        <f t="shared" si="3"/>
        <v>0</v>
      </c>
      <c r="P67" s="81">
        <v>5.1968548692122404E-2</v>
      </c>
      <c r="Q67" s="78">
        <f t="shared" si="4"/>
        <v>0</v>
      </c>
      <c r="R67" s="70">
        <f t="shared" si="7"/>
        <v>992.89429865895329</v>
      </c>
      <c r="S67" s="63">
        <f t="shared" si="8"/>
        <v>0</v>
      </c>
      <c r="T67" s="82"/>
    </row>
    <row r="68" spans="1:20" hidden="1" x14ac:dyDescent="0.2">
      <c r="A68" s="20">
        <v>38</v>
      </c>
      <c r="C68" s="76">
        <f t="shared" si="9"/>
        <v>0</v>
      </c>
      <c r="D68" s="76">
        <f t="shared" si="10"/>
        <v>0</v>
      </c>
      <c r="E68" s="76">
        <f>HLOOKUP($E$10,'[2]WACOC-Tax Table'!$B$17:$E$58,A69)*$B$30</f>
        <v>0</v>
      </c>
      <c r="F68" s="76">
        <f t="shared" si="11"/>
        <v>0</v>
      </c>
      <c r="G68" s="68">
        <f t="shared" si="5"/>
        <v>0</v>
      </c>
      <c r="H68" s="70">
        <f t="shared" si="12"/>
        <v>0</v>
      </c>
      <c r="I68" s="70">
        <f t="shared" si="14"/>
        <v>0</v>
      </c>
      <c r="J68" s="37">
        <f>'[1]WACOC-Tax Table'!$E$10*I68</f>
        <v>0</v>
      </c>
      <c r="K68" s="79">
        <f>I68*('[2]WACOC-Tax Table'!$D$12)</f>
        <v>0</v>
      </c>
      <c r="L68" s="76">
        <v>0</v>
      </c>
      <c r="M68" s="70">
        <f t="shared" si="1"/>
        <v>0</v>
      </c>
      <c r="N68" s="76">
        <f t="shared" si="2"/>
        <v>0</v>
      </c>
      <c r="O68" s="68">
        <f t="shared" si="3"/>
        <v>0</v>
      </c>
      <c r="P68" s="81">
        <v>4.7976755496418333E-2</v>
      </c>
      <c r="Q68" s="78">
        <f t="shared" si="4"/>
        <v>0</v>
      </c>
      <c r="R68" s="70">
        <f t="shared" si="7"/>
        <v>992.89429865895329</v>
      </c>
      <c r="S68" s="63">
        <f t="shared" si="8"/>
        <v>0</v>
      </c>
      <c r="T68" s="82"/>
    </row>
    <row r="69" spans="1:20" hidden="1" x14ac:dyDescent="0.2">
      <c r="A69" s="20">
        <v>39</v>
      </c>
      <c r="C69" s="76">
        <f t="shared" si="9"/>
        <v>0</v>
      </c>
      <c r="D69" s="76">
        <f t="shared" si="10"/>
        <v>0</v>
      </c>
      <c r="E69" s="76">
        <f>HLOOKUP($E$10,'[2]WACOC-Tax Table'!$B$17:$E$58,A70)*$B$30</f>
        <v>0</v>
      </c>
      <c r="F69" s="76">
        <f t="shared" si="11"/>
        <v>0</v>
      </c>
      <c r="G69" s="68">
        <f t="shared" si="5"/>
        <v>0</v>
      </c>
      <c r="H69" s="70">
        <f t="shared" si="12"/>
        <v>0</v>
      </c>
      <c r="I69" s="70">
        <f t="shared" si="14"/>
        <v>0</v>
      </c>
      <c r="J69" s="37">
        <f>'[1]WACOC-Tax Table'!$E$10*I69</f>
        <v>0</v>
      </c>
      <c r="K69" s="79">
        <f>I69*('[2]WACOC-Tax Table'!$D$12)</f>
        <v>0</v>
      </c>
      <c r="L69" s="76">
        <v>0</v>
      </c>
      <c r="M69" s="70">
        <f t="shared" si="1"/>
        <v>0</v>
      </c>
      <c r="N69" s="76">
        <f t="shared" si="2"/>
        <v>0</v>
      </c>
      <c r="O69" s="68">
        <f t="shared" si="3"/>
        <v>0</v>
      </c>
      <c r="P69" s="81">
        <v>4.4291578770065169E-2</v>
      </c>
      <c r="Q69" s="78">
        <f t="shared" si="4"/>
        <v>0</v>
      </c>
      <c r="R69" s="70">
        <f t="shared" si="7"/>
        <v>992.89429865895329</v>
      </c>
      <c r="S69" s="63">
        <f t="shared" si="8"/>
        <v>0</v>
      </c>
      <c r="T69" s="82"/>
    </row>
    <row r="70" spans="1:20" hidden="1" x14ac:dyDescent="0.2">
      <c r="A70" s="20">
        <v>40</v>
      </c>
      <c r="C70" s="76">
        <f>IF(D69&lt;=0.001,0,(1/$E$9)*$B$30)</f>
        <v>0</v>
      </c>
      <c r="D70" s="76">
        <f>D69-C70</f>
        <v>0</v>
      </c>
      <c r="E70" s="76">
        <f>HLOOKUP($E$10,'[2]WACOC-Tax Table'!$B$17:$E$58,A71)*$B$30</f>
        <v>0</v>
      </c>
      <c r="F70" s="76">
        <f>F69-E70</f>
        <v>0</v>
      </c>
      <c r="G70" s="68">
        <f t="shared" si="5"/>
        <v>0</v>
      </c>
      <c r="H70" s="70">
        <f>H69+G70</f>
        <v>0</v>
      </c>
      <c r="I70" s="70">
        <f t="shared" si="14"/>
        <v>0</v>
      </c>
      <c r="J70" s="37">
        <f>'[1]WACOC-Tax Table'!$E$10*I70</f>
        <v>0</v>
      </c>
      <c r="K70" s="79">
        <f>I70*('[2]WACOC-Tax Table'!$D$12)</f>
        <v>0</v>
      </c>
      <c r="L70" s="76">
        <v>0</v>
      </c>
      <c r="M70" s="70">
        <f t="shared" si="1"/>
        <v>0</v>
      </c>
      <c r="N70" s="76">
        <f t="shared" si="2"/>
        <v>0</v>
      </c>
      <c r="O70" s="68">
        <f t="shared" si="3"/>
        <v>0</v>
      </c>
      <c r="P70" s="81">
        <v>4.0889466777121686E-2</v>
      </c>
      <c r="Q70" s="83">
        <f t="shared" si="4"/>
        <v>0</v>
      </c>
      <c r="R70" s="70">
        <f>R69+Q70</f>
        <v>992.89429865895329</v>
      </c>
      <c r="S70" s="63">
        <f t="shared" si="8"/>
        <v>0</v>
      </c>
      <c r="T70" s="82"/>
    </row>
    <row r="71" spans="1:20" hidden="1" x14ac:dyDescent="0.2">
      <c r="A71" s="20">
        <v>41</v>
      </c>
      <c r="Q71" s="70">
        <f>SUM(Q30:Q70)</f>
        <v>992.89429865895329</v>
      </c>
    </row>
    <row r="72" spans="1:20" x14ac:dyDescent="0.2">
      <c r="Q72" s="70">
        <f>SUM(Q30:Q60)</f>
        <v>992.89429865895329</v>
      </c>
    </row>
    <row r="79" spans="1:20" x14ac:dyDescent="0.2">
      <c r="K79" s="30"/>
      <c r="O79" s="75"/>
      <c r="Q79" s="70"/>
    </row>
    <row r="80" spans="1:20" x14ac:dyDescent="0.2">
      <c r="K80" s="30"/>
      <c r="O80" s="75"/>
    </row>
    <row r="81" spans="11:15" x14ac:dyDescent="0.2">
      <c r="K81" s="30"/>
      <c r="O81" s="75"/>
    </row>
    <row r="82" spans="11:15" x14ac:dyDescent="0.2">
      <c r="K82" s="30"/>
      <c r="O82" s="75"/>
    </row>
    <row r="83" spans="11:15" x14ac:dyDescent="0.2">
      <c r="K83" s="30"/>
      <c r="O83" s="75"/>
    </row>
    <row r="84" spans="11:15" x14ac:dyDescent="0.2">
      <c r="K84" s="30"/>
      <c r="O84" s="75"/>
    </row>
    <row r="85" spans="11:15" x14ac:dyDescent="0.2">
      <c r="K85" s="30"/>
      <c r="O85" s="75"/>
    </row>
    <row r="86" spans="11:15" x14ac:dyDescent="0.2">
      <c r="K86" s="30"/>
      <c r="O86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Administrative Charge</vt:lpstr>
      <vt:lpstr>Carrying Charge</vt:lpstr>
      <vt:lpstr>WACOC</vt:lpstr>
      <vt:lpstr>NPV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LG&amp;E</dc:creator>
  <cp:lastModifiedBy>Foxworthy, Carol</cp:lastModifiedBy>
  <cp:lastPrinted>2014-07-15T12:19:38Z</cp:lastPrinted>
  <dcterms:created xsi:type="dcterms:W3CDTF">1997-07-01T14:56:18Z</dcterms:created>
  <dcterms:modified xsi:type="dcterms:W3CDTF">2015-01-18T18:16:13Z</dcterms:modified>
</cp:coreProperties>
</file>