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750" yWindow="315" windowWidth="17100" windowHeight="8430" tabRatio="678"/>
  </bookViews>
  <sheets>
    <sheet name="Year to Date" sheetId="101" r:id="rId1"/>
    <sheet name="2014 Budget" sheetId="47220" r:id="rId2"/>
    <sheet name="Daily Budget Data" sheetId="47221" r:id="rId3"/>
    <sheet name="Monthly Budget Data" sheetId="47222" r:id="rId4"/>
    <sheet name="OSS Summary" sheetId="4" r:id="rId5"/>
    <sheet name="Sales Analysis" sheetId="1" r:id="rId6"/>
    <sheet name="Input Data" sheetId="2" r:id="rId7"/>
    <sheet name="Load Temp Charts" sheetId="47235" r:id="rId8"/>
    <sheet name="Chart Data" sheetId="47223" r:id="rId9"/>
    <sheet name="Daily Historical Avg Temp" sheetId="47225" r:id="rId10"/>
    <sheet name="MTD Avg Temp Charts" sheetId="47233" r:id="rId11"/>
    <sheet name="MTD Min-Max Temp Charts" sheetId="47232" r:id="rId12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'2014 Budget'!$B$1:$P$41</definedName>
    <definedName name="_xlnm.Print_Area" localSheetId="6">'Input Data'!$CF$4:$CL$20</definedName>
    <definedName name="_xlnm.Print_Area" localSheetId="4">'OSS Summary'!$A$1:$M$58</definedName>
    <definedName name="_xlnm.Print_Area" localSheetId="5">'Sales Analysis'!$A$1:$AW$71</definedName>
    <definedName name="_xlnm.Print_Area" localSheetId="0">'Year to Date'!$A$1:$T$60</definedName>
    <definedName name="_xlnm.Print_Titles" localSheetId="5">'Sales Analysis'!$A:$B,'Sales Analysis'!$1:$2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B33" i="47221" l="1"/>
  <c r="D33" i="47221"/>
  <c r="E33" i="47221"/>
  <c r="F33" i="47221"/>
  <c r="H33" i="47221"/>
  <c r="I33" i="47221"/>
  <c r="J33" i="47221"/>
  <c r="L33" i="47221"/>
  <c r="M33" i="47221"/>
  <c r="N33" i="47221"/>
  <c r="P33" i="47221"/>
  <c r="Q33" i="47221"/>
  <c r="R33" i="47221"/>
  <c r="T33" i="47221"/>
  <c r="U33" i="47221"/>
  <c r="V33" i="47221"/>
  <c r="W33" i="47221"/>
  <c r="Y33" i="47221"/>
  <c r="Z33" i="47221"/>
  <c r="AA33" i="47221"/>
  <c r="AC33" i="47221"/>
  <c r="AD33" i="47221"/>
  <c r="AE33" i="47221"/>
  <c r="AG33" i="47221"/>
  <c r="AH33" i="47221"/>
  <c r="AI33" i="47221"/>
  <c r="AK33" i="47221"/>
  <c r="AL33" i="47221"/>
  <c r="AM33" i="47221"/>
  <c r="AO33" i="47221"/>
  <c r="AP33" i="47221"/>
  <c r="AQ33" i="47221"/>
  <c r="B32" i="47221" l="1"/>
  <c r="D32" i="47221"/>
  <c r="E32" i="47221"/>
  <c r="F32" i="47221"/>
  <c r="H32" i="47221"/>
  <c r="I32" i="47221"/>
  <c r="J32" i="47221"/>
  <c r="L32" i="47221"/>
  <c r="M32" i="47221"/>
  <c r="N32" i="47221"/>
  <c r="P32" i="47221"/>
  <c r="Q32" i="47221"/>
  <c r="R32" i="47221"/>
  <c r="T32" i="47221"/>
  <c r="U32" i="47221"/>
  <c r="V32" i="47221"/>
  <c r="W32" i="47221"/>
  <c r="Y32" i="47221"/>
  <c r="Z32" i="47221"/>
  <c r="AA32" i="47221"/>
  <c r="AC32" i="47221"/>
  <c r="AD32" i="47221"/>
  <c r="AE32" i="47221"/>
  <c r="AG32" i="47221"/>
  <c r="AH32" i="47221"/>
  <c r="AI32" i="47221"/>
  <c r="AK32" i="47221"/>
  <c r="AL32" i="47221"/>
  <c r="AM32" i="47221"/>
  <c r="AO32" i="47221"/>
  <c r="AP32" i="47221"/>
  <c r="AQ32" i="47221"/>
  <c r="B27" i="47221" l="1"/>
  <c r="D27" i="47221"/>
  <c r="E27" i="47221"/>
  <c r="F27" i="47221"/>
  <c r="H27" i="47221"/>
  <c r="I27" i="47221"/>
  <c r="J27" i="47221"/>
  <c r="L27" i="47221"/>
  <c r="M27" i="47221"/>
  <c r="N27" i="47221"/>
  <c r="P27" i="47221"/>
  <c r="Q27" i="47221"/>
  <c r="R27" i="47221"/>
  <c r="T27" i="47221"/>
  <c r="U27" i="47221"/>
  <c r="V27" i="47221"/>
  <c r="W27" i="47221"/>
  <c r="Y27" i="47221"/>
  <c r="Z27" i="47221"/>
  <c r="AA27" i="47221"/>
  <c r="AC27" i="47221"/>
  <c r="AD27" i="47221"/>
  <c r="AE27" i="47221"/>
  <c r="AG27" i="47221"/>
  <c r="AH27" i="47221"/>
  <c r="AI27" i="47221"/>
  <c r="AK27" i="47221"/>
  <c r="AL27" i="47221"/>
  <c r="AM27" i="47221"/>
  <c r="AO27" i="47221"/>
  <c r="AP27" i="47221"/>
  <c r="AQ27" i="47221"/>
  <c r="B28" i="47221"/>
  <c r="D28" i="47221"/>
  <c r="E28" i="47221"/>
  <c r="F28" i="47221"/>
  <c r="H28" i="47221"/>
  <c r="I28" i="47221"/>
  <c r="J28" i="47221"/>
  <c r="L28" i="47221"/>
  <c r="M28" i="47221"/>
  <c r="N28" i="47221"/>
  <c r="P28" i="47221"/>
  <c r="Q28" i="47221"/>
  <c r="R28" i="47221"/>
  <c r="T28" i="47221"/>
  <c r="U28" i="47221"/>
  <c r="V28" i="47221"/>
  <c r="W28" i="47221"/>
  <c r="Y28" i="47221"/>
  <c r="Z28" i="47221"/>
  <c r="AA28" i="47221"/>
  <c r="AC28" i="47221"/>
  <c r="AD28" i="47221"/>
  <c r="AE28" i="47221"/>
  <c r="AG28" i="47221"/>
  <c r="AH28" i="47221"/>
  <c r="AI28" i="47221"/>
  <c r="AK28" i="47221"/>
  <c r="AL28" i="47221"/>
  <c r="AM28" i="47221"/>
  <c r="AO28" i="47221"/>
  <c r="AP28" i="47221"/>
  <c r="AQ28" i="47221"/>
  <c r="B29" i="47221"/>
  <c r="D29" i="47221"/>
  <c r="E29" i="47221"/>
  <c r="F29" i="47221"/>
  <c r="H29" i="47221"/>
  <c r="I29" i="47221"/>
  <c r="J29" i="47221"/>
  <c r="L29" i="47221"/>
  <c r="M29" i="47221"/>
  <c r="N29" i="47221"/>
  <c r="P29" i="47221"/>
  <c r="Q29" i="47221"/>
  <c r="R29" i="47221"/>
  <c r="T29" i="47221"/>
  <c r="U29" i="47221"/>
  <c r="V29" i="47221"/>
  <c r="W29" i="47221"/>
  <c r="Y29" i="47221"/>
  <c r="Z29" i="47221"/>
  <c r="AA29" i="47221"/>
  <c r="AC29" i="47221"/>
  <c r="AD29" i="47221"/>
  <c r="AE29" i="47221"/>
  <c r="AG29" i="47221"/>
  <c r="AH29" i="47221"/>
  <c r="AI29" i="47221"/>
  <c r="AK29" i="47221"/>
  <c r="AL29" i="47221"/>
  <c r="AM29" i="47221"/>
  <c r="AO29" i="47221"/>
  <c r="AP29" i="47221"/>
  <c r="AQ29" i="47221"/>
  <c r="B30" i="47221"/>
  <c r="D30" i="47221"/>
  <c r="E30" i="47221"/>
  <c r="F30" i="47221"/>
  <c r="H30" i="47221"/>
  <c r="I30" i="47221"/>
  <c r="J30" i="47221"/>
  <c r="L30" i="47221"/>
  <c r="M30" i="47221"/>
  <c r="N30" i="47221"/>
  <c r="P30" i="47221"/>
  <c r="Q30" i="47221"/>
  <c r="R30" i="47221"/>
  <c r="T30" i="47221"/>
  <c r="U30" i="47221"/>
  <c r="V30" i="47221"/>
  <c r="W30" i="47221"/>
  <c r="Y30" i="47221"/>
  <c r="Z30" i="47221"/>
  <c r="AA30" i="47221"/>
  <c r="AC30" i="47221"/>
  <c r="AD30" i="47221"/>
  <c r="AE30" i="47221"/>
  <c r="AG30" i="47221"/>
  <c r="AH30" i="47221"/>
  <c r="AI30" i="47221"/>
  <c r="AK30" i="47221"/>
  <c r="AL30" i="47221"/>
  <c r="AM30" i="47221"/>
  <c r="AO30" i="47221"/>
  <c r="AP30" i="47221"/>
  <c r="AQ30" i="47221"/>
  <c r="B31" i="47221"/>
  <c r="D31" i="47221"/>
  <c r="E31" i="47221"/>
  <c r="F31" i="47221"/>
  <c r="H31" i="47221"/>
  <c r="I31" i="47221"/>
  <c r="J31" i="47221"/>
  <c r="L31" i="47221"/>
  <c r="M31" i="47221"/>
  <c r="N31" i="47221"/>
  <c r="P31" i="47221"/>
  <c r="Q31" i="47221"/>
  <c r="R31" i="47221"/>
  <c r="T31" i="47221"/>
  <c r="U31" i="47221"/>
  <c r="V31" i="47221"/>
  <c r="W31" i="47221"/>
  <c r="Y31" i="47221"/>
  <c r="Z31" i="47221"/>
  <c r="AA31" i="47221"/>
  <c r="AC31" i="47221"/>
  <c r="AD31" i="47221"/>
  <c r="AE31" i="47221"/>
  <c r="AG31" i="47221"/>
  <c r="AH31" i="47221"/>
  <c r="AI31" i="47221"/>
  <c r="AK31" i="47221"/>
  <c r="AL31" i="47221"/>
  <c r="AM31" i="47221"/>
  <c r="AO31" i="47221"/>
  <c r="AP31" i="47221"/>
  <c r="AQ31" i="47221"/>
  <c r="B26" i="47221" l="1"/>
  <c r="D26" i="47221"/>
  <c r="E26" i="47221"/>
  <c r="F26" i="47221"/>
  <c r="H26" i="47221"/>
  <c r="I26" i="47221"/>
  <c r="J26" i="47221"/>
  <c r="L26" i="47221"/>
  <c r="M26" i="47221"/>
  <c r="N26" i="47221"/>
  <c r="P26" i="47221"/>
  <c r="Q26" i="47221"/>
  <c r="R26" i="47221"/>
  <c r="T26" i="47221"/>
  <c r="U26" i="47221"/>
  <c r="V26" i="47221"/>
  <c r="W26" i="47221"/>
  <c r="Y26" i="47221"/>
  <c r="Z26" i="47221"/>
  <c r="AA26" i="47221"/>
  <c r="AC26" i="47221"/>
  <c r="AD26" i="47221"/>
  <c r="AE26" i="47221"/>
  <c r="AG26" i="47221"/>
  <c r="AH26" i="47221"/>
  <c r="AI26" i="47221"/>
  <c r="AK26" i="47221"/>
  <c r="AL26" i="47221"/>
  <c r="AM26" i="47221"/>
  <c r="AO26" i="47221"/>
  <c r="AP26" i="47221"/>
  <c r="AQ26" i="47221"/>
  <c r="B25" i="47221" l="1"/>
  <c r="D25" i="47221"/>
  <c r="E25" i="47221"/>
  <c r="F25" i="47221"/>
  <c r="H25" i="47221"/>
  <c r="I25" i="47221"/>
  <c r="J25" i="47221"/>
  <c r="L25" i="47221"/>
  <c r="M25" i="47221"/>
  <c r="N25" i="47221"/>
  <c r="P25" i="47221"/>
  <c r="Q25" i="47221"/>
  <c r="R25" i="47221"/>
  <c r="T25" i="47221"/>
  <c r="U25" i="47221"/>
  <c r="V25" i="47221"/>
  <c r="W25" i="47221"/>
  <c r="Y25" i="47221"/>
  <c r="Z25" i="47221"/>
  <c r="AA25" i="47221"/>
  <c r="AC25" i="47221"/>
  <c r="AD25" i="47221"/>
  <c r="AE25" i="47221"/>
  <c r="AG25" i="47221"/>
  <c r="AH25" i="47221"/>
  <c r="AI25" i="47221"/>
  <c r="AK25" i="47221"/>
  <c r="AL25" i="47221"/>
  <c r="AM25" i="47221"/>
  <c r="AO25" i="47221"/>
  <c r="AP25" i="47221"/>
  <c r="AQ25" i="47221"/>
  <c r="B22" i="47221" l="1"/>
  <c r="D22" i="47221"/>
  <c r="E22" i="47221"/>
  <c r="F22" i="47221"/>
  <c r="H22" i="47221"/>
  <c r="I22" i="47221"/>
  <c r="J22" i="47221"/>
  <c r="L22" i="47221"/>
  <c r="M22" i="47221"/>
  <c r="N22" i="47221"/>
  <c r="P22" i="47221"/>
  <c r="Q22" i="47221"/>
  <c r="R22" i="47221"/>
  <c r="T22" i="47221"/>
  <c r="U22" i="47221"/>
  <c r="V22" i="47221"/>
  <c r="W22" i="47221"/>
  <c r="Y22" i="47221"/>
  <c r="Z22" i="47221"/>
  <c r="AA22" i="47221"/>
  <c r="AC22" i="47221"/>
  <c r="AD22" i="47221"/>
  <c r="AE22" i="47221"/>
  <c r="AG22" i="47221"/>
  <c r="AH22" i="47221"/>
  <c r="AI22" i="47221"/>
  <c r="AK22" i="47221"/>
  <c r="AL22" i="47221"/>
  <c r="AM22" i="47221"/>
  <c r="AO22" i="47221"/>
  <c r="AP22" i="47221"/>
  <c r="AQ22" i="47221"/>
  <c r="B23" i="47221"/>
  <c r="D23" i="47221"/>
  <c r="E23" i="47221"/>
  <c r="F23" i="47221"/>
  <c r="H23" i="47221"/>
  <c r="I23" i="47221"/>
  <c r="J23" i="47221"/>
  <c r="L23" i="47221"/>
  <c r="M23" i="47221"/>
  <c r="N23" i="47221"/>
  <c r="P23" i="47221"/>
  <c r="Q23" i="47221"/>
  <c r="R23" i="47221"/>
  <c r="T23" i="47221"/>
  <c r="U23" i="47221"/>
  <c r="V23" i="47221"/>
  <c r="W23" i="47221"/>
  <c r="Y23" i="47221"/>
  <c r="Z23" i="47221"/>
  <c r="AA23" i="47221"/>
  <c r="AC23" i="47221"/>
  <c r="AD23" i="47221"/>
  <c r="AE23" i="47221"/>
  <c r="AG23" i="47221"/>
  <c r="AH23" i="47221"/>
  <c r="AI23" i="47221"/>
  <c r="AK23" i="47221"/>
  <c r="AL23" i="47221"/>
  <c r="AM23" i="47221"/>
  <c r="AO23" i="47221"/>
  <c r="AP23" i="47221"/>
  <c r="AQ23" i="47221"/>
  <c r="B24" i="47221"/>
  <c r="D24" i="47221"/>
  <c r="E24" i="47221"/>
  <c r="F24" i="47221"/>
  <c r="H24" i="47221"/>
  <c r="I24" i="47221"/>
  <c r="J24" i="47221"/>
  <c r="L24" i="47221"/>
  <c r="M24" i="47221"/>
  <c r="N24" i="47221"/>
  <c r="P24" i="47221"/>
  <c r="Q24" i="47221"/>
  <c r="R24" i="47221"/>
  <c r="T24" i="47221"/>
  <c r="U24" i="47221"/>
  <c r="V24" i="47221"/>
  <c r="W24" i="47221"/>
  <c r="Y24" i="47221"/>
  <c r="Z24" i="47221"/>
  <c r="AA24" i="47221"/>
  <c r="AC24" i="47221"/>
  <c r="AD24" i="47221"/>
  <c r="AE24" i="47221"/>
  <c r="AG24" i="47221"/>
  <c r="AH24" i="47221"/>
  <c r="AI24" i="47221"/>
  <c r="AK24" i="47221"/>
  <c r="AL24" i="47221"/>
  <c r="AM24" i="47221"/>
  <c r="AO24" i="47221"/>
  <c r="AP24" i="47221"/>
  <c r="AQ24" i="47221"/>
  <c r="B21" i="47221" l="1"/>
  <c r="D21" i="47221"/>
  <c r="E21" i="47221"/>
  <c r="F21" i="47221"/>
  <c r="H21" i="47221"/>
  <c r="I21" i="47221"/>
  <c r="J21" i="47221"/>
  <c r="L21" i="47221"/>
  <c r="M21" i="47221"/>
  <c r="N21" i="47221"/>
  <c r="P21" i="47221"/>
  <c r="Q21" i="47221"/>
  <c r="R21" i="47221"/>
  <c r="T21" i="47221"/>
  <c r="U21" i="47221"/>
  <c r="V21" i="47221"/>
  <c r="W21" i="47221"/>
  <c r="Y21" i="47221"/>
  <c r="Z21" i="47221"/>
  <c r="AA21" i="47221"/>
  <c r="AC21" i="47221"/>
  <c r="AD21" i="47221"/>
  <c r="AE21" i="47221"/>
  <c r="AG21" i="47221"/>
  <c r="AH21" i="47221"/>
  <c r="AI21" i="47221"/>
  <c r="AK21" i="47221"/>
  <c r="AL21" i="47221"/>
  <c r="AM21" i="47221"/>
  <c r="AO21" i="47221"/>
  <c r="AP21" i="47221"/>
  <c r="AQ21" i="47221"/>
  <c r="B20" i="47221" l="1"/>
  <c r="D20" i="47221"/>
  <c r="E20" i="47221"/>
  <c r="F20" i="47221"/>
  <c r="H20" i="47221"/>
  <c r="I20" i="47221"/>
  <c r="J20" i="47221"/>
  <c r="L20" i="47221"/>
  <c r="M20" i="47221"/>
  <c r="N20" i="47221"/>
  <c r="P20" i="47221"/>
  <c r="Q20" i="47221"/>
  <c r="R20" i="47221"/>
  <c r="T20" i="47221"/>
  <c r="U20" i="47221"/>
  <c r="V20" i="47221"/>
  <c r="W20" i="47221"/>
  <c r="Y20" i="47221"/>
  <c r="Z20" i="47221"/>
  <c r="AA20" i="47221"/>
  <c r="AC20" i="47221"/>
  <c r="AD20" i="47221"/>
  <c r="AE20" i="47221"/>
  <c r="AG20" i="47221"/>
  <c r="AH20" i="47221"/>
  <c r="AI20" i="47221"/>
  <c r="AK20" i="47221"/>
  <c r="AL20" i="47221"/>
  <c r="AM20" i="47221"/>
  <c r="AO20" i="47221"/>
  <c r="AP20" i="47221"/>
  <c r="AQ20" i="47221"/>
  <c r="B19" i="47221" l="1"/>
  <c r="D19" i="47221"/>
  <c r="E19" i="47221"/>
  <c r="F19" i="47221"/>
  <c r="H19" i="47221"/>
  <c r="I19" i="47221"/>
  <c r="J19" i="47221"/>
  <c r="L19" i="47221"/>
  <c r="M19" i="47221"/>
  <c r="N19" i="47221"/>
  <c r="P19" i="47221"/>
  <c r="Q19" i="47221"/>
  <c r="R19" i="47221"/>
  <c r="T19" i="47221"/>
  <c r="U19" i="47221"/>
  <c r="V19" i="47221"/>
  <c r="W19" i="47221"/>
  <c r="Y19" i="47221"/>
  <c r="Z19" i="47221"/>
  <c r="AA19" i="47221"/>
  <c r="AC19" i="47221"/>
  <c r="AD19" i="47221"/>
  <c r="AE19" i="47221"/>
  <c r="AG19" i="47221"/>
  <c r="AH19" i="47221"/>
  <c r="AI19" i="47221"/>
  <c r="AK19" i="47221"/>
  <c r="AL19" i="47221"/>
  <c r="AM19" i="47221"/>
  <c r="AO19" i="47221"/>
  <c r="AP19" i="47221"/>
  <c r="AQ19" i="47221"/>
  <c r="B18" i="47221" l="1"/>
  <c r="D18" i="47221"/>
  <c r="E18" i="47221"/>
  <c r="F18" i="47221"/>
  <c r="H18" i="47221"/>
  <c r="I18" i="47221"/>
  <c r="J18" i="47221"/>
  <c r="L18" i="47221"/>
  <c r="M18" i="47221"/>
  <c r="N18" i="47221"/>
  <c r="P18" i="47221"/>
  <c r="Q18" i="47221"/>
  <c r="R18" i="47221"/>
  <c r="T18" i="47221"/>
  <c r="U18" i="47221"/>
  <c r="V18" i="47221"/>
  <c r="W18" i="47221"/>
  <c r="Y18" i="47221"/>
  <c r="Z18" i="47221"/>
  <c r="AA18" i="47221"/>
  <c r="AC18" i="47221"/>
  <c r="AD18" i="47221"/>
  <c r="AE18" i="47221"/>
  <c r="AG18" i="47221"/>
  <c r="AH18" i="47221"/>
  <c r="AI18" i="47221"/>
  <c r="AK18" i="47221"/>
  <c r="AL18" i="47221"/>
  <c r="AM18" i="47221"/>
  <c r="AO18" i="47221"/>
  <c r="AP18" i="47221"/>
  <c r="AQ18" i="47221"/>
  <c r="B15" i="47221" l="1"/>
  <c r="D15" i="47221"/>
  <c r="E15" i="47221"/>
  <c r="F15" i="47221"/>
  <c r="H15" i="47221"/>
  <c r="I15" i="47221"/>
  <c r="J15" i="47221"/>
  <c r="L15" i="47221"/>
  <c r="M15" i="47221"/>
  <c r="N15" i="47221"/>
  <c r="P15" i="47221"/>
  <c r="Q15" i="47221"/>
  <c r="R15" i="47221"/>
  <c r="T15" i="47221"/>
  <c r="U15" i="47221"/>
  <c r="V15" i="47221"/>
  <c r="W15" i="47221"/>
  <c r="Y15" i="47221"/>
  <c r="Z15" i="47221"/>
  <c r="AA15" i="47221"/>
  <c r="AC15" i="47221"/>
  <c r="AD15" i="47221"/>
  <c r="AE15" i="47221"/>
  <c r="AG15" i="47221"/>
  <c r="AH15" i="47221"/>
  <c r="AI15" i="47221"/>
  <c r="AK15" i="47221"/>
  <c r="AL15" i="47221"/>
  <c r="AM15" i="47221"/>
  <c r="AO15" i="47221"/>
  <c r="AP15" i="47221"/>
  <c r="AQ15" i="47221"/>
  <c r="B16" i="47221"/>
  <c r="D16" i="47221"/>
  <c r="E16" i="47221"/>
  <c r="F16" i="47221"/>
  <c r="H16" i="47221"/>
  <c r="I16" i="47221"/>
  <c r="J16" i="47221"/>
  <c r="L16" i="47221"/>
  <c r="M16" i="47221"/>
  <c r="N16" i="47221"/>
  <c r="P16" i="47221"/>
  <c r="Q16" i="47221"/>
  <c r="R16" i="47221"/>
  <c r="T16" i="47221"/>
  <c r="U16" i="47221"/>
  <c r="V16" i="47221"/>
  <c r="W16" i="47221"/>
  <c r="Y16" i="47221"/>
  <c r="Z16" i="47221"/>
  <c r="AA16" i="47221"/>
  <c r="AC16" i="47221"/>
  <c r="AD16" i="47221"/>
  <c r="AE16" i="47221"/>
  <c r="AG16" i="47221"/>
  <c r="AH16" i="47221"/>
  <c r="AI16" i="47221"/>
  <c r="AK16" i="47221"/>
  <c r="AL16" i="47221"/>
  <c r="AM16" i="47221"/>
  <c r="AO16" i="47221"/>
  <c r="AP16" i="47221"/>
  <c r="AQ16" i="47221"/>
  <c r="B17" i="47221"/>
  <c r="D17" i="47221"/>
  <c r="E17" i="47221"/>
  <c r="F17" i="47221"/>
  <c r="H17" i="47221"/>
  <c r="I17" i="47221"/>
  <c r="J17" i="47221"/>
  <c r="L17" i="47221"/>
  <c r="M17" i="47221"/>
  <c r="N17" i="47221"/>
  <c r="P17" i="47221"/>
  <c r="Q17" i="47221"/>
  <c r="R17" i="47221"/>
  <c r="T17" i="47221"/>
  <c r="U17" i="47221"/>
  <c r="V17" i="47221"/>
  <c r="W17" i="47221"/>
  <c r="Y17" i="47221"/>
  <c r="Z17" i="47221"/>
  <c r="AA17" i="47221"/>
  <c r="AC17" i="47221"/>
  <c r="AD17" i="47221"/>
  <c r="AE17" i="47221"/>
  <c r="AG17" i="47221"/>
  <c r="AH17" i="47221"/>
  <c r="AI17" i="47221"/>
  <c r="AK17" i="47221"/>
  <c r="AL17" i="47221"/>
  <c r="AM17" i="47221"/>
  <c r="AO17" i="47221"/>
  <c r="AP17" i="47221"/>
  <c r="AQ17" i="47221"/>
  <c r="B14" i="47221" l="1"/>
  <c r="D14" i="47221"/>
  <c r="E14" i="47221"/>
  <c r="F14" i="47221"/>
  <c r="H14" i="47221"/>
  <c r="I14" i="47221"/>
  <c r="J14" i="47221"/>
  <c r="L14" i="47221"/>
  <c r="M14" i="47221"/>
  <c r="N14" i="47221"/>
  <c r="P14" i="47221"/>
  <c r="Q14" i="47221"/>
  <c r="R14" i="47221"/>
  <c r="T14" i="47221"/>
  <c r="U14" i="47221"/>
  <c r="V14" i="47221"/>
  <c r="W14" i="47221"/>
  <c r="Y14" i="47221"/>
  <c r="Z14" i="47221"/>
  <c r="AA14" i="47221"/>
  <c r="AC14" i="47221"/>
  <c r="AD14" i="47221"/>
  <c r="AE14" i="47221"/>
  <c r="AG14" i="47221"/>
  <c r="AH14" i="47221"/>
  <c r="AI14" i="47221"/>
  <c r="AK14" i="47221"/>
  <c r="AL14" i="47221"/>
  <c r="AM14" i="47221"/>
  <c r="AO14" i="47221"/>
  <c r="AP14" i="47221"/>
  <c r="AQ14" i="47221"/>
  <c r="H32" i="101" l="1"/>
  <c r="G32" i="101"/>
  <c r="B13" i="47221"/>
  <c r="D13" i="47221"/>
  <c r="E13" i="47221"/>
  <c r="F13" i="47221"/>
  <c r="H13" i="47221"/>
  <c r="I13" i="47221"/>
  <c r="J13" i="47221"/>
  <c r="L13" i="47221"/>
  <c r="M13" i="47221"/>
  <c r="N13" i="47221"/>
  <c r="P13" i="47221"/>
  <c r="Q13" i="47221"/>
  <c r="R13" i="47221"/>
  <c r="T13" i="47221"/>
  <c r="U13" i="47221"/>
  <c r="V13" i="47221"/>
  <c r="W13" i="47221"/>
  <c r="Y13" i="47221"/>
  <c r="Z13" i="47221"/>
  <c r="AA13" i="47221"/>
  <c r="AC13" i="47221"/>
  <c r="AD13" i="47221"/>
  <c r="AE13" i="47221"/>
  <c r="AG13" i="47221"/>
  <c r="AH13" i="47221"/>
  <c r="AI13" i="47221"/>
  <c r="AK13" i="47221"/>
  <c r="AL13" i="47221"/>
  <c r="AM13" i="47221"/>
  <c r="AO13" i="47221"/>
  <c r="AP13" i="47221"/>
  <c r="AQ13" i="47221"/>
  <c r="Q32" i="101" l="1"/>
  <c r="P32" i="101"/>
  <c r="O32" i="101"/>
  <c r="N32" i="101"/>
  <c r="B12" i="47221" l="1"/>
  <c r="D12" i="47221"/>
  <c r="E12" i="47221"/>
  <c r="F12" i="47221"/>
  <c r="H12" i="47221"/>
  <c r="I12" i="47221"/>
  <c r="J12" i="47221"/>
  <c r="L12" i="47221"/>
  <c r="M12" i="47221"/>
  <c r="N12" i="47221"/>
  <c r="P12" i="47221"/>
  <c r="Q12" i="47221"/>
  <c r="R12" i="47221"/>
  <c r="T12" i="47221"/>
  <c r="U12" i="47221"/>
  <c r="V12" i="47221"/>
  <c r="W12" i="47221"/>
  <c r="Y12" i="47221"/>
  <c r="Z12" i="47221"/>
  <c r="AA12" i="47221"/>
  <c r="AC12" i="47221"/>
  <c r="AD12" i="47221"/>
  <c r="AE12" i="47221"/>
  <c r="AG12" i="47221"/>
  <c r="AH12" i="47221"/>
  <c r="AI12" i="47221"/>
  <c r="AK12" i="47221"/>
  <c r="AL12" i="47221"/>
  <c r="AM12" i="47221"/>
  <c r="AO12" i="47221"/>
  <c r="AP12" i="47221"/>
  <c r="AQ12" i="47221"/>
  <c r="B11" i="47221" l="1"/>
  <c r="D11" i="47221"/>
  <c r="E11" i="47221"/>
  <c r="F11" i="47221"/>
  <c r="H11" i="47221"/>
  <c r="I11" i="47221"/>
  <c r="J11" i="47221"/>
  <c r="L11" i="47221"/>
  <c r="M11" i="47221"/>
  <c r="N11" i="47221"/>
  <c r="P11" i="47221"/>
  <c r="Q11" i="47221"/>
  <c r="R11" i="47221"/>
  <c r="T11" i="47221"/>
  <c r="U11" i="47221"/>
  <c r="V11" i="47221"/>
  <c r="W11" i="47221"/>
  <c r="Y11" i="47221"/>
  <c r="Z11" i="47221"/>
  <c r="AA11" i="47221"/>
  <c r="AC11" i="47221"/>
  <c r="AD11" i="47221"/>
  <c r="AE11" i="47221"/>
  <c r="AG11" i="47221"/>
  <c r="AH11" i="47221"/>
  <c r="AI11" i="47221"/>
  <c r="AK11" i="47221"/>
  <c r="AL11" i="47221"/>
  <c r="AM11" i="47221"/>
  <c r="AO11" i="47221"/>
  <c r="AP11" i="47221"/>
  <c r="AQ11" i="47221"/>
  <c r="B40" i="4" l="1"/>
  <c r="E40" i="4" s="1"/>
  <c r="C40" i="4"/>
  <c r="D40" i="4" l="1"/>
  <c r="B7" i="47221"/>
  <c r="D7" i="47221"/>
  <c r="E7" i="47221"/>
  <c r="F7" i="47221"/>
  <c r="H7" i="47221"/>
  <c r="I7" i="47221"/>
  <c r="J7" i="47221"/>
  <c r="L7" i="47221"/>
  <c r="M7" i="47221"/>
  <c r="N7" i="47221"/>
  <c r="P7" i="47221"/>
  <c r="Q7" i="47221"/>
  <c r="R7" i="47221"/>
  <c r="T7" i="47221"/>
  <c r="U7" i="47221"/>
  <c r="V7" i="47221"/>
  <c r="W7" i="47221"/>
  <c r="Y7" i="47221"/>
  <c r="Z7" i="47221"/>
  <c r="AA7" i="47221"/>
  <c r="AC7" i="47221"/>
  <c r="AD7" i="47221"/>
  <c r="AE7" i="47221"/>
  <c r="AG7" i="47221"/>
  <c r="AH7" i="47221"/>
  <c r="AI7" i="47221"/>
  <c r="AK7" i="47221"/>
  <c r="AL7" i="47221"/>
  <c r="AM7" i="47221"/>
  <c r="AO7" i="47221"/>
  <c r="AP7" i="47221"/>
  <c r="AQ7" i="47221"/>
  <c r="B8" i="47221"/>
  <c r="D8" i="47221"/>
  <c r="E8" i="47221"/>
  <c r="F8" i="47221"/>
  <c r="H8" i="47221"/>
  <c r="I8" i="47221"/>
  <c r="J8" i="47221"/>
  <c r="L8" i="47221"/>
  <c r="M8" i="47221"/>
  <c r="N8" i="47221"/>
  <c r="P8" i="47221"/>
  <c r="Q8" i="47221"/>
  <c r="R8" i="47221"/>
  <c r="T8" i="47221"/>
  <c r="U8" i="47221"/>
  <c r="V8" i="47221"/>
  <c r="W8" i="47221"/>
  <c r="Y8" i="47221"/>
  <c r="Z8" i="47221"/>
  <c r="AA8" i="47221"/>
  <c r="AC8" i="47221"/>
  <c r="AD8" i="47221"/>
  <c r="AE8" i="47221"/>
  <c r="AG8" i="47221"/>
  <c r="AH8" i="47221"/>
  <c r="AI8" i="47221"/>
  <c r="AK8" i="47221"/>
  <c r="AL8" i="47221"/>
  <c r="AM8" i="47221"/>
  <c r="AO8" i="47221"/>
  <c r="AP8" i="47221"/>
  <c r="AQ8" i="47221"/>
  <c r="B9" i="47221"/>
  <c r="D9" i="47221"/>
  <c r="E9" i="47221"/>
  <c r="F9" i="47221"/>
  <c r="H9" i="47221"/>
  <c r="I9" i="47221"/>
  <c r="J9" i="47221"/>
  <c r="L9" i="47221"/>
  <c r="M9" i="47221"/>
  <c r="N9" i="47221"/>
  <c r="P9" i="47221"/>
  <c r="Q9" i="47221"/>
  <c r="R9" i="47221"/>
  <c r="T9" i="47221"/>
  <c r="U9" i="47221"/>
  <c r="V9" i="47221"/>
  <c r="W9" i="47221"/>
  <c r="Y9" i="47221"/>
  <c r="Z9" i="47221"/>
  <c r="AA9" i="47221"/>
  <c r="AC9" i="47221"/>
  <c r="AD9" i="47221"/>
  <c r="AE9" i="47221"/>
  <c r="AG9" i="47221"/>
  <c r="AH9" i="47221"/>
  <c r="AI9" i="47221"/>
  <c r="AK9" i="47221"/>
  <c r="AL9" i="47221"/>
  <c r="AM9" i="47221"/>
  <c r="AO9" i="47221"/>
  <c r="AP9" i="47221"/>
  <c r="AQ9" i="47221"/>
  <c r="B10" i="47221"/>
  <c r="D10" i="47221"/>
  <c r="E10" i="47221"/>
  <c r="F10" i="47221"/>
  <c r="H10" i="47221"/>
  <c r="I10" i="47221"/>
  <c r="J10" i="47221"/>
  <c r="L10" i="47221"/>
  <c r="M10" i="47221"/>
  <c r="N10" i="47221"/>
  <c r="P10" i="47221"/>
  <c r="Q10" i="47221"/>
  <c r="R10" i="47221"/>
  <c r="T10" i="47221"/>
  <c r="U10" i="47221"/>
  <c r="V10" i="47221"/>
  <c r="W10" i="47221"/>
  <c r="Y10" i="47221"/>
  <c r="Z10" i="47221"/>
  <c r="AA10" i="47221"/>
  <c r="AC10" i="47221"/>
  <c r="AD10" i="47221"/>
  <c r="AE10" i="47221"/>
  <c r="AG10" i="47221"/>
  <c r="AH10" i="47221"/>
  <c r="AI10" i="47221"/>
  <c r="AK10" i="47221"/>
  <c r="AL10" i="47221"/>
  <c r="AM10" i="47221"/>
  <c r="AO10" i="47221"/>
  <c r="AP10" i="47221"/>
  <c r="AQ10" i="47221"/>
  <c r="B6" i="47221" l="1"/>
  <c r="D6" i="47221"/>
  <c r="E6" i="47221"/>
  <c r="F6" i="47221"/>
  <c r="H6" i="47221"/>
  <c r="I6" i="47221"/>
  <c r="J6" i="47221"/>
  <c r="L6" i="47221"/>
  <c r="M6" i="47221"/>
  <c r="N6" i="47221"/>
  <c r="P6" i="47221"/>
  <c r="Q6" i="47221"/>
  <c r="R6" i="47221"/>
  <c r="T6" i="47221"/>
  <c r="U6" i="47221"/>
  <c r="V6" i="47221"/>
  <c r="W6" i="47221"/>
  <c r="Y6" i="47221"/>
  <c r="Z6" i="47221"/>
  <c r="AA6" i="47221"/>
  <c r="AC6" i="47221"/>
  <c r="AD6" i="47221"/>
  <c r="AE6" i="47221"/>
  <c r="AG6" i="47221"/>
  <c r="AH6" i="47221"/>
  <c r="AI6" i="47221"/>
  <c r="AK6" i="47221"/>
  <c r="AL6" i="47221"/>
  <c r="AM6" i="47221"/>
  <c r="AO6" i="47221"/>
  <c r="AP6" i="47221"/>
  <c r="AQ6" i="47221"/>
  <c r="C41" i="4" l="1"/>
  <c r="B41" i="4"/>
  <c r="E41" i="4" l="1"/>
  <c r="S51" i="101"/>
  <c r="J51" i="101"/>
  <c r="F51" i="101" s="1"/>
  <c r="K51" i="101"/>
  <c r="L51" i="101"/>
  <c r="M51" i="101"/>
  <c r="C51" i="101"/>
  <c r="D51" i="101"/>
  <c r="I51" i="101"/>
  <c r="H51" i="101" s="1"/>
  <c r="AQ28" i="1"/>
  <c r="AV28" i="1" s="1"/>
  <c r="AR28" i="1"/>
  <c r="AM28" i="1"/>
  <c r="AU28" i="1" s="1"/>
  <c r="AW28" i="1" s="1"/>
  <c r="AN28" i="1"/>
  <c r="AV44" i="1"/>
  <c r="AQ44" i="1"/>
  <c r="AR44" i="1"/>
  <c r="AS44" i="1"/>
  <c r="AM44" i="1"/>
  <c r="AO44" i="1" s="1"/>
  <c r="AN44" i="1"/>
  <c r="AM60" i="1"/>
  <c r="AN60" i="1"/>
  <c r="AO60" i="1"/>
  <c r="AU44" i="1" l="1"/>
  <c r="AW44" i="1" s="1"/>
  <c r="AS28" i="1"/>
  <c r="AO28" i="1"/>
  <c r="B51" i="101"/>
  <c r="J69" i="47220" l="1"/>
  <c r="J63" i="47220"/>
  <c r="M59" i="1" l="1"/>
  <c r="M58" i="1"/>
  <c r="M57" i="1"/>
  <c r="M56" i="1"/>
  <c r="M55" i="1"/>
  <c r="M43" i="1"/>
  <c r="M42" i="1"/>
  <c r="M41" i="1"/>
  <c r="M40" i="1"/>
  <c r="M39" i="1"/>
  <c r="M24" i="1"/>
  <c r="M25" i="1"/>
  <c r="M26" i="1"/>
  <c r="M27" i="1"/>
  <c r="M23" i="1"/>
  <c r="H31" i="101" l="1"/>
  <c r="Q31" i="101" l="1"/>
  <c r="P31" i="101"/>
  <c r="N31" i="101"/>
  <c r="O31" i="101"/>
  <c r="AJ5" i="2" l="1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4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G31" i="101" l="1"/>
  <c r="S50" i="101" l="1"/>
  <c r="K50" i="101"/>
  <c r="L50" i="101"/>
  <c r="M50" i="101"/>
  <c r="C50" i="101"/>
  <c r="D50" i="101"/>
  <c r="I50" i="101"/>
  <c r="J50" i="101"/>
  <c r="F50" i="101" s="1"/>
  <c r="Q30" i="101"/>
  <c r="H50" i="101" l="1"/>
  <c r="B50" i="101"/>
  <c r="N30" i="101" l="1"/>
  <c r="P30" i="101" l="1"/>
  <c r="O30" i="101"/>
  <c r="S49" i="101" l="1"/>
  <c r="J49" i="101"/>
  <c r="F49" i="101" s="1"/>
  <c r="K49" i="101"/>
  <c r="L49" i="101"/>
  <c r="M49" i="101"/>
  <c r="C49" i="101"/>
  <c r="D49" i="101"/>
  <c r="I49" i="101"/>
  <c r="H49" i="101" l="1"/>
  <c r="B49" i="101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Q29" i="101" l="1"/>
  <c r="P29" i="101"/>
  <c r="O29" i="101"/>
  <c r="N29" i="101"/>
  <c r="H29" i="101"/>
  <c r="G29" i="101"/>
  <c r="C48" i="101" l="1"/>
  <c r="D48" i="101"/>
  <c r="I48" i="101"/>
  <c r="J48" i="101"/>
  <c r="F48" i="101" s="1"/>
  <c r="K48" i="101"/>
  <c r="L48" i="101"/>
  <c r="M48" i="101"/>
  <c r="R48" i="101"/>
  <c r="S48" i="101"/>
  <c r="B48" i="101" l="1"/>
  <c r="H48" i="101"/>
  <c r="B87" i="47223" l="1"/>
  <c r="D90" i="47223"/>
  <c r="D91" i="47223"/>
  <c r="D92" i="47223"/>
  <c r="D93" i="47223"/>
  <c r="D94" i="47223"/>
  <c r="D95" i="47223"/>
  <c r="D96" i="47223"/>
  <c r="D97" i="47223"/>
  <c r="D98" i="47223"/>
  <c r="D99" i="47223"/>
  <c r="D100" i="47223"/>
  <c r="D89" i="47223"/>
  <c r="H28" i="101" l="1"/>
  <c r="G28" i="101"/>
  <c r="Q28" i="101" l="1"/>
  <c r="P28" i="101"/>
  <c r="O28" i="101"/>
  <c r="N28" i="101"/>
  <c r="C47" i="101" l="1"/>
  <c r="D47" i="101"/>
  <c r="I47" i="101"/>
  <c r="J47" i="101"/>
  <c r="F47" i="101" s="1"/>
  <c r="K47" i="101"/>
  <c r="L47" i="101"/>
  <c r="M47" i="101"/>
  <c r="R47" i="101"/>
  <c r="S47" i="101"/>
  <c r="H47" i="101" l="1"/>
  <c r="B47" i="101"/>
  <c r="AF47" i="101" l="1"/>
  <c r="AF48" i="101"/>
  <c r="AF49" i="101"/>
  <c r="AF50" i="101"/>
  <c r="AF61" i="101" s="1"/>
  <c r="AF51" i="101"/>
  <c r="AF52" i="101"/>
  <c r="AF53" i="101"/>
  <c r="AF54" i="101"/>
  <c r="AF55" i="101"/>
  <c r="AF56" i="101"/>
  <c r="AF57" i="101"/>
  <c r="AF46" i="10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47222" s="1"/>
  <c r="E55" i="47223" l="1"/>
  <c r="E56" i="47223"/>
  <c r="E57" i="47223"/>
  <c r="E58" i="47223"/>
  <c r="E59" i="47223"/>
  <c r="E60" i="47223"/>
  <c r="E61" i="47223"/>
  <c r="E62" i="47223"/>
  <c r="E63" i="47223"/>
  <c r="E64" i="47223"/>
  <c r="E65" i="47223"/>
  <c r="E66" i="47223"/>
  <c r="E67" i="47223"/>
  <c r="E68" i="47223"/>
  <c r="E69" i="47223"/>
  <c r="E70" i="47223"/>
  <c r="E71" i="47223"/>
  <c r="E72" i="47223"/>
  <c r="E73" i="47223"/>
  <c r="E74" i="47223"/>
  <c r="E75" i="47223"/>
  <c r="E76" i="47223"/>
  <c r="E77" i="47223"/>
  <c r="E78" i="47223"/>
  <c r="E79" i="47223"/>
  <c r="E80" i="47223"/>
  <c r="E81" i="47223"/>
  <c r="E82" i="47223"/>
  <c r="E83" i="47223"/>
  <c r="E84" i="47223"/>
  <c r="E54" i="47223"/>
  <c r="J368" i="47225" l="1"/>
  <c r="J367" i="47225"/>
  <c r="J366" i="47225"/>
  <c r="J365" i="47225"/>
  <c r="J364" i="47225"/>
  <c r="J363" i="47225"/>
  <c r="J362" i="47225"/>
  <c r="J361" i="47225"/>
  <c r="J360" i="47225"/>
  <c r="J359" i="47225"/>
  <c r="J358" i="47225"/>
  <c r="J357" i="47225"/>
  <c r="J356" i="47225"/>
  <c r="J355" i="47225"/>
  <c r="J354" i="47225"/>
  <c r="J353" i="47225"/>
  <c r="J352" i="47225"/>
  <c r="J351" i="47225"/>
  <c r="J350" i="47225"/>
  <c r="J349" i="47225"/>
  <c r="J348" i="47225"/>
  <c r="J347" i="47225"/>
  <c r="J346" i="47225"/>
  <c r="J345" i="47225"/>
  <c r="J344" i="47225"/>
  <c r="J343" i="47225"/>
  <c r="J342" i="47225"/>
  <c r="J341" i="47225"/>
  <c r="J340" i="47225"/>
  <c r="J339" i="47225"/>
  <c r="J338" i="47225"/>
  <c r="J337" i="47225"/>
  <c r="J336" i="47225"/>
  <c r="J335" i="47225"/>
  <c r="J334" i="47225"/>
  <c r="J333" i="47225"/>
  <c r="J332" i="47225"/>
  <c r="J331" i="47225"/>
  <c r="J330" i="47225"/>
  <c r="J329" i="47225"/>
  <c r="J328" i="47225"/>
  <c r="J327" i="47225"/>
  <c r="J326" i="47225"/>
  <c r="J325" i="47225"/>
  <c r="J324" i="47225"/>
  <c r="J323" i="47225"/>
  <c r="J322" i="47225"/>
  <c r="J321" i="47225"/>
  <c r="J320" i="47225"/>
  <c r="J319" i="47225"/>
  <c r="J318" i="47225"/>
  <c r="J317" i="47225"/>
  <c r="J316" i="47225"/>
  <c r="J315" i="47225"/>
  <c r="J314" i="47225"/>
  <c r="J313" i="47225"/>
  <c r="J312" i="47225"/>
  <c r="J311" i="47225"/>
  <c r="J310" i="47225"/>
  <c r="J309" i="47225"/>
  <c r="J308" i="47225"/>
  <c r="J307" i="47225"/>
  <c r="J306" i="47225"/>
  <c r="J305" i="47225"/>
  <c r="J304" i="47225"/>
  <c r="J303" i="47225"/>
  <c r="J302" i="47225"/>
  <c r="J301" i="47225"/>
  <c r="J300" i="47225"/>
  <c r="J299" i="47225"/>
  <c r="J298" i="47225"/>
  <c r="J297" i="47225"/>
  <c r="J296" i="47225"/>
  <c r="J295" i="47225"/>
  <c r="J294" i="47225"/>
  <c r="J293" i="47225"/>
  <c r="J292" i="47225"/>
  <c r="J291" i="47225"/>
  <c r="J290" i="47225"/>
  <c r="J289" i="47225"/>
  <c r="J288" i="47225"/>
  <c r="J287" i="47225"/>
  <c r="J286" i="47225"/>
  <c r="J285" i="47225"/>
  <c r="J284" i="47225"/>
  <c r="J283" i="47225"/>
  <c r="J282" i="47225"/>
  <c r="J281" i="47225"/>
  <c r="J280" i="47225"/>
  <c r="J279" i="47225"/>
  <c r="J278" i="47225"/>
  <c r="J277" i="47225"/>
  <c r="J276" i="47225"/>
  <c r="J275" i="47225"/>
  <c r="J274" i="47225"/>
  <c r="J273" i="47225"/>
  <c r="J272" i="47225"/>
  <c r="J271" i="47225"/>
  <c r="J270" i="47225"/>
  <c r="J269" i="47225"/>
  <c r="J268" i="47225"/>
  <c r="J267" i="47225"/>
  <c r="J266" i="47225"/>
  <c r="J265" i="47225"/>
  <c r="J264" i="47225"/>
  <c r="J263" i="47225"/>
  <c r="J262" i="47225"/>
  <c r="J261" i="47225"/>
  <c r="J260" i="47225"/>
  <c r="J259" i="47225"/>
  <c r="J258" i="47225"/>
  <c r="J257" i="47225"/>
  <c r="J256" i="47225"/>
  <c r="J255" i="47225"/>
  <c r="J254" i="47225"/>
  <c r="J253" i="47225"/>
  <c r="J252" i="47225"/>
  <c r="J251" i="47225"/>
  <c r="J250" i="47225"/>
  <c r="J249" i="47225"/>
  <c r="J248" i="47225"/>
  <c r="J247" i="47225"/>
  <c r="J246" i="47225"/>
  <c r="J245" i="47225"/>
  <c r="J244" i="47225"/>
  <c r="J243" i="47225"/>
  <c r="J242" i="47225"/>
  <c r="J241" i="47225"/>
  <c r="J240" i="47225"/>
  <c r="J239" i="47225"/>
  <c r="J238" i="47225"/>
  <c r="J237" i="47225"/>
  <c r="J236" i="47225"/>
  <c r="J235" i="47225"/>
  <c r="J234" i="47225"/>
  <c r="J233" i="47225"/>
  <c r="J232" i="47225"/>
  <c r="J231" i="47225"/>
  <c r="J230" i="47225"/>
  <c r="J229" i="47225"/>
  <c r="J228" i="47225"/>
  <c r="J227" i="47225"/>
  <c r="J226" i="47225"/>
  <c r="J225" i="47225"/>
  <c r="J224" i="47225"/>
  <c r="J223" i="47225"/>
  <c r="J222" i="47225"/>
  <c r="J221" i="47225"/>
  <c r="J220" i="47225"/>
  <c r="J219" i="47225"/>
  <c r="J218" i="47225"/>
  <c r="J217" i="47225"/>
  <c r="J216" i="47225"/>
  <c r="J215" i="47225"/>
  <c r="J214" i="47225"/>
  <c r="J213" i="47225"/>
  <c r="J212" i="47225"/>
  <c r="J211" i="47225"/>
  <c r="J210" i="47225"/>
  <c r="J209" i="47225"/>
  <c r="J208" i="47225"/>
  <c r="J207" i="47225"/>
  <c r="J206" i="47225"/>
  <c r="J205" i="47225"/>
  <c r="J204" i="47225"/>
  <c r="J203" i="47225"/>
  <c r="J202" i="47225"/>
  <c r="J201" i="47225"/>
  <c r="J200" i="47225"/>
  <c r="J199" i="47225"/>
  <c r="J198" i="47225"/>
  <c r="J197" i="47225"/>
  <c r="J196" i="47225"/>
  <c r="J195" i="47225"/>
  <c r="J194" i="47225"/>
  <c r="J193" i="47225"/>
  <c r="J192" i="47225"/>
  <c r="J191" i="47225"/>
  <c r="J190" i="47225"/>
  <c r="J189" i="47225"/>
  <c r="J188" i="47225"/>
  <c r="J187" i="47225"/>
  <c r="J186" i="47225"/>
  <c r="J185" i="47225"/>
  <c r="J184" i="47225"/>
  <c r="J183" i="47225"/>
  <c r="J182" i="47225"/>
  <c r="J181" i="47225"/>
  <c r="J180" i="47225"/>
  <c r="J179" i="47225"/>
  <c r="J178" i="47225"/>
  <c r="J177" i="47225"/>
  <c r="J176" i="47225"/>
  <c r="J175" i="47225"/>
  <c r="J174" i="47225"/>
  <c r="J173" i="47225"/>
  <c r="J172" i="47225"/>
  <c r="J171" i="47225"/>
  <c r="J170" i="47225"/>
  <c r="J169" i="47225"/>
  <c r="J168" i="47225"/>
  <c r="J167" i="47225"/>
  <c r="J166" i="47225"/>
  <c r="J165" i="47225"/>
  <c r="J164" i="47225"/>
  <c r="J163" i="47225"/>
  <c r="J162" i="47225"/>
  <c r="J161" i="47225"/>
  <c r="J160" i="47225"/>
  <c r="J159" i="47225"/>
  <c r="J158" i="47225"/>
  <c r="J157" i="47225"/>
  <c r="J156" i="47225"/>
  <c r="J155" i="47225"/>
  <c r="J154" i="47225"/>
  <c r="J153" i="47225"/>
  <c r="J152" i="47225"/>
  <c r="J151" i="47225"/>
  <c r="J150" i="47225"/>
  <c r="J149" i="47225"/>
  <c r="J148" i="47225"/>
  <c r="J147" i="47225"/>
  <c r="J146" i="47225"/>
  <c r="J145" i="47225"/>
  <c r="J144" i="47225"/>
  <c r="J143" i="47225"/>
  <c r="J142" i="47225"/>
  <c r="J141" i="47225"/>
  <c r="J140" i="47225"/>
  <c r="J139" i="47225"/>
  <c r="J138" i="47225"/>
  <c r="J137" i="47225"/>
  <c r="J136" i="47225"/>
  <c r="J135" i="47225"/>
  <c r="J134" i="47225"/>
  <c r="J133" i="47225"/>
  <c r="J132" i="47225"/>
  <c r="J131" i="47225"/>
  <c r="J130" i="47225"/>
  <c r="J129" i="47225"/>
  <c r="J128" i="47225"/>
  <c r="J127" i="47225"/>
  <c r="J126" i="47225"/>
  <c r="J125" i="47225"/>
  <c r="J124" i="47225"/>
  <c r="J123" i="47225"/>
  <c r="J122" i="47225"/>
  <c r="J121" i="47225"/>
  <c r="J120" i="47225"/>
  <c r="J119" i="47225"/>
  <c r="J118" i="47225"/>
  <c r="J117" i="47225"/>
  <c r="J116" i="47225"/>
  <c r="J115" i="47225"/>
  <c r="J114" i="47225"/>
  <c r="J113" i="47225"/>
  <c r="J112" i="47225"/>
  <c r="J111" i="47225"/>
  <c r="J110" i="47225"/>
  <c r="J109" i="47225"/>
  <c r="J108" i="47225"/>
  <c r="J107" i="47225"/>
  <c r="J106" i="47225"/>
  <c r="J105" i="47225"/>
  <c r="J104" i="47225"/>
  <c r="J103" i="47225"/>
  <c r="J102" i="47225"/>
  <c r="J101" i="47225"/>
  <c r="J100" i="47225"/>
  <c r="J99" i="47225"/>
  <c r="J98" i="47225"/>
  <c r="J97" i="47225"/>
  <c r="J96" i="47225"/>
  <c r="J95" i="47225"/>
  <c r="J94" i="47225"/>
  <c r="J93" i="47225"/>
  <c r="J92" i="47225"/>
  <c r="J91" i="47225"/>
  <c r="J90" i="47225"/>
  <c r="J89" i="47225"/>
  <c r="J88" i="47225"/>
  <c r="J87" i="47225"/>
  <c r="J86" i="47225"/>
  <c r="J85" i="47225"/>
  <c r="J84" i="47225"/>
  <c r="J83" i="47225"/>
  <c r="J82" i="47225"/>
  <c r="J81" i="47225"/>
  <c r="J80" i="47225"/>
  <c r="J79" i="47225"/>
  <c r="J78" i="47225"/>
  <c r="J77" i="47225"/>
  <c r="J76" i="47225"/>
  <c r="J75" i="47225"/>
  <c r="J74" i="47225"/>
  <c r="J73" i="47225"/>
  <c r="J72" i="47225"/>
  <c r="J71" i="47225"/>
  <c r="J70" i="47225"/>
  <c r="J69" i="47225"/>
  <c r="J68" i="47225"/>
  <c r="J67" i="47225"/>
  <c r="J66" i="47225"/>
  <c r="J65" i="47225"/>
  <c r="J64" i="47225"/>
  <c r="J63" i="47225"/>
  <c r="J62" i="47225"/>
  <c r="J61" i="47225"/>
  <c r="J60" i="47225"/>
  <c r="J59" i="47225"/>
  <c r="J58" i="47225"/>
  <c r="J57" i="47225"/>
  <c r="J56" i="47225"/>
  <c r="J55" i="47225"/>
  <c r="J54" i="47225"/>
  <c r="J53" i="47225"/>
  <c r="J52" i="47225"/>
  <c r="J51" i="47225"/>
  <c r="J50" i="47225"/>
  <c r="J49" i="47225"/>
  <c r="J48" i="47225"/>
  <c r="J47" i="47225"/>
  <c r="J46" i="47225"/>
  <c r="J45" i="47225"/>
  <c r="J44" i="47225"/>
  <c r="J43" i="47225"/>
  <c r="J42" i="47225"/>
  <c r="J41" i="47225"/>
  <c r="J40" i="47225"/>
  <c r="J39" i="47225"/>
  <c r="J38" i="47225"/>
  <c r="J37" i="47225"/>
  <c r="J36" i="47225"/>
  <c r="J35" i="47225"/>
  <c r="J34" i="47225"/>
  <c r="J33" i="47225"/>
  <c r="J32" i="47225"/>
  <c r="J31" i="47225"/>
  <c r="J30" i="47225"/>
  <c r="J29" i="47225"/>
  <c r="J28" i="47225"/>
  <c r="J27" i="47225"/>
  <c r="J26" i="47225"/>
  <c r="J25" i="47225"/>
  <c r="J24" i="47225"/>
  <c r="J23" i="47225"/>
  <c r="J22" i="47225"/>
  <c r="J21" i="47225"/>
  <c r="J20" i="47225"/>
  <c r="J19" i="47225"/>
  <c r="J18" i="47225"/>
  <c r="J17" i="47225"/>
  <c r="J16" i="47225"/>
  <c r="J15" i="47225"/>
  <c r="J14" i="47225"/>
  <c r="J13" i="47225"/>
  <c r="J12" i="47225"/>
  <c r="J11" i="47225"/>
  <c r="J10" i="47225"/>
  <c r="J9" i="47225"/>
  <c r="J8" i="47225"/>
  <c r="J7" i="47225"/>
  <c r="J6" i="47225"/>
  <c r="J5" i="47225"/>
  <c r="J4" i="47225"/>
  <c r="G38" i="47223"/>
  <c r="H38" i="47223" s="1"/>
  <c r="I38" i="47223" s="1"/>
  <c r="J38" i="47223" s="1"/>
  <c r="K38" i="47223" s="1"/>
  <c r="L38" i="47223" s="1"/>
  <c r="M38" i="47223" s="1"/>
  <c r="N38" i="47223" s="1"/>
  <c r="O38" i="47223" s="1"/>
  <c r="P38" i="47223" s="1"/>
  <c r="Q38" i="47223" s="1"/>
  <c r="R38" i="47223" s="1"/>
  <c r="S38" i="47223" s="1"/>
  <c r="T38" i="47223" s="1"/>
  <c r="U38" i="47223" s="1"/>
  <c r="V38" i="47223" s="1"/>
  <c r="W38" i="47223" s="1"/>
  <c r="X38" i="47223" s="1"/>
  <c r="Y38" i="47223" s="1"/>
  <c r="Z38" i="47223" s="1"/>
  <c r="D38" i="47223"/>
  <c r="E38" i="47223" s="1"/>
  <c r="F38" i="47223" s="1"/>
  <c r="B4" i="47223"/>
  <c r="CE3" i="47223"/>
  <c r="CF3" i="47223" s="1"/>
  <c r="CG3" i="47223" s="1"/>
  <c r="CH3" i="47223" s="1"/>
  <c r="CI3" i="47223" s="1"/>
  <c r="CJ3" i="47223" s="1"/>
  <c r="CK3" i="47223" s="1"/>
  <c r="CL3" i="47223" s="1"/>
  <c r="CM3" i="47223" s="1"/>
  <c r="CN3" i="47223" s="1"/>
  <c r="CO3" i="47223" s="1"/>
  <c r="CP3" i="47223" s="1"/>
  <c r="CQ3" i="47223" s="1"/>
  <c r="CR3" i="47223" s="1"/>
  <c r="CS3" i="47223" s="1"/>
  <c r="CT3" i="47223" s="1"/>
  <c r="CU3" i="47223" s="1"/>
  <c r="CV3" i="47223" s="1"/>
  <c r="CW3" i="47223" s="1"/>
  <c r="CX3" i="47223" s="1"/>
  <c r="CY3" i="47223" s="1"/>
  <c r="CZ3" i="47223" s="1"/>
  <c r="CD3" i="47223"/>
  <c r="BD3" i="47223"/>
  <c r="BE3" i="47223" s="1"/>
  <c r="BF3" i="47223" s="1"/>
  <c r="BG3" i="47223" s="1"/>
  <c r="BH3" i="47223" s="1"/>
  <c r="BI3" i="47223" s="1"/>
  <c r="BJ3" i="47223" s="1"/>
  <c r="BK3" i="47223" s="1"/>
  <c r="BL3" i="47223" s="1"/>
  <c r="BM3" i="47223" s="1"/>
  <c r="BN3" i="47223" s="1"/>
  <c r="BO3" i="47223" s="1"/>
  <c r="BP3" i="47223" s="1"/>
  <c r="BQ3" i="47223" s="1"/>
  <c r="BR3" i="47223" s="1"/>
  <c r="BS3" i="47223" s="1"/>
  <c r="BT3" i="47223" s="1"/>
  <c r="BU3" i="47223" s="1"/>
  <c r="BV3" i="47223" s="1"/>
  <c r="BW3" i="47223" s="1"/>
  <c r="BX3" i="47223" s="1"/>
  <c r="BY3" i="47223" s="1"/>
  <c r="BZ3" i="47223" s="1"/>
  <c r="AD3" i="47223"/>
  <c r="D3" i="47223"/>
  <c r="AR55" i="1"/>
  <c r="AQ55" i="1"/>
  <c r="AV55" i="1" s="1"/>
  <c r="AN55" i="1"/>
  <c r="AM55" i="1"/>
  <c r="AU55" i="1" s="1"/>
  <c r="AW55" i="1" s="1"/>
  <c r="AU39" i="1"/>
  <c r="AR39" i="1"/>
  <c r="AS39" i="1" s="1"/>
  <c r="AQ39" i="1"/>
  <c r="AV39" i="1" s="1"/>
  <c r="AW39" i="1" s="1"/>
  <c r="AN39" i="1"/>
  <c r="AO39" i="1" s="1"/>
  <c r="AM39" i="1"/>
  <c r="AU23" i="1"/>
  <c r="AR23" i="1"/>
  <c r="AS23" i="1" s="1"/>
  <c r="AQ23" i="1"/>
  <c r="AV23" i="1" s="1"/>
  <c r="AN23" i="1"/>
  <c r="AO23" i="1" s="1"/>
  <c r="AM23" i="1"/>
  <c r="AJ7" i="1"/>
  <c r="AI7" i="1"/>
  <c r="AK7" i="1" s="1"/>
  <c r="AF7" i="1"/>
  <c r="AE7" i="1"/>
  <c r="AG7" i="1" s="1"/>
  <c r="AB7" i="1"/>
  <c r="AR7" i="1" s="1"/>
  <c r="AA7" i="1"/>
  <c r="X7" i="1"/>
  <c r="W7" i="1"/>
  <c r="Y7" i="1" s="1"/>
  <c r="T7" i="1"/>
  <c r="S7" i="1"/>
  <c r="U7" i="1" s="1"/>
  <c r="P7" i="1"/>
  <c r="O7" i="1"/>
  <c r="Q7" i="1" s="1"/>
  <c r="L7" i="1"/>
  <c r="K7" i="1"/>
  <c r="AM7" i="1" s="1"/>
  <c r="AU7" i="1" s="1"/>
  <c r="H7" i="1"/>
  <c r="G7" i="1"/>
  <c r="I7" i="1" s="1"/>
  <c r="D7" i="1"/>
  <c r="E7" i="1" s="1"/>
  <c r="C7" i="1"/>
  <c r="G40" i="47222"/>
  <c r="G39" i="47222"/>
  <c r="AZ37" i="47222"/>
  <c r="AY37" i="47222"/>
  <c r="AX37" i="47222"/>
  <c r="AV37" i="47222"/>
  <c r="AU37" i="47222"/>
  <c r="AT37" i="47222"/>
  <c r="AR37" i="47222"/>
  <c r="AQ37" i="47222"/>
  <c r="AP37" i="47222"/>
  <c r="AN37" i="47222"/>
  <c r="AM37" i="47222"/>
  <c r="AL37" i="47222"/>
  <c r="AJ37" i="47222"/>
  <c r="AI37" i="47222"/>
  <c r="AH37" i="47222"/>
  <c r="AJ39" i="47222" s="1"/>
  <c r="AF37" i="47222"/>
  <c r="AE37" i="47222"/>
  <c r="AD37" i="47222"/>
  <c r="AF39" i="47222" s="1"/>
  <c r="AB37" i="47222"/>
  <c r="X37" i="47222"/>
  <c r="T37" i="47222"/>
  <c r="P37" i="47222"/>
  <c r="L37" i="47222"/>
  <c r="G37" i="47222"/>
  <c r="E37" i="47222"/>
  <c r="I11" i="47222"/>
  <c r="I10" i="47222"/>
  <c r="I9" i="47222"/>
  <c r="I8" i="47222"/>
  <c r="I7" i="47222"/>
  <c r="I6" i="47222"/>
  <c r="I5" i="47222"/>
  <c r="I37" i="47222" s="1"/>
  <c r="A5" i="47222"/>
  <c r="AQ37" i="47221"/>
  <c r="AF61" i="1" s="1"/>
  <c r="AP37" i="47221"/>
  <c r="AF45" i="1" s="1"/>
  <c r="AQ5" i="47221"/>
  <c r="AP5" i="47221"/>
  <c r="AO5" i="47221"/>
  <c r="AO37" i="47221" s="1"/>
  <c r="AF29" i="1" s="1"/>
  <c r="AM5" i="47221"/>
  <c r="AM37" i="47221" s="1"/>
  <c r="AL5" i="47221"/>
  <c r="AL37" i="47221" s="1"/>
  <c r="AK5" i="47221"/>
  <c r="AK37" i="47221" s="1"/>
  <c r="AI5" i="47221"/>
  <c r="AI37" i="47221" s="1"/>
  <c r="AH5" i="47221"/>
  <c r="AH37" i="47221" s="1"/>
  <c r="AG5" i="47221"/>
  <c r="AG37" i="47221" s="1"/>
  <c r="AE5" i="47221"/>
  <c r="AE37" i="47221" s="1"/>
  <c r="AD5" i="47221"/>
  <c r="AD37" i="47221" s="1"/>
  <c r="AC5" i="47221"/>
  <c r="AC37" i="47221" s="1"/>
  <c r="AA5" i="47221"/>
  <c r="AA37" i="47221" s="1"/>
  <c r="Z5" i="47221"/>
  <c r="Z37" i="47221" s="1"/>
  <c r="Y5" i="47221"/>
  <c r="Y37" i="47221" s="1"/>
  <c r="W5" i="47221"/>
  <c r="W37" i="47221" s="1"/>
  <c r="G58" i="4" s="1"/>
  <c r="V5" i="47221"/>
  <c r="V37" i="47221" s="1"/>
  <c r="G55" i="4" s="1"/>
  <c r="U5" i="47221"/>
  <c r="U37" i="47221" s="1"/>
  <c r="G57" i="4" s="1"/>
  <c r="T5" i="47221"/>
  <c r="T37" i="47221" s="1"/>
  <c r="G54" i="4" s="1"/>
  <c r="R5" i="47221"/>
  <c r="R37" i="47221" s="1"/>
  <c r="Q5" i="47221"/>
  <c r="Q37" i="47221" s="1"/>
  <c r="P5" i="47221"/>
  <c r="P37" i="47221" s="1"/>
  <c r="N5" i="47221"/>
  <c r="N37" i="47221" s="1"/>
  <c r="M5" i="47221"/>
  <c r="M37" i="47221" s="1"/>
  <c r="L5" i="47221"/>
  <c r="L37" i="47221" s="1"/>
  <c r="J5" i="47221"/>
  <c r="J37" i="47221" s="1"/>
  <c r="I5" i="47221"/>
  <c r="I37" i="47221" s="1"/>
  <c r="H5" i="47221"/>
  <c r="H37" i="47221" s="1"/>
  <c r="F5" i="47221"/>
  <c r="F37" i="47221" s="1"/>
  <c r="E5" i="47221"/>
  <c r="E37" i="47221" s="1"/>
  <c r="D5" i="47221"/>
  <c r="D37" i="47221" s="1"/>
  <c r="B5" i="47221"/>
  <c r="B39" i="47221" s="1"/>
  <c r="A5" i="47221"/>
  <c r="M94" i="47220"/>
  <c r="I94" i="47220"/>
  <c r="E94" i="47220"/>
  <c r="O92" i="47220"/>
  <c r="K92" i="47220"/>
  <c r="G92" i="47220"/>
  <c r="P89" i="47220"/>
  <c r="P88" i="47220" s="1"/>
  <c r="O88" i="47220"/>
  <c r="N88" i="47220"/>
  <c r="M88" i="47220"/>
  <c r="L88" i="47220"/>
  <c r="K88" i="47220"/>
  <c r="J88" i="47220"/>
  <c r="I88" i="47220"/>
  <c r="H88" i="47220"/>
  <c r="G88" i="47220"/>
  <c r="F88" i="47220"/>
  <c r="E88" i="47220"/>
  <c r="D88" i="47220"/>
  <c r="P87" i="47220"/>
  <c r="O84" i="47220"/>
  <c r="O83" i="47220" s="1"/>
  <c r="N84" i="47220"/>
  <c r="N94" i="47220" s="1"/>
  <c r="M84" i="47220"/>
  <c r="L84" i="47220"/>
  <c r="L94" i="47220" s="1"/>
  <c r="L93" i="47220" s="1"/>
  <c r="K84" i="47220"/>
  <c r="K83" i="47220" s="1"/>
  <c r="J84" i="47220"/>
  <c r="J94" i="47220" s="1"/>
  <c r="I84" i="47220"/>
  <c r="H84" i="47220"/>
  <c r="H94" i="47220" s="1"/>
  <c r="G84" i="47220"/>
  <c r="G83" i="47220" s="1"/>
  <c r="F84" i="47220"/>
  <c r="F94" i="47220" s="1"/>
  <c r="E84" i="47220"/>
  <c r="D84" i="47220"/>
  <c r="D94" i="47220" s="1"/>
  <c r="L83" i="47220"/>
  <c r="H83" i="47220"/>
  <c r="D83" i="47220"/>
  <c r="O82" i="47220"/>
  <c r="N82" i="47220"/>
  <c r="N92" i="47220" s="1"/>
  <c r="M82" i="47220"/>
  <c r="M92" i="47220" s="1"/>
  <c r="L82" i="47220"/>
  <c r="L92" i="47220" s="1"/>
  <c r="K82" i="47220"/>
  <c r="J82" i="47220"/>
  <c r="J92" i="47220" s="1"/>
  <c r="I82" i="47220"/>
  <c r="E51" i="101" s="1"/>
  <c r="H82" i="47220"/>
  <c r="E50" i="101" s="1"/>
  <c r="G82" i="47220"/>
  <c r="E49" i="101" s="1"/>
  <c r="F82" i="47220"/>
  <c r="E48" i="101" s="1"/>
  <c r="E82" i="47220"/>
  <c r="E47" i="101" s="1"/>
  <c r="D82" i="47220"/>
  <c r="P82" i="47220" s="1"/>
  <c r="P66" i="47220"/>
  <c r="P65" i="47220"/>
  <c r="P62" i="47220"/>
  <c r="P61" i="47220"/>
  <c r="P58" i="47220"/>
  <c r="P57" i="47220"/>
  <c r="P54" i="47220"/>
  <c r="P53" i="47220"/>
  <c r="P50" i="47220"/>
  <c r="N47" i="47220"/>
  <c r="M47" i="47220"/>
  <c r="L47" i="47220"/>
  <c r="J47" i="47220"/>
  <c r="I47" i="47220"/>
  <c r="H47" i="47220"/>
  <c r="F47" i="47220"/>
  <c r="E47" i="47220"/>
  <c r="D47" i="47220"/>
  <c r="N46" i="47220"/>
  <c r="J46" i="47220"/>
  <c r="F46" i="47220"/>
  <c r="P44" i="47220"/>
  <c r="P43" i="47220"/>
  <c r="O36" i="47220"/>
  <c r="O35" i="47220" s="1"/>
  <c r="N36" i="47220"/>
  <c r="M36" i="47220"/>
  <c r="M35" i="47220" s="1"/>
  <c r="L36" i="47220"/>
  <c r="K36" i="47220"/>
  <c r="K35" i="47220" s="1"/>
  <c r="J36" i="47220"/>
  <c r="I36" i="47220"/>
  <c r="I35" i="47220" s="1"/>
  <c r="H36" i="47220"/>
  <c r="G36" i="47220"/>
  <c r="G35" i="47220" s="1"/>
  <c r="F36" i="47220"/>
  <c r="E36" i="47220"/>
  <c r="E35" i="47220" s="1"/>
  <c r="D36" i="47220"/>
  <c r="P36" i="47220" s="1"/>
  <c r="P35" i="47220" s="1"/>
  <c r="N35" i="47220"/>
  <c r="L35" i="47220"/>
  <c r="J35" i="47220"/>
  <c r="H35" i="47220"/>
  <c r="F35" i="47220"/>
  <c r="D35" i="47220"/>
  <c r="P33" i="47220"/>
  <c r="O32" i="47220"/>
  <c r="N32" i="47220"/>
  <c r="M32" i="47220"/>
  <c r="L32" i="47220"/>
  <c r="K32" i="47220"/>
  <c r="J32" i="47220"/>
  <c r="I32" i="47220"/>
  <c r="H32" i="47220"/>
  <c r="G32" i="47220"/>
  <c r="F32" i="47220"/>
  <c r="E32" i="47220"/>
  <c r="D32" i="47220"/>
  <c r="P31" i="47220"/>
  <c r="P32" i="47220" s="1"/>
  <c r="P28" i="47220"/>
  <c r="P26" i="47220"/>
  <c r="P22" i="47220"/>
  <c r="P18" i="47220"/>
  <c r="O17" i="47220"/>
  <c r="N17" i="47220"/>
  <c r="M17" i="47220"/>
  <c r="L17" i="47220"/>
  <c r="K17" i="47220"/>
  <c r="J17" i="47220"/>
  <c r="I17" i="47220"/>
  <c r="H17" i="47220"/>
  <c r="G17" i="47220"/>
  <c r="F17" i="47220"/>
  <c r="E17" i="47220"/>
  <c r="D17" i="47220"/>
  <c r="P16" i="47220"/>
  <c r="O13" i="47220"/>
  <c r="O40" i="47220" s="1"/>
  <c r="O39" i="47220" s="1"/>
  <c r="N13" i="47220"/>
  <c r="N40" i="47220" s="1"/>
  <c r="N39" i="47220" s="1"/>
  <c r="M13" i="47220"/>
  <c r="M46" i="47220" s="1"/>
  <c r="L13" i="47220"/>
  <c r="L40" i="47220" s="1"/>
  <c r="L39" i="47220" s="1"/>
  <c r="K13" i="47220"/>
  <c r="K40" i="47220" s="1"/>
  <c r="K39" i="47220" s="1"/>
  <c r="J13" i="47220"/>
  <c r="J40" i="47220" s="1"/>
  <c r="I13" i="47220"/>
  <c r="G51" i="101" s="1"/>
  <c r="N51" i="101" s="1"/>
  <c r="H13" i="47220"/>
  <c r="G50" i="101" s="1"/>
  <c r="N50" i="101" s="1"/>
  <c r="G13" i="47220"/>
  <c r="G49" i="101" s="1"/>
  <c r="N49" i="101" s="1"/>
  <c r="F13" i="47220"/>
  <c r="G48" i="101" s="1"/>
  <c r="N48" i="101" s="1"/>
  <c r="E13" i="47220"/>
  <c r="G47" i="101" s="1"/>
  <c r="N47" i="101" s="1"/>
  <c r="D13" i="47220"/>
  <c r="D40" i="47220" s="1"/>
  <c r="O12" i="47220"/>
  <c r="N12" i="47220"/>
  <c r="M12" i="47220"/>
  <c r="L12" i="47220"/>
  <c r="K12" i="47220"/>
  <c r="J12" i="47220"/>
  <c r="I12" i="47220"/>
  <c r="H12" i="47220"/>
  <c r="G12" i="47220"/>
  <c r="F12" i="47220"/>
  <c r="E12" i="47220"/>
  <c r="D12" i="47220"/>
  <c r="P11" i="47220"/>
  <c r="P9" i="47220"/>
  <c r="AD59" i="101"/>
  <c r="AC59" i="101"/>
  <c r="AB59" i="101"/>
  <c r="AA59" i="101"/>
  <c r="Z59" i="101"/>
  <c r="Y59" i="101"/>
  <c r="X59" i="101"/>
  <c r="W59" i="101"/>
  <c r="V59" i="101"/>
  <c r="U59" i="101"/>
  <c r="O59" i="101"/>
  <c r="R57" i="101"/>
  <c r="P57" i="101"/>
  <c r="R56" i="101"/>
  <c r="P56" i="101"/>
  <c r="R55" i="101"/>
  <c r="R54" i="101"/>
  <c r="P54" i="101"/>
  <c r="R53" i="101"/>
  <c r="R52" i="101"/>
  <c r="R51" i="101"/>
  <c r="R50" i="101"/>
  <c r="R59" i="101" s="1"/>
  <c r="R49" i="101"/>
  <c r="S46" i="101"/>
  <c r="S59" i="101" s="1"/>
  <c r="R46" i="101"/>
  <c r="M46" i="101"/>
  <c r="M59" i="101" s="1"/>
  <c r="L46" i="101"/>
  <c r="L59" i="101" s="1"/>
  <c r="K46" i="101"/>
  <c r="K59" i="101" s="1"/>
  <c r="J46" i="101"/>
  <c r="J59" i="101" s="1"/>
  <c r="I46" i="101"/>
  <c r="I59" i="101" s="1"/>
  <c r="G46" i="101"/>
  <c r="E46" i="101"/>
  <c r="D46" i="101"/>
  <c r="D59" i="101" s="1"/>
  <c r="C46" i="101"/>
  <c r="U40" i="101"/>
  <c r="U42" i="101" s="1"/>
  <c r="U43" i="101" s="1"/>
  <c r="T40" i="101"/>
  <c r="T42" i="101" s="1"/>
  <c r="T43" i="101" s="1"/>
  <c r="S40" i="101"/>
  <c r="Q40" i="101"/>
  <c r="Q42" i="101" s="1"/>
  <c r="Q43" i="101" s="1"/>
  <c r="P40" i="101"/>
  <c r="P42" i="101" s="1"/>
  <c r="P43" i="101" s="1"/>
  <c r="O40" i="101"/>
  <c r="O42" i="101" s="1"/>
  <c r="O43" i="101" s="1"/>
  <c r="N40" i="101"/>
  <c r="N42" i="101" s="1"/>
  <c r="N43" i="101" s="1"/>
  <c r="M40" i="101"/>
  <c r="L40" i="101"/>
  <c r="K40" i="101"/>
  <c r="J40" i="101"/>
  <c r="H40" i="101"/>
  <c r="G40" i="101"/>
  <c r="F40" i="101"/>
  <c r="E40" i="101"/>
  <c r="B40" i="101"/>
  <c r="D38" i="101"/>
  <c r="C38" i="101"/>
  <c r="D37" i="101"/>
  <c r="C37" i="101" s="1"/>
  <c r="X36" i="101"/>
  <c r="C36" i="101"/>
  <c r="D35" i="101"/>
  <c r="C35" i="101"/>
  <c r="X34" i="101"/>
  <c r="D34" i="101"/>
  <c r="C34" i="101"/>
  <c r="AA33" i="101"/>
  <c r="X33" i="101"/>
  <c r="Y33" i="101" s="1"/>
  <c r="AB33" i="101" s="1"/>
  <c r="D33" i="101"/>
  <c r="C33" i="101" s="1"/>
  <c r="U12" i="101" s="1"/>
  <c r="D32" i="101"/>
  <c r="C32" i="101"/>
  <c r="D31" i="101"/>
  <c r="C31" i="101" s="1"/>
  <c r="D30" i="101"/>
  <c r="C30" i="101"/>
  <c r="D29" i="101"/>
  <c r="C29" i="101" s="1"/>
  <c r="D28" i="101"/>
  <c r="D40" i="101" s="1"/>
  <c r="C28" i="101"/>
  <c r="Q27" i="101"/>
  <c r="P27" i="101"/>
  <c r="O27" i="101"/>
  <c r="N27" i="101"/>
  <c r="H27" i="101"/>
  <c r="G27" i="101"/>
  <c r="C27" i="101"/>
  <c r="Q22" i="101"/>
  <c r="P22" i="101"/>
  <c r="AB20" i="101"/>
  <c r="Z20" i="101"/>
  <c r="W20" i="101"/>
  <c r="P20" i="101"/>
  <c r="N20" i="101"/>
  <c r="M20" i="101"/>
  <c r="L20" i="101"/>
  <c r="I20" i="101"/>
  <c r="H20" i="101"/>
  <c r="G20" i="101"/>
  <c r="F20" i="101"/>
  <c r="E20" i="101"/>
  <c r="D20" i="101"/>
  <c r="B20" i="101"/>
  <c r="AA17" i="101"/>
  <c r="Y17" i="101"/>
  <c r="AA38" i="101" s="1"/>
  <c r="V17" i="101"/>
  <c r="Z38" i="101" s="1"/>
  <c r="T17" i="101"/>
  <c r="X38" i="101" s="1"/>
  <c r="Q17" i="101"/>
  <c r="C17" i="101"/>
  <c r="AD17" i="101" s="1"/>
  <c r="AD16" i="101"/>
  <c r="AA16" i="101"/>
  <c r="Y16" i="101"/>
  <c r="AA37" i="101" s="1"/>
  <c r="V16" i="101"/>
  <c r="Z37" i="101" s="1"/>
  <c r="T16" i="101"/>
  <c r="X37" i="101" s="1"/>
  <c r="Q16" i="101"/>
  <c r="C16" i="101"/>
  <c r="U16" i="101" s="1"/>
  <c r="Y15" i="101"/>
  <c r="Q55" i="101" s="1"/>
  <c r="V15" i="101"/>
  <c r="Z36" i="101" s="1"/>
  <c r="T15" i="101"/>
  <c r="Q15" i="101"/>
  <c r="C15" i="101"/>
  <c r="AD15" i="101" s="1"/>
  <c r="AA14" i="101"/>
  <c r="Z35" i="101" s="1"/>
  <c r="Y14" i="101"/>
  <c r="AA35" i="101" s="1"/>
  <c r="V14" i="101"/>
  <c r="U14" i="101"/>
  <c r="X14" i="101" s="1"/>
  <c r="T14" i="101"/>
  <c r="X35" i="101" s="1"/>
  <c r="Y35" i="101" s="1"/>
  <c r="AB35" i="101" s="1"/>
  <c r="Q14" i="101"/>
  <c r="C14" i="101"/>
  <c r="AD14" i="101" s="1"/>
  <c r="AD13" i="101"/>
  <c r="AA13" i="101"/>
  <c r="Y13" i="101"/>
  <c r="AA34" i="101" s="1"/>
  <c r="V13" i="101"/>
  <c r="P53" i="101" s="1"/>
  <c r="T13" i="101"/>
  <c r="Q13" i="101"/>
  <c r="C13" i="101"/>
  <c r="U13" i="101" s="1"/>
  <c r="AA12" i="101"/>
  <c r="Y12" i="101"/>
  <c r="Q52" i="101" s="1"/>
  <c r="V12" i="101"/>
  <c r="Z33" i="101" s="1"/>
  <c r="T12" i="101"/>
  <c r="Q12" i="101"/>
  <c r="C12" i="101"/>
  <c r="AD12" i="101" s="1"/>
  <c r="AA11" i="101"/>
  <c r="Y11" i="101"/>
  <c r="V11" i="101"/>
  <c r="T11" i="101"/>
  <c r="X32" i="101" s="1"/>
  <c r="Q11" i="101"/>
  <c r="C11" i="101"/>
  <c r="AD11" i="101" s="1"/>
  <c r="AA10" i="101"/>
  <c r="Y10" i="101"/>
  <c r="Q50" i="101" s="1"/>
  <c r="V10" i="101"/>
  <c r="P50" i="101" s="1"/>
  <c r="T10" i="101"/>
  <c r="X31" i="101" s="1"/>
  <c r="Q10" i="101"/>
  <c r="C10" i="101"/>
  <c r="AD10" i="101" s="1"/>
  <c r="AA9" i="101"/>
  <c r="Y9" i="101"/>
  <c r="Q49" i="101" s="1"/>
  <c r="V9" i="101"/>
  <c r="T9" i="101"/>
  <c r="X30" i="101" s="1"/>
  <c r="Q9" i="101"/>
  <c r="C9" i="101"/>
  <c r="AD9" i="101" s="1"/>
  <c r="AA8" i="101"/>
  <c r="Y8" i="101"/>
  <c r="Q48" i="101" s="1"/>
  <c r="V8" i="101"/>
  <c r="P48" i="101" s="1"/>
  <c r="T8" i="101"/>
  <c r="X29" i="101" s="1"/>
  <c r="Q8" i="101"/>
  <c r="C8" i="101"/>
  <c r="AD8" i="101" s="1"/>
  <c r="AA7" i="101"/>
  <c r="AA20" i="101" s="1"/>
  <c r="Y7" i="101"/>
  <c r="V7" i="101"/>
  <c r="T7" i="101"/>
  <c r="X28" i="101" s="1"/>
  <c r="Q7" i="101"/>
  <c r="Q20" i="101" s="1"/>
  <c r="C7" i="101"/>
  <c r="AD7" i="101" s="1"/>
  <c r="Y6" i="101"/>
  <c r="AA27" i="101" s="1"/>
  <c r="V6" i="101"/>
  <c r="P46" i="101" s="1"/>
  <c r="T6" i="101"/>
  <c r="X27" i="101" s="1"/>
  <c r="Q6" i="101"/>
  <c r="C6" i="101"/>
  <c r="AD6" i="101" s="1"/>
  <c r="X83" i="2"/>
  <c r="AV36" i="2"/>
  <c r="AU36" i="2"/>
  <c r="AT36" i="2"/>
  <c r="AS36" i="2"/>
  <c r="W61" i="1" s="1"/>
  <c r="AR36" i="2"/>
  <c r="W45" i="1" s="1"/>
  <c r="AQ36" i="2"/>
  <c r="W29" i="1" s="1"/>
  <c r="AK36" i="2"/>
  <c r="AJ36" i="2"/>
  <c r="AE36" i="2"/>
  <c r="AB36" i="2"/>
  <c r="H36" i="2"/>
  <c r="G36" i="2"/>
  <c r="F36" i="2"/>
  <c r="F14" i="4" s="1"/>
  <c r="E36" i="2"/>
  <c r="D36" i="2"/>
  <c r="C36" i="2"/>
  <c r="B36" i="2"/>
  <c r="AN34" i="2"/>
  <c r="AM34" i="2"/>
  <c r="AH34" i="2"/>
  <c r="AC34" i="2" s="1"/>
  <c r="AG34" i="2"/>
  <c r="X34" i="2"/>
  <c r="W34" i="2"/>
  <c r="V34" i="2"/>
  <c r="J34" i="2"/>
  <c r="I34" i="2"/>
  <c r="AN33" i="2"/>
  <c r="AM33" i="2"/>
  <c r="AH33" i="2"/>
  <c r="AC33" i="2" s="1"/>
  <c r="AG33" i="2"/>
  <c r="X33" i="2"/>
  <c r="W33" i="2"/>
  <c r="V33" i="2"/>
  <c r="J33" i="2"/>
  <c r="I33" i="2"/>
  <c r="AN32" i="2"/>
  <c r="AM32" i="2"/>
  <c r="AH32" i="2"/>
  <c r="AC32" i="2" s="1"/>
  <c r="AG32" i="2"/>
  <c r="X32" i="2"/>
  <c r="W32" i="2"/>
  <c r="V32" i="2"/>
  <c r="J32" i="2"/>
  <c r="I32" i="2"/>
  <c r="AN31" i="2"/>
  <c r="AM31" i="2"/>
  <c r="AH31" i="2"/>
  <c r="AC31" i="2" s="1"/>
  <c r="AG31" i="2"/>
  <c r="X31" i="2"/>
  <c r="W31" i="2"/>
  <c r="T31" i="2"/>
  <c r="J31" i="2"/>
  <c r="I31" i="2"/>
  <c r="AN30" i="2"/>
  <c r="AM30" i="2"/>
  <c r="AH30" i="2"/>
  <c r="AC30" i="2" s="1"/>
  <c r="AG30" i="2"/>
  <c r="X30" i="2"/>
  <c r="W30" i="2"/>
  <c r="T30" i="2"/>
  <c r="J30" i="2"/>
  <c r="I30" i="2"/>
  <c r="AN29" i="2"/>
  <c r="AM29" i="2"/>
  <c r="AH29" i="2"/>
  <c r="AC29" i="2" s="1"/>
  <c r="AG29" i="2"/>
  <c r="X29" i="2"/>
  <c r="W29" i="2"/>
  <c r="V29" i="2"/>
  <c r="J29" i="2"/>
  <c r="I29" i="2"/>
  <c r="AN28" i="2"/>
  <c r="AM28" i="2"/>
  <c r="AH28" i="2"/>
  <c r="AC28" i="2" s="1"/>
  <c r="AG28" i="2"/>
  <c r="X28" i="2"/>
  <c r="W28" i="2"/>
  <c r="V28" i="2"/>
  <c r="J28" i="2"/>
  <c r="I28" i="2"/>
  <c r="AN27" i="2"/>
  <c r="AM27" i="2"/>
  <c r="AH27" i="2"/>
  <c r="AC27" i="2" s="1"/>
  <c r="AG27" i="2"/>
  <c r="X27" i="2"/>
  <c r="W27" i="2"/>
  <c r="V27" i="2"/>
  <c r="J27" i="2"/>
  <c r="I27" i="2"/>
  <c r="AN26" i="2"/>
  <c r="AM26" i="2"/>
  <c r="AH26" i="2"/>
  <c r="AC26" i="2" s="1"/>
  <c r="AG26" i="2"/>
  <c r="X26" i="2"/>
  <c r="S26" i="2" s="1"/>
  <c r="W26" i="2"/>
  <c r="V26" i="2"/>
  <c r="J26" i="2"/>
  <c r="I26" i="2"/>
  <c r="AN25" i="2"/>
  <c r="AM25" i="2"/>
  <c r="AH25" i="2"/>
  <c r="AC25" i="2" s="1"/>
  <c r="AG25" i="2"/>
  <c r="X25" i="2"/>
  <c r="W25" i="2"/>
  <c r="V25" i="2"/>
  <c r="J25" i="2"/>
  <c r="I25" i="2"/>
  <c r="AN24" i="2"/>
  <c r="AM24" i="2"/>
  <c r="AH24" i="2"/>
  <c r="AC24" i="2" s="1"/>
  <c r="AG24" i="2"/>
  <c r="X24" i="2"/>
  <c r="W24" i="2"/>
  <c r="V24" i="2"/>
  <c r="J24" i="2"/>
  <c r="I24" i="2"/>
  <c r="AN23" i="2"/>
  <c r="AM23" i="2"/>
  <c r="AH23" i="2"/>
  <c r="AC23" i="2" s="1"/>
  <c r="AG23" i="2"/>
  <c r="X23" i="2"/>
  <c r="W23" i="2"/>
  <c r="V23" i="2"/>
  <c r="J23" i="2"/>
  <c r="I23" i="2"/>
  <c r="AN22" i="2"/>
  <c r="AM22" i="2"/>
  <c r="AH22" i="2"/>
  <c r="AC22" i="2" s="1"/>
  <c r="AG22" i="2"/>
  <c r="X22" i="2"/>
  <c r="W22" i="2"/>
  <c r="V22" i="2"/>
  <c r="J22" i="2"/>
  <c r="I22" i="2"/>
  <c r="AN21" i="2"/>
  <c r="AM21" i="2"/>
  <c r="AH21" i="2"/>
  <c r="AC21" i="2" s="1"/>
  <c r="AG21" i="2"/>
  <c r="X21" i="2"/>
  <c r="W21" i="2"/>
  <c r="V21" i="2"/>
  <c r="J21" i="2"/>
  <c r="I21" i="2"/>
  <c r="AN20" i="2"/>
  <c r="AM20" i="2"/>
  <c r="AH20" i="2"/>
  <c r="AC20" i="2" s="1"/>
  <c r="AG20" i="2"/>
  <c r="X20" i="2"/>
  <c r="W20" i="2"/>
  <c r="V20" i="2"/>
  <c r="J20" i="2"/>
  <c r="I20" i="2"/>
  <c r="AN19" i="2"/>
  <c r="AM19" i="2"/>
  <c r="AH19" i="2"/>
  <c r="AC19" i="2" s="1"/>
  <c r="AG19" i="2"/>
  <c r="X19" i="2"/>
  <c r="W19" i="2"/>
  <c r="V19" i="2"/>
  <c r="J19" i="2"/>
  <c r="I19" i="2"/>
  <c r="AN18" i="2"/>
  <c r="AM18" i="2"/>
  <c r="AH18" i="2"/>
  <c r="AC18" i="2" s="1"/>
  <c r="AG18" i="2"/>
  <c r="X18" i="2"/>
  <c r="W18" i="2"/>
  <c r="V18" i="2"/>
  <c r="J18" i="2"/>
  <c r="I18" i="2"/>
  <c r="AN17" i="2"/>
  <c r="AM17" i="2"/>
  <c r="AH17" i="2"/>
  <c r="AC17" i="2" s="1"/>
  <c r="AG17" i="2"/>
  <c r="X17" i="2"/>
  <c r="W17" i="2"/>
  <c r="V17" i="2"/>
  <c r="J17" i="2"/>
  <c r="I17" i="2"/>
  <c r="AN16" i="2"/>
  <c r="AM16" i="2"/>
  <c r="AH16" i="2"/>
  <c r="AC16" i="2" s="1"/>
  <c r="AG16" i="2"/>
  <c r="X16" i="2"/>
  <c r="W16" i="2"/>
  <c r="V16" i="2"/>
  <c r="J16" i="2"/>
  <c r="I16" i="2"/>
  <c r="AN15" i="2"/>
  <c r="AM15" i="2"/>
  <c r="AH15" i="2"/>
  <c r="AC15" i="2" s="1"/>
  <c r="AG15" i="2"/>
  <c r="X15" i="2"/>
  <c r="L15" i="2"/>
  <c r="W15" i="2" s="1"/>
  <c r="K15" i="2"/>
  <c r="V15" i="2" s="1"/>
  <c r="J15" i="2"/>
  <c r="I15" i="2"/>
  <c r="AN14" i="2"/>
  <c r="AM14" i="2"/>
  <c r="AH14" i="2"/>
  <c r="AC14" i="2" s="1"/>
  <c r="AG14" i="2"/>
  <c r="X14" i="2"/>
  <c r="L14" i="2"/>
  <c r="W14" i="2" s="1"/>
  <c r="K14" i="2"/>
  <c r="V14" i="2" s="1"/>
  <c r="J14" i="2"/>
  <c r="I14" i="2"/>
  <c r="AN13" i="2"/>
  <c r="AM13" i="2"/>
  <c r="AH13" i="2"/>
  <c r="AC13" i="2" s="1"/>
  <c r="AG13" i="2"/>
  <c r="X13" i="2"/>
  <c r="L13" i="2"/>
  <c r="W13" i="2" s="1"/>
  <c r="K13" i="2"/>
  <c r="V13" i="2" s="1"/>
  <c r="J13" i="2"/>
  <c r="I13" i="2"/>
  <c r="AN12" i="2"/>
  <c r="AM12" i="2"/>
  <c r="AH12" i="2"/>
  <c r="AC12" i="2" s="1"/>
  <c r="AG12" i="2"/>
  <c r="X12" i="2"/>
  <c r="S12" i="2" s="1"/>
  <c r="L12" i="2"/>
  <c r="W12" i="2" s="1"/>
  <c r="K12" i="2"/>
  <c r="V12" i="2" s="1"/>
  <c r="J12" i="2"/>
  <c r="I12" i="2"/>
  <c r="AN11" i="2"/>
  <c r="AM11" i="2"/>
  <c r="AH11" i="2"/>
  <c r="AC11" i="2" s="1"/>
  <c r="AG11" i="2"/>
  <c r="X11" i="2"/>
  <c r="L11" i="2"/>
  <c r="W11" i="2" s="1"/>
  <c r="K11" i="2"/>
  <c r="V11" i="2" s="1"/>
  <c r="J11" i="2"/>
  <c r="I11" i="2"/>
  <c r="AN10" i="2"/>
  <c r="AM10" i="2"/>
  <c r="AH10" i="2"/>
  <c r="AC10" i="2" s="1"/>
  <c r="AG10" i="2"/>
  <c r="X10" i="2"/>
  <c r="L10" i="2"/>
  <c r="W10" i="2" s="1"/>
  <c r="K10" i="2"/>
  <c r="V10" i="2" s="1"/>
  <c r="J10" i="2"/>
  <c r="I10" i="2"/>
  <c r="AN9" i="2"/>
  <c r="AM9" i="2"/>
  <c r="AH9" i="2"/>
  <c r="AC9" i="2" s="1"/>
  <c r="AG9" i="2"/>
  <c r="X9" i="2"/>
  <c r="L9" i="2"/>
  <c r="W9" i="2" s="1"/>
  <c r="K9" i="2"/>
  <c r="V9" i="2" s="1"/>
  <c r="J9" i="2"/>
  <c r="I9" i="2"/>
  <c r="AN8" i="2"/>
  <c r="AM8" i="2"/>
  <c r="AH8" i="2"/>
  <c r="AC8" i="2" s="1"/>
  <c r="AG8" i="2"/>
  <c r="X8" i="2"/>
  <c r="L8" i="2"/>
  <c r="W8" i="2" s="1"/>
  <c r="K8" i="2"/>
  <c r="V8" i="2" s="1"/>
  <c r="J8" i="2"/>
  <c r="I8" i="2"/>
  <c r="AN7" i="2"/>
  <c r="AM7" i="2"/>
  <c r="AH7" i="2"/>
  <c r="AC7" i="2" s="1"/>
  <c r="AG7" i="2"/>
  <c r="X7" i="2"/>
  <c r="L7" i="2"/>
  <c r="W7" i="2" s="1"/>
  <c r="K7" i="2"/>
  <c r="V7" i="2" s="1"/>
  <c r="J7" i="2"/>
  <c r="I7" i="2"/>
  <c r="AN6" i="2"/>
  <c r="AM6" i="2"/>
  <c r="AH6" i="2"/>
  <c r="AC6" i="2" s="1"/>
  <c r="AG6" i="2"/>
  <c r="X6" i="2"/>
  <c r="L6" i="2"/>
  <c r="W6" i="2" s="1"/>
  <c r="K6" i="2"/>
  <c r="V6" i="2" s="1"/>
  <c r="J6" i="2"/>
  <c r="I6" i="2"/>
  <c r="AN5" i="2"/>
  <c r="AM5" i="2"/>
  <c r="AH5" i="2"/>
  <c r="AC5" i="2" s="1"/>
  <c r="AG5" i="2"/>
  <c r="X5" i="2"/>
  <c r="L5" i="2"/>
  <c r="W5" i="2" s="1"/>
  <c r="K5" i="2"/>
  <c r="V5" i="2" s="1"/>
  <c r="J5" i="2"/>
  <c r="I5" i="2"/>
  <c r="AM4" i="2"/>
  <c r="AH4" i="2"/>
  <c r="AC4" i="2" s="1"/>
  <c r="AG4" i="2"/>
  <c r="X4" i="2"/>
  <c r="S4" i="2" s="1"/>
  <c r="L4" i="2"/>
  <c r="K4" i="2"/>
  <c r="J4" i="2"/>
  <c r="I4" i="2"/>
  <c r="C30" i="4"/>
  <c r="C22" i="4"/>
  <c r="C21" i="4"/>
  <c r="C14" i="4"/>
  <c r="C13" i="4"/>
  <c r="C12" i="4"/>
  <c r="C11" i="4"/>
  <c r="C10" i="4"/>
  <c r="C9" i="4"/>
  <c r="AW23" i="1" l="1"/>
  <c r="AS55" i="1"/>
  <c r="AC7" i="1"/>
  <c r="AQ7" i="1"/>
  <c r="AO55" i="1"/>
  <c r="AR39" i="47222"/>
  <c r="AN4" i="2"/>
  <c r="D39" i="47220"/>
  <c r="J93" i="47220"/>
  <c r="N93" i="47220"/>
  <c r="J42" i="47220"/>
  <c r="J39" i="47220"/>
  <c r="M93" i="47220"/>
  <c r="E40" i="47220"/>
  <c r="E39" i="47220" s="1"/>
  <c r="M40" i="47220"/>
  <c r="M39" i="47220" s="1"/>
  <c r="E59" i="101"/>
  <c r="F40" i="47220"/>
  <c r="F39" i="47220" s="1"/>
  <c r="G46" i="47220"/>
  <c r="K46" i="47220"/>
  <c r="O46" i="47220"/>
  <c r="G47" i="47220"/>
  <c r="K47" i="47220"/>
  <c r="O47" i="47220"/>
  <c r="E83" i="47220"/>
  <c r="I83" i="47220"/>
  <c r="M83" i="47220"/>
  <c r="P84" i="47220"/>
  <c r="P83" i="47220" s="1"/>
  <c r="D92" i="47220"/>
  <c r="P92" i="47220" s="1"/>
  <c r="H92" i="47220"/>
  <c r="H93" i="47220" s="1"/>
  <c r="I40" i="47220"/>
  <c r="I39" i="47220" s="1"/>
  <c r="G40" i="47220"/>
  <c r="G39" i="47220" s="1"/>
  <c r="D46" i="47220"/>
  <c r="H46" i="47220"/>
  <c r="L46" i="47220"/>
  <c r="F83" i="47220"/>
  <c r="J83" i="47220"/>
  <c r="N83" i="47220"/>
  <c r="E92" i="47220"/>
  <c r="E93" i="47220" s="1"/>
  <c r="I92" i="47220"/>
  <c r="I93" i="47220" s="1"/>
  <c r="G94" i="47220"/>
  <c r="G93" i="47220" s="1"/>
  <c r="K94" i="47220"/>
  <c r="K93" i="47220" s="1"/>
  <c r="O94" i="47220"/>
  <c r="O93" i="47220" s="1"/>
  <c r="P13" i="47220"/>
  <c r="H40" i="47220"/>
  <c r="H39" i="47220" s="1"/>
  <c r="E46" i="47220"/>
  <c r="I46" i="47220"/>
  <c r="F92" i="47220"/>
  <c r="F93" i="47220" s="1"/>
  <c r="X12" i="101"/>
  <c r="AC12" i="101"/>
  <c r="Y34" i="101"/>
  <c r="AB34" i="101" s="1"/>
  <c r="AC16" i="101"/>
  <c r="X16" i="101"/>
  <c r="X13" i="101"/>
  <c r="O13" i="101" s="1"/>
  <c r="AC13" i="101"/>
  <c r="O16" i="101"/>
  <c r="U15" i="101"/>
  <c r="Q46" i="101"/>
  <c r="U6" i="101"/>
  <c r="U17" i="101"/>
  <c r="Q57" i="101"/>
  <c r="P49" i="101"/>
  <c r="P51" i="101"/>
  <c r="O12" i="101"/>
  <c r="AC14" i="101"/>
  <c r="Z27" i="101"/>
  <c r="Y27" i="101" s="1"/>
  <c r="AB27" i="101" s="1"/>
  <c r="Z34" i="101"/>
  <c r="AA36" i="101"/>
  <c r="P52" i="101"/>
  <c r="Q53" i="101"/>
  <c r="P55" i="101"/>
  <c r="Q56" i="101"/>
  <c r="C40" i="101"/>
  <c r="D61" i="1"/>
  <c r="D29" i="1"/>
  <c r="AF13" i="1"/>
  <c r="Y20" i="2"/>
  <c r="S20" i="2"/>
  <c r="Y22" i="2"/>
  <c r="S22" i="2"/>
  <c r="Y24" i="2"/>
  <c r="S24" i="2"/>
  <c r="Y28" i="2"/>
  <c r="S28" i="2"/>
  <c r="Y30" i="2"/>
  <c r="S30" i="2"/>
  <c r="Y32" i="2"/>
  <c r="S32" i="2"/>
  <c r="Y34" i="2"/>
  <c r="S34" i="2"/>
  <c r="Y19" i="2"/>
  <c r="S19" i="2"/>
  <c r="Y21" i="2"/>
  <c r="S21" i="2"/>
  <c r="Y23" i="2"/>
  <c r="S23" i="2"/>
  <c r="Y25" i="2"/>
  <c r="S25" i="2"/>
  <c r="Y27" i="2"/>
  <c r="S27" i="2"/>
  <c r="Y29" i="2"/>
  <c r="S29" i="2"/>
  <c r="Y31" i="2"/>
  <c r="S31" i="2"/>
  <c r="Y33" i="2"/>
  <c r="S33" i="2"/>
  <c r="Y18" i="2"/>
  <c r="S18" i="2"/>
  <c r="Y17" i="2"/>
  <c r="S17" i="2"/>
  <c r="Y15" i="2"/>
  <c r="S15" i="2"/>
  <c r="Y14" i="2"/>
  <c r="S14" i="2"/>
  <c r="Y16" i="2"/>
  <c r="S16" i="2"/>
  <c r="Y13" i="2"/>
  <c r="S13" i="2"/>
  <c r="AA32" i="101"/>
  <c r="Q51" i="101"/>
  <c r="Y11" i="2"/>
  <c r="S11" i="2"/>
  <c r="F46" i="101"/>
  <c r="F59" i="101" s="1"/>
  <c r="Y10" i="2"/>
  <c r="S10" i="2"/>
  <c r="Y7" i="2"/>
  <c r="S7" i="2"/>
  <c r="Y9" i="2"/>
  <c r="S9" i="2"/>
  <c r="Y6" i="2"/>
  <c r="S6" i="2"/>
  <c r="Y8" i="2"/>
  <c r="S8" i="2"/>
  <c r="Y5" i="2"/>
  <c r="S5" i="2"/>
  <c r="D45" i="1"/>
  <c r="Z32" i="101"/>
  <c r="Y32" i="101" s="1"/>
  <c r="AB32" i="101" s="1"/>
  <c r="U11" i="101"/>
  <c r="H46" i="101"/>
  <c r="AJ45" i="1"/>
  <c r="AJ29" i="1"/>
  <c r="AR60" i="1"/>
  <c r="AJ61" i="1"/>
  <c r="AJ68" i="1" s="1"/>
  <c r="AB29" i="1"/>
  <c r="AB36" i="1" s="1"/>
  <c r="AB61" i="1"/>
  <c r="AB45" i="1"/>
  <c r="AB52" i="1" s="1"/>
  <c r="T45" i="1"/>
  <c r="T52" i="1" s="1"/>
  <c r="T29" i="1"/>
  <c r="T36" i="1" s="1"/>
  <c r="T61" i="1"/>
  <c r="T68" i="1" s="1"/>
  <c r="P29" i="1"/>
  <c r="P36" i="1" s="1"/>
  <c r="P61" i="1"/>
  <c r="P68" i="1" s="1"/>
  <c r="P12" i="1"/>
  <c r="P45" i="1"/>
  <c r="P52" i="1" s="1"/>
  <c r="L45" i="1"/>
  <c r="L52" i="1" s="1"/>
  <c r="L29" i="1"/>
  <c r="L36" i="1" s="1"/>
  <c r="L61" i="1"/>
  <c r="L68" i="1" s="1"/>
  <c r="H29" i="1"/>
  <c r="H61" i="1"/>
  <c r="H68" i="1" s="1"/>
  <c r="H45" i="1"/>
  <c r="X12" i="1"/>
  <c r="X29" i="1"/>
  <c r="X36" i="1" s="1"/>
  <c r="X61" i="1"/>
  <c r="X45" i="1"/>
  <c r="W13" i="1"/>
  <c r="Y29" i="1"/>
  <c r="Y61" i="1"/>
  <c r="Y45" i="1"/>
  <c r="Y26" i="2"/>
  <c r="AN7" i="1"/>
  <c r="AO7" i="1" s="1"/>
  <c r="M7" i="1"/>
  <c r="Y12" i="2"/>
  <c r="O14" i="101"/>
  <c r="Z31" i="101"/>
  <c r="Y31" i="101" s="1"/>
  <c r="AB31" i="101" s="1"/>
  <c r="AA31" i="101"/>
  <c r="U10" i="101"/>
  <c r="AZ39" i="47222"/>
  <c r="L12" i="1"/>
  <c r="T12" i="1"/>
  <c r="AJ12" i="1"/>
  <c r="W36" i="1"/>
  <c r="AA30" i="101"/>
  <c r="Z30" i="101"/>
  <c r="Y30" i="101" s="1"/>
  <c r="AB30" i="101" s="1"/>
  <c r="U9" i="101"/>
  <c r="D11" i="1"/>
  <c r="H10" i="1"/>
  <c r="AJ36" i="1"/>
  <c r="G91" i="47223"/>
  <c r="G96" i="47223"/>
  <c r="G98" i="47223"/>
  <c r="G100" i="47223"/>
  <c r="G90" i="47223"/>
  <c r="G97" i="47223"/>
  <c r="G99" i="47223"/>
  <c r="G89" i="47223"/>
  <c r="C29" i="4"/>
  <c r="T32" i="2"/>
  <c r="V31" i="2"/>
  <c r="A1" i="2"/>
  <c r="AN26" i="1"/>
  <c r="AN58" i="1"/>
  <c r="AR58" i="1"/>
  <c r="F90" i="47223"/>
  <c r="F99" i="47223"/>
  <c r="F97" i="47223"/>
  <c r="F89" i="47223"/>
  <c r="F98" i="47223"/>
  <c r="F91" i="47223"/>
  <c r="F96" i="47223"/>
  <c r="F100" i="47223"/>
  <c r="Q54" i="101"/>
  <c r="AA29" i="101"/>
  <c r="Z29" i="101"/>
  <c r="Y29" i="101" s="1"/>
  <c r="AB29" i="101" s="1"/>
  <c r="U8" i="101"/>
  <c r="AR42" i="1"/>
  <c r="AN39" i="47222"/>
  <c r="AV39" i="47222"/>
  <c r="L10" i="1"/>
  <c r="T10" i="1"/>
  <c r="AJ10" i="1"/>
  <c r="AR26" i="1"/>
  <c r="X10" i="1"/>
  <c r="P10" i="1"/>
  <c r="AB10" i="1"/>
  <c r="W68" i="1"/>
  <c r="W52" i="1"/>
  <c r="N46" i="101"/>
  <c r="N59" i="101" s="1"/>
  <c r="U33" i="2"/>
  <c r="V30" i="2"/>
  <c r="K36" i="2"/>
  <c r="AG36" i="2"/>
  <c r="F37" i="4" s="1"/>
  <c r="AM36" i="2"/>
  <c r="W9" i="1"/>
  <c r="I36" i="2"/>
  <c r="F9" i="4" s="1"/>
  <c r="J9" i="4" s="1"/>
  <c r="AF68" i="1"/>
  <c r="P59" i="101"/>
  <c r="P47" i="101"/>
  <c r="Q59" i="101"/>
  <c r="Q47" i="101"/>
  <c r="K58" i="4"/>
  <c r="K55" i="4"/>
  <c r="K57" i="4"/>
  <c r="K54" i="4"/>
  <c r="P41" i="101"/>
  <c r="N41" i="101"/>
  <c r="Y20" i="101"/>
  <c r="AA28" i="101"/>
  <c r="V20" i="101"/>
  <c r="Z28" i="101"/>
  <c r="Y28" i="101" s="1"/>
  <c r="AB28" i="101" s="1"/>
  <c r="J14" i="4"/>
  <c r="C20" i="101"/>
  <c r="U7" i="101"/>
  <c r="T20" i="101"/>
  <c r="AJ52" i="1"/>
  <c r="AB68" i="1"/>
  <c r="D8" i="1"/>
  <c r="AN36" i="2"/>
  <c r="AC36" i="2"/>
  <c r="G37" i="4" s="1"/>
  <c r="G38" i="4" s="1"/>
  <c r="AH36" i="2"/>
  <c r="B37" i="47221"/>
  <c r="C59" i="101"/>
  <c r="H59" i="101" s="1"/>
  <c r="G59" i="101"/>
  <c r="B46" i="101"/>
  <c r="B59" i="101" s="1"/>
  <c r="B62" i="101" s="1"/>
  <c r="U30" i="2"/>
  <c r="U31" i="2"/>
  <c r="U32" i="2"/>
  <c r="T33" i="2"/>
  <c r="T34" i="2"/>
  <c r="U34" i="2"/>
  <c r="U29" i="2"/>
  <c r="J36" i="2"/>
  <c r="L36" i="2"/>
  <c r="X36" i="2"/>
  <c r="F21" i="4" s="1"/>
  <c r="T29" i="2"/>
  <c r="AN24" i="1"/>
  <c r="AN56" i="1"/>
  <c r="L8" i="1"/>
  <c r="T8" i="1"/>
  <c r="AJ8" i="1"/>
  <c r="AR24" i="1"/>
  <c r="X8" i="1"/>
  <c r="AR56" i="1"/>
  <c r="D52" i="1"/>
  <c r="AN40" i="1"/>
  <c r="H8" i="1"/>
  <c r="P8" i="1"/>
  <c r="AB8" i="1"/>
  <c r="AF8" i="1"/>
  <c r="F39" i="47221"/>
  <c r="N39" i="47221"/>
  <c r="AA39" i="47221"/>
  <c r="AI39" i="47221"/>
  <c r="AQ39" i="47221"/>
  <c r="J39" i="47221"/>
  <c r="R39" i="47221"/>
  <c r="AE39" i="47221"/>
  <c r="AM39" i="47221"/>
  <c r="W8" i="1"/>
  <c r="U4" i="2"/>
  <c r="W4" i="2"/>
  <c r="W36" i="2" s="1"/>
  <c r="F22" i="4" s="1"/>
  <c r="T4" i="2"/>
  <c r="V4" i="2"/>
  <c r="V36" i="2" s="1"/>
  <c r="F30" i="4" s="1"/>
  <c r="Y4" i="2"/>
  <c r="U5" i="2"/>
  <c r="T6" i="2"/>
  <c r="U7" i="2"/>
  <c r="T8" i="2"/>
  <c r="U9" i="2"/>
  <c r="T10" i="2"/>
  <c r="U11" i="2"/>
  <c r="T12" i="2"/>
  <c r="U13" i="2"/>
  <c r="T14" i="2"/>
  <c r="U15" i="2"/>
  <c r="T16" i="2"/>
  <c r="U17" i="2"/>
  <c r="T18" i="2"/>
  <c r="U19" i="2"/>
  <c r="T20" i="2"/>
  <c r="U21" i="2"/>
  <c r="T22" i="2"/>
  <c r="U23" i="2"/>
  <c r="T24" i="2"/>
  <c r="U25" i="2"/>
  <c r="T26" i="2"/>
  <c r="U27" i="2"/>
  <c r="T28" i="2"/>
  <c r="T5" i="2"/>
  <c r="U6" i="2"/>
  <c r="T7" i="2"/>
  <c r="U8" i="2"/>
  <c r="T9" i="2"/>
  <c r="U10" i="2"/>
  <c r="T11" i="2"/>
  <c r="U12" i="2"/>
  <c r="T13" i="2"/>
  <c r="U14" i="2"/>
  <c r="T15" i="2"/>
  <c r="U16" i="2"/>
  <c r="T17" i="2"/>
  <c r="U18" i="2"/>
  <c r="T19" i="2"/>
  <c r="U20" i="2"/>
  <c r="T21" i="2"/>
  <c r="U22" i="2"/>
  <c r="T23" i="2"/>
  <c r="U24" i="2"/>
  <c r="T25" i="2"/>
  <c r="U26" i="2"/>
  <c r="T27" i="2"/>
  <c r="U28" i="2"/>
  <c r="B6" i="47223"/>
  <c r="AB6" i="47223" s="1"/>
  <c r="BB6" i="47223" s="1"/>
  <c r="CB6" i="47223" s="1"/>
  <c r="A7" i="47221"/>
  <c r="A7" i="47222"/>
  <c r="A6" i="47222"/>
  <c r="A6" i="47221"/>
  <c r="B5" i="47223"/>
  <c r="B55" i="47223"/>
  <c r="Q54" i="47223"/>
  <c r="P54" i="47223"/>
  <c r="I54" i="47223"/>
  <c r="M54" i="47223"/>
  <c r="H54" i="47223"/>
  <c r="L54" i="47223"/>
  <c r="AE3" i="47223"/>
  <c r="E3" i="47223"/>
  <c r="AB4" i="47223"/>
  <c r="BB4" i="47223" s="1"/>
  <c r="C23" i="4"/>
  <c r="C26" i="4" s="1"/>
  <c r="C16" i="4"/>
  <c r="C17" i="4" s="1"/>
  <c r="AS7" i="1" l="1"/>
  <c r="AV7" i="1"/>
  <c r="AW7" i="1" s="1"/>
  <c r="AR61" i="1"/>
  <c r="D13" i="1"/>
  <c r="P40" i="47220"/>
  <c r="P39" i="47220" s="1"/>
  <c r="D93" i="47220"/>
  <c r="P94" i="47220"/>
  <c r="P93" i="47220" s="1"/>
  <c r="AC15" i="101"/>
  <c r="X15" i="101"/>
  <c r="O15" i="101" s="1"/>
  <c r="X17" i="101"/>
  <c r="O17" i="101" s="1"/>
  <c r="AC17" i="101"/>
  <c r="X6" i="101"/>
  <c r="O6" i="101" s="1"/>
  <c r="AC6" i="101"/>
  <c r="AR45" i="1"/>
  <c r="J37" i="4"/>
  <c r="F38" i="4"/>
  <c r="J38" i="4" s="1"/>
  <c r="Y36" i="2"/>
  <c r="F11" i="4" s="1"/>
  <c r="F40" i="4"/>
  <c r="G40" i="4"/>
  <c r="AN45" i="1"/>
  <c r="AN29" i="1"/>
  <c r="H36" i="1"/>
  <c r="X52" i="1"/>
  <c r="Y52" i="1" s="1"/>
  <c r="G17" i="4"/>
  <c r="F34" i="4"/>
  <c r="F35" i="4" s="1"/>
  <c r="F41" i="4"/>
  <c r="J41" i="4" s="1"/>
  <c r="AC11" i="101"/>
  <c r="X11" i="101"/>
  <c r="O11" i="101" s="1"/>
  <c r="AJ13" i="1"/>
  <c r="AB12" i="1"/>
  <c r="AB13" i="1"/>
  <c r="T13" i="1"/>
  <c r="P13" i="1"/>
  <c r="L13" i="1"/>
  <c r="H12" i="1"/>
  <c r="AN61" i="1"/>
  <c r="H13" i="1"/>
  <c r="X13" i="1"/>
  <c r="AR29" i="1"/>
  <c r="AF36" i="1"/>
  <c r="W11" i="1"/>
  <c r="AC10" i="101"/>
  <c r="X10" i="101"/>
  <c r="O10" i="101" s="1"/>
  <c r="AF12" i="1"/>
  <c r="D12" i="1"/>
  <c r="F94" i="47223"/>
  <c r="W12" i="1"/>
  <c r="K37" i="4"/>
  <c r="X68" i="1"/>
  <c r="Y68" i="1" s="1"/>
  <c r="G50" i="4"/>
  <c r="G51" i="4"/>
  <c r="J22" i="4"/>
  <c r="AC9" i="101"/>
  <c r="X9" i="101"/>
  <c r="O9" i="101" s="1"/>
  <c r="AR43" i="1"/>
  <c r="D36" i="1"/>
  <c r="AN27" i="1"/>
  <c r="H52" i="1"/>
  <c r="AN42" i="1"/>
  <c r="AF11" i="1"/>
  <c r="AJ11" i="1"/>
  <c r="T11" i="1"/>
  <c r="L11" i="1"/>
  <c r="AN59" i="1"/>
  <c r="AR59" i="1"/>
  <c r="AR27" i="1"/>
  <c r="X11" i="1"/>
  <c r="AB11" i="1"/>
  <c r="P11" i="1"/>
  <c r="H11" i="1"/>
  <c r="AN43" i="1"/>
  <c r="F93" i="47223"/>
  <c r="G10" i="4"/>
  <c r="K10" i="4" s="1"/>
  <c r="C25" i="4"/>
  <c r="C27" i="4"/>
  <c r="G9" i="4"/>
  <c r="H9" i="4" s="1"/>
  <c r="G23" i="4"/>
  <c r="B39" i="2"/>
  <c r="F39" i="2"/>
  <c r="J39" i="2"/>
  <c r="W39" i="2"/>
  <c r="AB39" i="2"/>
  <c r="AH39" i="2"/>
  <c r="U40" i="47221"/>
  <c r="C39" i="2"/>
  <c r="G39" i="2"/>
  <c r="K39" i="2"/>
  <c r="V39" i="2"/>
  <c r="Z39" i="2"/>
  <c r="AG39" i="2"/>
  <c r="T40" i="47221"/>
  <c r="D54" i="47223"/>
  <c r="G22" i="4"/>
  <c r="K22" i="4" s="1"/>
  <c r="G14" i="4"/>
  <c r="H14" i="4" s="1"/>
  <c r="J6" i="4"/>
  <c r="G48" i="4"/>
  <c r="G47" i="4"/>
  <c r="G13" i="4"/>
  <c r="K13" i="4" s="1"/>
  <c r="G12" i="4"/>
  <c r="K12" i="4" s="1"/>
  <c r="G11" i="4"/>
  <c r="D39" i="2"/>
  <c r="H39" i="2"/>
  <c r="L39" i="2"/>
  <c r="Y39" i="2"/>
  <c r="AE39" i="2"/>
  <c r="AK39" i="2"/>
  <c r="D41" i="4" s="1"/>
  <c r="W40" i="47221"/>
  <c r="E39" i="2"/>
  <c r="I39" i="2"/>
  <c r="M39" i="2"/>
  <c r="X39" i="2"/>
  <c r="AC39" i="2"/>
  <c r="AJ39" i="2"/>
  <c r="V40" i="47221"/>
  <c r="G41" i="4"/>
  <c r="G21" i="4"/>
  <c r="K21" i="4" s="1"/>
  <c r="G30" i="4"/>
  <c r="K30" i="4" s="1"/>
  <c r="F6" i="4"/>
  <c r="K48" i="4"/>
  <c r="K47" i="4"/>
  <c r="D68" i="1"/>
  <c r="S39" i="2"/>
  <c r="D10" i="1"/>
  <c r="AN10" i="1" s="1"/>
  <c r="F92" i="47223"/>
  <c r="J30" i="4"/>
  <c r="AD20" i="101"/>
  <c r="AC8" i="101"/>
  <c r="X8" i="101"/>
  <c r="O8" i="101" s="1"/>
  <c r="AF10" i="1"/>
  <c r="W10" i="1"/>
  <c r="G34" i="4"/>
  <c r="G95" i="47223" s="1"/>
  <c r="AF9" i="1"/>
  <c r="AF52" i="1"/>
  <c r="T39" i="2"/>
  <c r="F23" i="4"/>
  <c r="U39" i="2"/>
  <c r="X7" i="101"/>
  <c r="U20" i="101"/>
  <c r="AC7" i="101"/>
  <c r="AJ9" i="1"/>
  <c r="AR40" i="1"/>
  <c r="AB9" i="1"/>
  <c r="T9" i="1"/>
  <c r="P9" i="1"/>
  <c r="L9" i="1"/>
  <c r="H9" i="1"/>
  <c r="AN57" i="1"/>
  <c r="AN25" i="1"/>
  <c r="D9" i="1"/>
  <c r="AN41" i="1"/>
  <c r="Y36" i="1"/>
  <c r="AR57" i="1"/>
  <c r="AR25" i="1"/>
  <c r="X9" i="1"/>
  <c r="X20" i="1" s="1"/>
  <c r="BA21" i="1" s="1"/>
  <c r="AR41" i="1"/>
  <c r="P55" i="47223"/>
  <c r="S36" i="2"/>
  <c r="F12" i="4" s="1"/>
  <c r="J12" i="4" s="1"/>
  <c r="M55" i="47223"/>
  <c r="AR8" i="1"/>
  <c r="AN8" i="1"/>
  <c r="Y8" i="1"/>
  <c r="Z36" i="2"/>
  <c r="F29" i="4" s="1"/>
  <c r="T36" i="2"/>
  <c r="F10" i="4" s="1"/>
  <c r="U36" i="2"/>
  <c r="AB5" i="47223"/>
  <c r="BB5" i="47223" s="1"/>
  <c r="CB5" i="47223" s="1"/>
  <c r="B7" i="47223"/>
  <c r="A8" i="47222"/>
  <c r="A8" i="47221"/>
  <c r="CB4" i="47223"/>
  <c r="I55" i="47223"/>
  <c r="Q55" i="47223"/>
  <c r="H55" i="47223"/>
  <c r="B56" i="47223"/>
  <c r="L55" i="47223"/>
  <c r="D55" i="47223"/>
  <c r="AF3" i="47223"/>
  <c r="F3" i="47223"/>
  <c r="K8" i="1"/>
  <c r="M8" i="1" s="1"/>
  <c r="AM24" i="1"/>
  <c r="AQ40" i="1"/>
  <c r="S8" i="1"/>
  <c r="O8" i="1"/>
  <c r="AI8" i="1"/>
  <c r="Y11" i="1" l="1"/>
  <c r="AN68" i="1"/>
  <c r="K23" i="4"/>
  <c r="L20" i="1"/>
  <c r="BA10" i="1" s="1"/>
  <c r="L12" i="4"/>
  <c r="I41" i="4"/>
  <c r="H40" i="4"/>
  <c r="K40" i="4"/>
  <c r="J40" i="4"/>
  <c r="I40" i="4"/>
  <c r="F43" i="4"/>
  <c r="AR13" i="1"/>
  <c r="J34" i="4"/>
  <c r="J35" i="4"/>
  <c r="J43" i="4" s="1"/>
  <c r="F95" i="47223"/>
  <c r="M37" i="4"/>
  <c r="K38" i="4"/>
  <c r="G44" i="4"/>
  <c r="Y13" i="1"/>
  <c r="I37" i="4"/>
  <c r="D20" i="1"/>
  <c r="BA8" i="1" s="1"/>
  <c r="AN12" i="1"/>
  <c r="K14" i="4"/>
  <c r="L14" i="4" s="1"/>
  <c r="AR12" i="1"/>
  <c r="AN13" i="1"/>
  <c r="AN36" i="1"/>
  <c r="G26" i="4"/>
  <c r="K41" i="4"/>
  <c r="H41" i="4"/>
  <c r="K9" i="4"/>
  <c r="H30" i="4"/>
  <c r="I30" i="4"/>
  <c r="T20" i="1"/>
  <c r="BA14" i="1" s="1"/>
  <c r="AF20" i="1"/>
  <c r="BA24" i="1" s="1"/>
  <c r="L22" i="4"/>
  <c r="G25" i="4"/>
  <c r="G29" i="4"/>
  <c r="H29" i="4" s="1"/>
  <c r="AB20" i="1"/>
  <c r="BA23" i="1" s="1"/>
  <c r="W20" i="1"/>
  <c r="AZ21" i="1" s="1"/>
  <c r="BB21" i="1" s="1"/>
  <c r="K11" i="4"/>
  <c r="K29" i="4" s="1"/>
  <c r="G16" i="4"/>
  <c r="H21" i="4"/>
  <c r="H22" i="4"/>
  <c r="G93" i="47223"/>
  <c r="G94" i="47223"/>
  <c r="Y12" i="1"/>
  <c r="AJ20" i="1"/>
  <c r="BA22" i="1" s="1"/>
  <c r="I21" i="4"/>
  <c r="AR11" i="1"/>
  <c r="AN11" i="1"/>
  <c r="L30" i="4"/>
  <c r="G27" i="4"/>
  <c r="H37" i="4"/>
  <c r="M30" i="4"/>
  <c r="K34" i="4"/>
  <c r="G92" i="47223"/>
  <c r="I34" i="4"/>
  <c r="H23" i="4"/>
  <c r="I23" i="4"/>
  <c r="H34" i="4"/>
  <c r="AR10" i="1"/>
  <c r="Y10" i="1"/>
  <c r="G35" i="4"/>
  <c r="F25" i="4"/>
  <c r="J20" i="101"/>
  <c r="AC20" i="101"/>
  <c r="J21" i="4"/>
  <c r="X20" i="101"/>
  <c r="K20" i="101" s="1"/>
  <c r="O7" i="101"/>
  <c r="O20" i="101" s="1"/>
  <c r="O22" i="101" s="1"/>
  <c r="AR68" i="1"/>
  <c r="P20" i="1"/>
  <c r="BA13" i="1" s="1"/>
  <c r="H20" i="1"/>
  <c r="BA9" i="1" s="1"/>
  <c r="AN9" i="1"/>
  <c r="AN52" i="1"/>
  <c r="AR36" i="1"/>
  <c r="AR9" i="1"/>
  <c r="Y9" i="1"/>
  <c r="AR52" i="1"/>
  <c r="H11" i="4"/>
  <c r="F27" i="4"/>
  <c r="H12" i="4"/>
  <c r="J10" i="4"/>
  <c r="L10" i="4" s="1"/>
  <c r="H10" i="4"/>
  <c r="AB7" i="47223"/>
  <c r="BB7" i="47223" s="1"/>
  <c r="CB7" i="47223" s="1"/>
  <c r="A9" i="47222"/>
  <c r="B8" i="47223"/>
  <c r="A9" i="47221"/>
  <c r="B57" i="47223"/>
  <c r="D56" i="47223"/>
  <c r="L56" i="47223"/>
  <c r="Q56" i="47223"/>
  <c r="I56" i="47223"/>
  <c r="M56" i="47223"/>
  <c r="H56" i="47223"/>
  <c r="P56" i="47223"/>
  <c r="AG3" i="47223"/>
  <c r="G3" i="47223"/>
  <c r="L9" i="4"/>
  <c r="AM40" i="1"/>
  <c r="AQ24" i="1"/>
  <c r="AA8" i="1"/>
  <c r="AM56" i="1"/>
  <c r="AU24" i="1"/>
  <c r="AO24" i="1"/>
  <c r="AK8" i="1"/>
  <c r="AV40" i="1"/>
  <c r="AS40" i="1"/>
  <c r="AE8" i="1"/>
  <c r="G8" i="1"/>
  <c r="C8" i="1"/>
  <c r="Q8" i="1"/>
  <c r="AQ56" i="1"/>
  <c r="U8" i="1"/>
  <c r="K25" i="4" l="1"/>
  <c r="I35" i="4"/>
  <c r="G43" i="4"/>
  <c r="K16" i="4"/>
  <c r="K17" i="4" s="1"/>
  <c r="M40" i="4"/>
  <c r="L40" i="4"/>
  <c r="K27" i="4"/>
  <c r="L37" i="4"/>
  <c r="J44" i="4"/>
  <c r="F44" i="4"/>
  <c r="I44" i="4" s="1"/>
  <c r="M41" i="4"/>
  <c r="K44" i="4"/>
  <c r="L41" i="4"/>
  <c r="K26" i="4"/>
  <c r="I25" i="4"/>
  <c r="I29" i="4"/>
  <c r="H38" i="4"/>
  <c r="Y20" i="1"/>
  <c r="BA26" i="1"/>
  <c r="I38" i="4"/>
  <c r="H27" i="4"/>
  <c r="L34" i="4"/>
  <c r="M34" i="4"/>
  <c r="H35" i="4"/>
  <c r="K35" i="4"/>
  <c r="K43" i="4" s="1"/>
  <c r="H25" i="4"/>
  <c r="BA16" i="1"/>
  <c r="BA28" i="1" s="1"/>
  <c r="J23" i="4"/>
  <c r="M21" i="4"/>
  <c r="L21" i="4"/>
  <c r="J11" i="4"/>
  <c r="AR20" i="1"/>
  <c r="AN20" i="1"/>
  <c r="AB8" i="47223"/>
  <c r="BB8" i="47223" s="1"/>
  <c r="CB8" i="47223" s="1"/>
  <c r="B9" i="47223"/>
  <c r="A10" i="47221"/>
  <c r="A10" i="47222"/>
  <c r="B58" i="47223"/>
  <c r="D57" i="47223"/>
  <c r="Q57" i="47223"/>
  <c r="M57" i="47223"/>
  <c r="P57" i="47223"/>
  <c r="H57" i="47223"/>
  <c r="I57" i="47223"/>
  <c r="L57" i="47223"/>
  <c r="H3" i="47223"/>
  <c r="AH3" i="47223"/>
  <c r="AV24" i="1"/>
  <c r="AS24" i="1"/>
  <c r="AM8" i="1"/>
  <c r="E8" i="1"/>
  <c r="I8" i="1"/>
  <c r="AQ8" i="1"/>
  <c r="AC8" i="1"/>
  <c r="AU40" i="1"/>
  <c r="AO40" i="1"/>
  <c r="AS56" i="1"/>
  <c r="AV56" i="1"/>
  <c r="AU56" i="1"/>
  <c r="AO56" i="1"/>
  <c r="AG8" i="1"/>
  <c r="H44" i="4" l="1"/>
  <c r="L38" i="4"/>
  <c r="M38" i="4"/>
  <c r="L35" i="4"/>
  <c r="M35" i="4"/>
  <c r="I43" i="4"/>
  <c r="H43" i="4"/>
  <c r="J29" i="4"/>
  <c r="L11" i="4"/>
  <c r="J27" i="4"/>
  <c r="L27" i="4" s="1"/>
  <c r="L23" i="4"/>
  <c r="J25" i="4"/>
  <c r="M23" i="4"/>
  <c r="B10" i="47223"/>
  <c r="A11" i="47221"/>
  <c r="A11" i="47222"/>
  <c r="AB9" i="47223"/>
  <c r="BB9" i="47223" s="1"/>
  <c r="CB9" i="47223" s="1"/>
  <c r="B59" i="47223"/>
  <c r="D58" i="47223"/>
  <c r="M58" i="47223"/>
  <c r="L58" i="47223"/>
  <c r="I58" i="47223"/>
  <c r="Q58" i="47223"/>
  <c r="P58" i="47223"/>
  <c r="H58" i="47223"/>
  <c r="I3" i="47223"/>
  <c r="AI3" i="47223"/>
  <c r="M44" i="4"/>
  <c r="L44" i="4"/>
  <c r="AV8" i="1"/>
  <c r="AS8" i="1"/>
  <c r="AW40" i="1"/>
  <c r="AW24" i="1"/>
  <c r="AW56" i="1"/>
  <c r="AO8" i="1"/>
  <c r="AU8" i="1"/>
  <c r="M43" i="4" l="1"/>
  <c r="L43" i="4"/>
  <c r="M29" i="4"/>
  <c r="L29" i="4"/>
  <c r="M25" i="4"/>
  <c r="L25" i="4"/>
  <c r="B11" i="47223"/>
  <c r="A12" i="47222"/>
  <c r="A12" i="47221"/>
  <c r="AB10" i="47223"/>
  <c r="BB10" i="47223" s="1"/>
  <c r="CB10" i="47223" s="1"/>
  <c r="B60" i="47223"/>
  <c r="D59" i="47223"/>
  <c r="H59" i="47223"/>
  <c r="Q59" i="47223"/>
  <c r="M59" i="47223"/>
  <c r="L59" i="47223"/>
  <c r="P59" i="47223"/>
  <c r="I59" i="47223"/>
  <c r="AJ3" i="47223"/>
  <c r="J3" i="47223"/>
  <c r="AW8" i="1"/>
  <c r="AB11" i="47223" l="1"/>
  <c r="BB11" i="47223" s="1"/>
  <c r="CB11" i="47223" s="1"/>
  <c r="B12" i="47223"/>
  <c r="A13" i="47222"/>
  <c r="A13" i="47221"/>
  <c r="B61" i="47223"/>
  <c r="D60" i="47223"/>
  <c r="I60" i="47223"/>
  <c r="P60" i="47223"/>
  <c r="M60" i="47223"/>
  <c r="H60" i="47223"/>
  <c r="L60" i="47223"/>
  <c r="Q60" i="47223"/>
  <c r="AK3" i="47223"/>
  <c r="K3" i="47223"/>
  <c r="AB12" i="47223" l="1"/>
  <c r="BB12" i="47223" s="1"/>
  <c r="CB12" i="47223" s="1"/>
  <c r="B13" i="47223"/>
  <c r="A14" i="47222"/>
  <c r="A14" i="47221"/>
  <c r="B62" i="47223"/>
  <c r="D61" i="47223"/>
  <c r="L61" i="47223"/>
  <c r="P61" i="47223"/>
  <c r="I61" i="47223"/>
  <c r="Q61" i="47223"/>
  <c r="H61" i="47223"/>
  <c r="M61" i="47223"/>
  <c r="L3" i="47223"/>
  <c r="AL3" i="47223"/>
  <c r="A15" i="47222" l="1"/>
  <c r="A15" i="47221"/>
  <c r="B14" i="47223"/>
  <c r="AB13" i="47223"/>
  <c r="BB13" i="47223" s="1"/>
  <c r="CB13" i="47223" s="1"/>
  <c r="B63" i="47223"/>
  <c r="D62" i="47223"/>
  <c r="H62" i="47223"/>
  <c r="P62" i="47223"/>
  <c r="L62" i="47223"/>
  <c r="Q62" i="47223"/>
  <c r="M62" i="47223"/>
  <c r="I62" i="47223"/>
  <c r="AM3" i="47223"/>
  <c r="M3" i="47223"/>
  <c r="AB14" i="47223" l="1"/>
  <c r="BB14" i="47223" s="1"/>
  <c r="CB14" i="47223" s="1"/>
  <c r="B15" i="47223"/>
  <c r="A16" i="47222"/>
  <c r="A16" i="47221"/>
  <c r="B64" i="47223"/>
  <c r="D63" i="47223"/>
  <c r="P63" i="47223"/>
  <c r="I63" i="47223"/>
  <c r="H63" i="47223"/>
  <c r="L63" i="47223"/>
  <c r="Q63" i="47223"/>
  <c r="M63" i="47223"/>
  <c r="AN3" i="47223"/>
  <c r="N3" i="47223"/>
  <c r="B16" i="47223" l="1"/>
  <c r="A17" i="47222"/>
  <c r="A17" i="47221"/>
  <c r="AB15" i="47223"/>
  <c r="BB15" i="47223" s="1"/>
  <c r="CB15" i="47223" s="1"/>
  <c r="B65" i="47223"/>
  <c r="D64" i="47223"/>
  <c r="L64" i="47223"/>
  <c r="H64" i="47223"/>
  <c r="Q64" i="47223"/>
  <c r="I64" i="47223"/>
  <c r="M64" i="47223"/>
  <c r="P64" i="47223"/>
  <c r="AO3" i="47223"/>
  <c r="O3" i="47223"/>
  <c r="B17" i="47223" l="1"/>
  <c r="A18" i="47222"/>
  <c r="A18" i="47221"/>
  <c r="AB16" i="47223"/>
  <c r="BB16" i="47223" s="1"/>
  <c r="CB16" i="47223" s="1"/>
  <c r="B66" i="47223"/>
  <c r="D65" i="47223"/>
  <c r="Q65" i="47223"/>
  <c r="I65" i="47223"/>
  <c r="M65" i="47223"/>
  <c r="P65" i="47223"/>
  <c r="H65" i="47223"/>
  <c r="L65" i="47223"/>
  <c r="AP3" i="47223"/>
  <c r="P3" i="47223"/>
  <c r="A19" i="47222" l="1"/>
  <c r="A19" i="47221"/>
  <c r="B18" i="47223"/>
  <c r="AB17" i="47223"/>
  <c r="BB17" i="47223" s="1"/>
  <c r="CB17" i="47223" s="1"/>
  <c r="B67" i="47223"/>
  <c r="D66" i="47223"/>
  <c r="M66" i="47223"/>
  <c r="L66" i="47223"/>
  <c r="Q66" i="47223"/>
  <c r="H66" i="47223"/>
  <c r="P66" i="47223"/>
  <c r="I66" i="47223"/>
  <c r="AQ3" i="47223"/>
  <c r="Q3" i="47223"/>
  <c r="AB18" i="47223" l="1"/>
  <c r="BB18" i="47223" s="1"/>
  <c r="CB18" i="47223" s="1"/>
  <c r="B19" i="47223"/>
  <c r="A20" i="47222"/>
  <c r="A20" i="47221"/>
  <c r="B68" i="47223"/>
  <c r="D67" i="47223"/>
  <c r="Q67" i="47223"/>
  <c r="M67" i="47223"/>
  <c r="I67" i="47223"/>
  <c r="L67" i="47223"/>
  <c r="P67" i="47223"/>
  <c r="H67" i="47223"/>
  <c r="AR3" i="47223"/>
  <c r="R3" i="47223"/>
  <c r="B20" i="47223" l="1"/>
  <c r="A21" i="47222"/>
  <c r="A21" i="47221"/>
  <c r="AB19" i="47223"/>
  <c r="BB19" i="47223" s="1"/>
  <c r="CB19" i="47223" s="1"/>
  <c r="B69" i="47223"/>
  <c r="D68" i="47223"/>
  <c r="P68" i="47223"/>
  <c r="M68" i="47223"/>
  <c r="H68" i="47223"/>
  <c r="L68" i="47223"/>
  <c r="I68" i="47223"/>
  <c r="Q68" i="47223"/>
  <c r="S3" i="47223"/>
  <c r="AS3" i="47223"/>
  <c r="B21" i="47223" l="1"/>
  <c r="A22" i="47222"/>
  <c r="A22" i="47221"/>
  <c r="AB20" i="47223"/>
  <c r="BB20" i="47223" s="1"/>
  <c r="CB20" i="47223" s="1"/>
  <c r="B70" i="47223"/>
  <c r="D69" i="47223"/>
  <c r="L69" i="47223"/>
  <c r="H69" i="47223"/>
  <c r="I69" i="47223"/>
  <c r="Q69" i="47223"/>
  <c r="M69" i="47223"/>
  <c r="P69" i="47223"/>
  <c r="T3" i="47223"/>
  <c r="AT3" i="47223"/>
  <c r="A23" i="47222" l="1"/>
  <c r="A23" i="47221"/>
  <c r="B22" i="47223"/>
  <c r="AB21" i="47223"/>
  <c r="BB21" i="47223" s="1"/>
  <c r="CB21" i="47223" s="1"/>
  <c r="B71" i="47223"/>
  <c r="D70" i="47223"/>
  <c r="I70" i="47223"/>
  <c r="P70" i="47223"/>
  <c r="L70" i="47223"/>
  <c r="M70" i="47223"/>
  <c r="H70" i="47223"/>
  <c r="Q70" i="47223"/>
  <c r="AU3" i="47223"/>
  <c r="U3" i="47223"/>
  <c r="B23" i="47223" l="1"/>
  <c r="A24" i="47222"/>
  <c r="A24" i="47221"/>
  <c r="AB22" i="47223"/>
  <c r="BB22" i="47223" s="1"/>
  <c r="CB22" i="47223" s="1"/>
  <c r="B72" i="47223"/>
  <c r="D71" i="47223"/>
  <c r="P71" i="47223"/>
  <c r="L71" i="47223"/>
  <c r="H71" i="47223"/>
  <c r="Q71" i="47223"/>
  <c r="I71" i="47223"/>
  <c r="M71" i="47223"/>
  <c r="AV3" i="47223"/>
  <c r="V3" i="47223"/>
  <c r="A25" i="47222" l="1"/>
  <c r="A25" i="47221"/>
  <c r="B24" i="47223"/>
  <c r="AB23" i="47223"/>
  <c r="BB23" i="47223" s="1"/>
  <c r="CB23" i="47223" s="1"/>
  <c r="D72" i="47223"/>
  <c r="L72" i="47223"/>
  <c r="Q72" i="47223"/>
  <c r="I72" i="47223"/>
  <c r="M72" i="47223"/>
  <c r="H72" i="47223"/>
  <c r="P72" i="47223"/>
  <c r="B73" i="47223"/>
  <c r="W3" i="47223"/>
  <c r="AW3" i="47223"/>
  <c r="A26" i="47222" l="1"/>
  <c r="A26" i="47221"/>
  <c r="B25" i="47223"/>
  <c r="AB24" i="47223"/>
  <c r="BB24" i="47223" s="1"/>
  <c r="CB24" i="47223" s="1"/>
  <c r="D73" i="47223"/>
  <c r="Q73" i="47223"/>
  <c r="M73" i="47223"/>
  <c r="P73" i="47223"/>
  <c r="H73" i="47223"/>
  <c r="I73" i="47223"/>
  <c r="L73" i="47223"/>
  <c r="B74" i="47223"/>
  <c r="AX3" i="47223"/>
  <c r="X3" i="47223"/>
  <c r="AB25" i="47223" l="1"/>
  <c r="BB25" i="47223" s="1"/>
  <c r="CB25" i="47223" s="1"/>
  <c r="A27" i="47222"/>
  <c r="A27" i="47221"/>
  <c r="B26" i="47223"/>
  <c r="D74" i="47223"/>
  <c r="M74" i="47223"/>
  <c r="L74" i="47223"/>
  <c r="I74" i="47223"/>
  <c r="Q74" i="47223"/>
  <c r="P74" i="47223"/>
  <c r="H74" i="47223"/>
  <c r="B75" i="47223"/>
  <c r="AY3" i="47223"/>
  <c r="Y3" i="47223"/>
  <c r="AB26" i="47223" l="1"/>
  <c r="BB26" i="47223" s="1"/>
  <c r="CB26" i="47223" s="1"/>
  <c r="B27" i="47223"/>
  <c r="A28" i="47222"/>
  <c r="A28" i="47221"/>
  <c r="D75" i="47223"/>
  <c r="H75" i="47223"/>
  <c r="Q75" i="47223"/>
  <c r="M75" i="47223"/>
  <c r="L75" i="47223"/>
  <c r="P75" i="47223"/>
  <c r="I75" i="47223"/>
  <c r="B76" i="47223"/>
  <c r="AZ3" i="47223"/>
  <c r="Z3" i="47223"/>
  <c r="A29" i="47222" l="1"/>
  <c r="A29" i="47221"/>
  <c r="B28" i="47223"/>
  <c r="AB27" i="47223"/>
  <c r="BB27" i="47223" s="1"/>
  <c r="CB27" i="47223" s="1"/>
  <c r="D76" i="47223"/>
  <c r="I76" i="47223"/>
  <c r="P76" i="47223"/>
  <c r="M76" i="47223"/>
  <c r="H76" i="47223"/>
  <c r="L76" i="47223"/>
  <c r="Q76" i="47223"/>
  <c r="B77" i="47223"/>
  <c r="AB28" i="47223" l="1"/>
  <c r="BB28" i="47223" s="1"/>
  <c r="CB28" i="47223" s="1"/>
  <c r="B29" i="47223"/>
  <c r="A30" i="47222"/>
  <c r="A30" i="47221"/>
  <c r="D77" i="47223"/>
  <c r="L77" i="47223"/>
  <c r="I77" i="47223"/>
  <c r="Q77" i="47223"/>
  <c r="H77" i="47223"/>
  <c r="M77" i="47223"/>
  <c r="P77" i="47223"/>
  <c r="B78" i="47223"/>
  <c r="A31" i="47222" l="1"/>
  <c r="A31" i="47221"/>
  <c r="B30" i="47223"/>
  <c r="AB29" i="47223"/>
  <c r="BB29" i="47223" s="1"/>
  <c r="CB29" i="47223" s="1"/>
  <c r="D78" i="47223"/>
  <c r="H78" i="47223"/>
  <c r="P78" i="47223"/>
  <c r="L78" i="47223"/>
  <c r="M78" i="47223"/>
  <c r="I78" i="47223"/>
  <c r="Q78" i="47223"/>
  <c r="B79" i="47223"/>
  <c r="B31" i="47223" l="1"/>
  <c r="A32" i="47222"/>
  <c r="A32" i="47221"/>
  <c r="AB30" i="47223"/>
  <c r="BB30" i="47223" s="1"/>
  <c r="CB30" i="47223" s="1"/>
  <c r="D79" i="47223"/>
  <c r="P79" i="47223"/>
  <c r="I79" i="47223"/>
  <c r="H79" i="47223"/>
  <c r="L79" i="47223"/>
  <c r="Q79" i="47223"/>
  <c r="M79" i="47223"/>
  <c r="B80" i="47223"/>
  <c r="AB31" i="47223" l="1"/>
  <c r="BB31" i="47223" s="1"/>
  <c r="CB31" i="47223" s="1"/>
  <c r="B32" i="47223"/>
  <c r="A33" i="47222"/>
  <c r="A33" i="47221"/>
  <c r="D80" i="47223"/>
  <c r="L80" i="47223"/>
  <c r="H80" i="47223"/>
  <c r="Q80" i="47223"/>
  <c r="I80" i="47223"/>
  <c r="M80" i="47223"/>
  <c r="P80" i="47223"/>
  <c r="B81" i="47223"/>
  <c r="AB32" i="47223" l="1"/>
  <c r="BB32" i="47223" s="1"/>
  <c r="CB32" i="47223" s="1"/>
  <c r="A34" i="47222"/>
  <c r="A34" i="47221"/>
  <c r="B33" i="47223"/>
  <c r="D81" i="47223"/>
  <c r="Q81" i="47223"/>
  <c r="I81" i="47223"/>
  <c r="M81" i="47223"/>
  <c r="P81" i="47223"/>
  <c r="H81" i="47223"/>
  <c r="L81" i="47223"/>
  <c r="B82" i="47223"/>
  <c r="A35" i="47221" l="1"/>
  <c r="B34" i="47223"/>
  <c r="AB33" i="47223"/>
  <c r="BB33" i="47223" s="1"/>
  <c r="CB33" i="47223" s="1"/>
  <c r="D82" i="47223"/>
  <c r="M82" i="47223"/>
  <c r="L82" i="47223"/>
  <c r="Q82" i="47223"/>
  <c r="H82" i="47223"/>
  <c r="P82" i="47223"/>
  <c r="I82" i="47223"/>
  <c r="B83" i="47223"/>
  <c r="D37" i="47223" l="1"/>
  <c r="AB34" i="47223"/>
  <c r="BB34" i="47223" s="1"/>
  <c r="CB34" i="47223" s="1"/>
  <c r="D83" i="47223"/>
  <c r="Q83" i="47223"/>
  <c r="M83" i="47223"/>
  <c r="I83" i="47223"/>
  <c r="L83" i="47223"/>
  <c r="P83" i="47223"/>
  <c r="H83" i="47223"/>
  <c r="B84" i="47223"/>
  <c r="E37" i="47223" l="1"/>
  <c r="C5" i="4" s="1"/>
  <c r="C6" i="4"/>
  <c r="H37" i="47223"/>
  <c r="D84" i="47223"/>
  <c r="P84" i="47223"/>
  <c r="M84" i="47223"/>
  <c r="H84" i="47223"/>
  <c r="L84" i="47223"/>
  <c r="I84" i="47223"/>
  <c r="Q84" i="47223"/>
  <c r="C37" i="4" l="1"/>
  <c r="C38" i="4" s="1"/>
  <c r="C44" i="4" s="1"/>
  <c r="B37" i="4"/>
  <c r="B38" i="4" s="1"/>
  <c r="K50" i="4"/>
  <c r="K51" i="4"/>
  <c r="C51" i="4"/>
  <c r="C50" i="4"/>
  <c r="C47" i="4"/>
  <c r="C57" i="4"/>
  <c r="C34" i="4"/>
  <c r="C35" i="4" s="1"/>
  <c r="C43" i="4" s="1"/>
  <c r="C58" i="4"/>
  <c r="B30" i="4"/>
  <c r="E30" i="4" s="1"/>
  <c r="B11" i="4"/>
  <c r="D11" i="4" s="1"/>
  <c r="B12" i="4"/>
  <c r="D12" i="4" s="1"/>
  <c r="B9" i="4"/>
  <c r="D9" i="4" s="1"/>
  <c r="B22" i="4"/>
  <c r="D22" i="4" s="1"/>
  <c r="C55" i="4"/>
  <c r="B14" i="4"/>
  <c r="D14" i="4" s="1"/>
  <c r="B53" i="47223"/>
  <c r="B10" i="4"/>
  <c r="D10" i="4" s="1"/>
  <c r="C48" i="4"/>
  <c r="CI39" i="2"/>
  <c r="B21" i="4"/>
  <c r="E21" i="4" s="1"/>
  <c r="C54" i="4"/>
  <c r="B34" i="4"/>
  <c r="B35" i="4" s="1"/>
  <c r="B43" i="4" s="1"/>
  <c r="AF60" i="101"/>
  <c r="AK48" i="101"/>
  <c r="AJ48" i="101"/>
  <c r="AK57" i="101"/>
  <c r="AJ57" i="101"/>
  <c r="AJ49" i="101"/>
  <c r="AK49" i="101"/>
  <c r="AJ51" i="101"/>
  <c r="AK51" i="101"/>
  <c r="AJ56" i="101"/>
  <c r="AK56" i="101"/>
  <c r="AK47" i="101"/>
  <c r="AJ47" i="101"/>
  <c r="AJ55" i="101"/>
  <c r="AK55" i="101"/>
  <c r="AK46" i="101"/>
  <c r="AJ46" i="101"/>
  <c r="AK50" i="101"/>
  <c r="AK61" i="101" s="1"/>
  <c r="AJ50" i="101"/>
  <c r="AJ53" i="101"/>
  <c r="AK53" i="101"/>
  <c r="AK54" i="101"/>
  <c r="AJ54" i="101"/>
  <c r="AK52" i="101"/>
  <c r="AJ52" i="101"/>
  <c r="AJ61" i="101" l="1"/>
  <c r="E37" i="4"/>
  <c r="D34" i="4"/>
  <c r="AI61" i="101"/>
  <c r="AH61" i="101"/>
  <c r="D30" i="4"/>
  <c r="B23" i="4"/>
  <c r="E23" i="4" s="1"/>
  <c r="D21" i="4"/>
  <c r="B29" i="4"/>
  <c r="E29" i="4" s="1"/>
  <c r="E34" i="4"/>
  <c r="AJ60" i="101"/>
  <c r="AH60" i="101"/>
  <c r="AI60" i="101"/>
  <c r="AK60" i="101"/>
  <c r="D37" i="4" l="1"/>
  <c r="E35" i="4"/>
  <c r="D35" i="4"/>
  <c r="B25" i="4"/>
  <c r="E25" i="4" s="1"/>
  <c r="B27" i="4"/>
  <c r="D27" i="4" s="1"/>
  <c r="D23" i="4"/>
  <c r="D29" i="4"/>
  <c r="E43" i="4"/>
  <c r="D38" i="4" l="1"/>
  <c r="B44" i="4"/>
  <c r="D44" i="4" s="1"/>
  <c r="E38" i="4"/>
  <c r="D25" i="4"/>
  <c r="D43" i="4"/>
  <c r="E44" i="4" l="1"/>
  <c r="AQ25" i="1"/>
  <c r="AA9" i="1"/>
  <c r="O9" i="1"/>
  <c r="AE9" i="1"/>
  <c r="AQ41" i="1"/>
  <c r="S9" i="1"/>
  <c r="AQ57" i="1"/>
  <c r="AS57" i="1" l="1"/>
  <c r="AV57" i="1"/>
  <c r="U9" i="1"/>
  <c r="AS41" i="1"/>
  <c r="AV41" i="1"/>
  <c r="AG9" i="1"/>
  <c r="AC9" i="1"/>
  <c r="AI9" i="1"/>
  <c r="Q9" i="1"/>
  <c r="AV25" i="1"/>
  <c r="AS25" i="1"/>
  <c r="AK9" i="1" l="1"/>
  <c r="AQ9" i="1"/>
  <c r="G9" i="1" l="1"/>
  <c r="K9" i="1"/>
  <c r="AM57" i="1"/>
  <c r="AS9" i="1"/>
  <c r="AV9" i="1"/>
  <c r="AM41" i="1"/>
  <c r="AM25" i="1"/>
  <c r="C9" i="1"/>
  <c r="E9" i="1" l="1"/>
  <c r="AM9" i="1"/>
  <c r="AO25" i="1"/>
  <c r="AU25" i="1"/>
  <c r="AU41" i="1"/>
  <c r="AO41" i="1"/>
  <c r="AU57" i="1"/>
  <c r="AO57" i="1"/>
  <c r="I9" i="1"/>
  <c r="M9" i="1"/>
  <c r="AW57" i="1" l="1"/>
  <c r="AW41" i="1"/>
  <c r="AW25" i="1"/>
  <c r="AU9" i="1"/>
  <c r="AO9" i="1"/>
  <c r="AW9" i="1" l="1"/>
  <c r="B48" i="4" l="1"/>
  <c r="D48" i="4" s="1"/>
  <c r="AI10" i="1" l="1"/>
  <c r="AQ42" i="1"/>
  <c r="S10" i="1"/>
  <c r="AQ58" i="1"/>
  <c r="AK10" i="1"/>
  <c r="O10" i="1"/>
  <c r="AE10" i="1"/>
  <c r="AV42" i="1" l="1"/>
  <c r="AS42" i="1"/>
  <c r="AG10" i="1"/>
  <c r="Q10" i="1"/>
  <c r="AS58" i="1"/>
  <c r="AV58" i="1"/>
  <c r="U10" i="1"/>
  <c r="AQ26" i="1"/>
  <c r="AA10" i="1"/>
  <c r="AC10" i="1" l="1"/>
  <c r="AQ10" i="1"/>
  <c r="AS26" i="1"/>
  <c r="AV26" i="1"/>
  <c r="K10" i="1" l="1"/>
  <c r="AS10" i="1"/>
  <c r="AV10" i="1"/>
  <c r="C10" i="1" l="1"/>
  <c r="AM26" i="1"/>
  <c r="AM42" i="1"/>
  <c r="AM58" i="1"/>
  <c r="G10" i="1"/>
  <c r="M10" i="1"/>
  <c r="AO26" i="1" l="1"/>
  <c r="AU26" i="1"/>
  <c r="I10" i="1"/>
  <c r="E10" i="1"/>
  <c r="AM10" i="1"/>
  <c r="AO42" i="1"/>
  <c r="AU42" i="1"/>
  <c r="AU58" i="1"/>
  <c r="AO58" i="1"/>
  <c r="AW58" i="1" l="1"/>
  <c r="AU10" i="1"/>
  <c r="AO10" i="1"/>
  <c r="AW42" i="1"/>
  <c r="AW26" i="1"/>
  <c r="AW10" i="1" l="1"/>
  <c r="B47" i="4" l="1"/>
  <c r="D47" i="4" s="1"/>
  <c r="F48" i="4" l="1"/>
  <c r="J48" i="4" s="1"/>
  <c r="L48" i="4" s="1"/>
  <c r="F47" i="4"/>
  <c r="J47" i="4" s="1"/>
  <c r="L47" i="4" s="1"/>
  <c r="H48" i="4"/>
  <c r="H47" i="4"/>
  <c r="S11" i="1" l="1"/>
  <c r="O11" i="1"/>
  <c r="AE11" i="1"/>
  <c r="AQ59" i="1" l="1"/>
  <c r="AQ27" i="1"/>
  <c r="AA11" i="1"/>
  <c r="AG11" i="1"/>
  <c r="AI11" i="1"/>
  <c r="Q11" i="1"/>
  <c r="U11" i="1"/>
  <c r="AQ43" i="1"/>
  <c r="AV43" i="1" l="1"/>
  <c r="AS43" i="1"/>
  <c r="AK11" i="1"/>
  <c r="AC11" i="1"/>
  <c r="AQ11" i="1"/>
  <c r="AV27" i="1"/>
  <c r="AS27" i="1"/>
  <c r="AV59" i="1"/>
  <c r="AS59" i="1"/>
  <c r="AS11" i="1" l="1"/>
  <c r="AV11" i="1"/>
  <c r="G11" i="1" l="1"/>
  <c r="K11" i="1"/>
  <c r="AM59" i="1"/>
  <c r="AM27" i="1"/>
  <c r="C11" i="1"/>
  <c r="AM43" i="1"/>
  <c r="AO43" i="1" l="1"/>
  <c r="AU43" i="1"/>
  <c r="AU27" i="1"/>
  <c r="AO27" i="1"/>
  <c r="AM11" i="1"/>
  <c r="E11" i="1"/>
  <c r="AU59" i="1"/>
  <c r="AO59" i="1"/>
  <c r="M11" i="1"/>
  <c r="I11" i="1"/>
  <c r="AW59" i="1" l="1"/>
  <c r="AO11" i="1"/>
  <c r="AU11" i="1"/>
  <c r="AW27" i="1"/>
  <c r="AW43" i="1"/>
  <c r="AW11" i="1" l="1"/>
  <c r="D40" i="47223" l="1"/>
  <c r="L40" i="47223"/>
  <c r="H40" i="47223"/>
  <c r="T40" i="47223"/>
  <c r="F40" i="47223"/>
  <c r="N40" i="47223"/>
  <c r="V40" i="47223"/>
  <c r="E40" i="47223"/>
  <c r="U40" i="47223"/>
  <c r="I40" i="47223"/>
  <c r="Y40" i="47223"/>
  <c r="P40" i="47223"/>
  <c r="R40" i="47223"/>
  <c r="M40" i="47223"/>
  <c r="W40" i="47223"/>
  <c r="K39" i="47223"/>
  <c r="S39" i="47223"/>
  <c r="D39" i="47223"/>
  <c r="M39" i="47223"/>
  <c r="U39" i="47223"/>
  <c r="E39" i="47223"/>
  <c r="V39" i="47223"/>
  <c r="T39" i="47223"/>
  <c r="X39" i="47223"/>
  <c r="C39" i="47223"/>
  <c r="Z39" i="47223"/>
  <c r="H39" i="47223"/>
  <c r="X40" i="47223"/>
  <c r="J40" i="47223"/>
  <c r="Z40" i="47223"/>
  <c r="Q40" i="47223"/>
  <c r="F39" i="47223"/>
  <c r="G40" i="47223"/>
  <c r="G39" i="47223"/>
  <c r="O39" i="47223"/>
  <c r="W39" i="47223"/>
  <c r="O40" i="47223"/>
  <c r="I39" i="47223"/>
  <c r="Q39" i="47223"/>
  <c r="Y39" i="47223"/>
  <c r="C40" i="47223"/>
  <c r="N39" i="47223"/>
  <c r="R39" i="47223"/>
  <c r="K40" i="47223"/>
  <c r="J39" i="47223"/>
  <c r="S40" i="47223"/>
  <c r="L39" i="47223"/>
  <c r="P39" i="47223"/>
  <c r="AI12" i="1" l="1"/>
  <c r="AK12" i="1"/>
  <c r="S12" i="1"/>
  <c r="AQ60" i="1"/>
  <c r="O12" i="1"/>
  <c r="Q12" i="1" l="1"/>
  <c r="AS60" i="1"/>
  <c r="AV60" i="1"/>
  <c r="AE12" i="1"/>
  <c r="U12" i="1"/>
  <c r="AA12" i="1"/>
  <c r="AQ12" i="1" l="1"/>
  <c r="AC12" i="1"/>
  <c r="AG12" i="1"/>
  <c r="K12" i="1" l="1"/>
  <c r="AS12" i="1"/>
  <c r="AV12" i="1"/>
  <c r="G12" i="1" l="1"/>
  <c r="M12" i="1"/>
  <c r="C12" i="1"/>
  <c r="E12" i="1" l="1"/>
  <c r="AM12" i="1"/>
  <c r="AU60" i="1"/>
  <c r="I12" i="1"/>
  <c r="AW60" i="1" l="1"/>
  <c r="AO12" i="1"/>
  <c r="AU12" i="1"/>
  <c r="AW12" i="1" l="1"/>
  <c r="Q4" i="2" l="1"/>
  <c r="CG4" i="2"/>
  <c r="P4" i="2"/>
  <c r="CF4" i="2" l="1"/>
  <c r="CE4" i="2"/>
  <c r="P5" i="2"/>
  <c r="CG5" i="2"/>
  <c r="Q5" i="2"/>
  <c r="R4" i="2"/>
  <c r="R5" i="2" l="1"/>
  <c r="AD5" i="2" s="1"/>
  <c r="Q6" i="2"/>
  <c r="P6" i="2"/>
  <c r="CE5" i="2"/>
  <c r="CF5" i="2"/>
  <c r="AD4" i="2"/>
  <c r="AA4" i="2"/>
  <c r="CG6" i="2" l="1"/>
  <c r="CE6" i="2"/>
  <c r="AA5" i="2"/>
  <c r="R6" i="2"/>
  <c r="AA6" i="2" s="1"/>
  <c r="CF6" i="2"/>
  <c r="CF7" i="2"/>
  <c r="P7" i="2"/>
  <c r="Q7" i="2"/>
  <c r="AD6" i="2" l="1"/>
  <c r="CE7" i="2"/>
  <c r="R7" i="2"/>
  <c r="AA7" i="2" s="1"/>
  <c r="CG7" i="2"/>
  <c r="Q8" i="2"/>
  <c r="CF8" i="2"/>
  <c r="P8" i="2"/>
  <c r="R8" i="2" l="1"/>
  <c r="CE8" i="2"/>
  <c r="AD7" i="2"/>
  <c r="CG8" i="2"/>
  <c r="AA8" i="2"/>
  <c r="AD8" i="2"/>
  <c r="CE9" i="2" l="1"/>
  <c r="Q9" i="2"/>
  <c r="P9" i="2"/>
  <c r="CF9" i="2"/>
  <c r="Q10" i="2"/>
  <c r="P10" i="2"/>
  <c r="CF10" i="2"/>
  <c r="CG9" i="2"/>
  <c r="CG10" i="2"/>
  <c r="R9" i="2" l="1"/>
  <c r="AD9" i="2" s="1"/>
  <c r="R10" i="2"/>
  <c r="AD10" i="2" s="1"/>
  <c r="CE10" i="2"/>
  <c r="P11" i="2"/>
  <c r="Q11" i="2"/>
  <c r="CF11" i="2"/>
  <c r="CG11" i="2"/>
  <c r="AA9" i="2"/>
  <c r="AA10" i="2" l="1"/>
  <c r="P13" i="2"/>
  <c r="Q12" i="2"/>
  <c r="P12" i="2"/>
  <c r="CG12" i="2"/>
  <c r="CE11" i="2"/>
  <c r="R11" i="2"/>
  <c r="CF12" i="2" l="1"/>
  <c r="CE12" i="2"/>
  <c r="R12" i="2"/>
  <c r="AA12" i="2" s="1"/>
  <c r="AD11" i="2"/>
  <c r="AA11" i="2"/>
  <c r="Q13" i="2"/>
  <c r="R13" i="2" s="1"/>
  <c r="AD13" i="2" s="1"/>
  <c r="CG13" i="2" l="1"/>
  <c r="AD12" i="2"/>
  <c r="CE13" i="2"/>
  <c r="AA13" i="2"/>
  <c r="P15" i="2"/>
  <c r="Q14" i="2"/>
  <c r="P14" i="2"/>
  <c r="CE14" i="2"/>
  <c r="Q15" i="2"/>
  <c r="CF13" i="2"/>
  <c r="CF14" i="2" l="1"/>
  <c r="R14" i="2"/>
  <c r="AD14" i="2" s="1"/>
  <c r="Q16" i="2"/>
  <c r="P16" i="2"/>
  <c r="CG15" i="2"/>
  <c r="CG14" i="2"/>
  <c r="CE15" i="2"/>
  <c r="R15" i="2"/>
  <c r="CF15" i="2"/>
  <c r="CE16" i="2"/>
  <c r="AA14" i="2" l="1"/>
  <c r="R16" i="2"/>
  <c r="AD16" i="2" s="1"/>
  <c r="CG16" i="2"/>
  <c r="CF16" i="2"/>
  <c r="AA15" i="2"/>
  <c r="AD15" i="2"/>
  <c r="CF17" i="2"/>
  <c r="CE17" i="2"/>
  <c r="CG17" i="2" l="1"/>
  <c r="AA16" i="2"/>
  <c r="Q17" i="2"/>
  <c r="P17" i="2"/>
  <c r="Q18" i="2"/>
  <c r="P18" i="2"/>
  <c r="R17" i="2" l="1"/>
  <c r="AD17" i="2" s="1"/>
  <c r="CF18" i="2"/>
  <c r="CE18" i="2"/>
  <c r="CG18" i="2"/>
  <c r="R18" i="2"/>
  <c r="AD18" i="2" s="1"/>
  <c r="Q19" i="2"/>
  <c r="P19" i="2"/>
  <c r="CF19" i="2"/>
  <c r="AA17" i="2" l="1"/>
  <c r="AA18" i="2"/>
  <c r="R19" i="2"/>
  <c r="AD19" i="2" s="1"/>
  <c r="CG19" i="2"/>
  <c r="CE19" i="2"/>
  <c r="P20" i="2"/>
  <c r="CF20" i="2"/>
  <c r="AA19" i="2" l="1"/>
  <c r="Q20" i="2"/>
  <c r="CE20" i="2"/>
  <c r="P21" i="2"/>
  <c r="CG20" i="2"/>
  <c r="CF21" i="2"/>
  <c r="Q21" i="2"/>
  <c r="CE21" i="2"/>
  <c r="R20" i="2" l="1"/>
  <c r="CG21" i="2"/>
  <c r="R21" i="2"/>
  <c r="AD21" i="2" s="1"/>
  <c r="Q22" i="2"/>
  <c r="P22" i="2"/>
  <c r="AD20" i="2" l="1"/>
  <c r="AA20" i="2"/>
  <c r="CE22" i="2"/>
  <c r="CG22" i="2"/>
  <c r="AA21" i="2"/>
  <c r="R22" i="2"/>
  <c r="AD22" i="2" s="1"/>
  <c r="P23" i="2"/>
  <c r="Q23" i="2"/>
  <c r="R23" i="2" s="1"/>
  <c r="AA23" i="2" s="1"/>
  <c r="CF22" i="2"/>
  <c r="AA22" i="2" l="1"/>
  <c r="CG23" i="2"/>
  <c r="CE23" i="2"/>
  <c r="CF23" i="2"/>
  <c r="AD23" i="2"/>
  <c r="P24" i="2" l="1"/>
  <c r="Q24" i="2"/>
  <c r="CE24" i="2"/>
  <c r="CF24" i="2"/>
  <c r="CG24" i="2"/>
  <c r="Q25" i="2"/>
  <c r="CE25" i="2"/>
  <c r="P25" i="2"/>
  <c r="R24" i="2" l="1"/>
  <c r="AA24" i="2" s="1"/>
  <c r="CF25" i="2"/>
  <c r="R25" i="2"/>
  <c r="AA25" i="2" s="1"/>
  <c r="CG25" i="2"/>
  <c r="Q26" i="2"/>
  <c r="P26" i="2"/>
  <c r="AD24" i="2" l="1"/>
  <c r="AD25" i="2"/>
  <c r="R26" i="2"/>
  <c r="AD26" i="2" s="1"/>
  <c r="Q27" i="2"/>
  <c r="CG27" i="2"/>
  <c r="P27" i="2"/>
  <c r="CE26" i="2"/>
  <c r="CF26" i="2"/>
  <c r="CG26" i="2"/>
  <c r="CE27" i="2" l="1"/>
  <c r="R27" i="2"/>
  <c r="AA27" i="2" s="1"/>
  <c r="CF27" i="2"/>
  <c r="AA26" i="2"/>
  <c r="Q28" i="2"/>
  <c r="P28" i="2"/>
  <c r="AD27" i="2" l="1"/>
  <c r="R28" i="2"/>
  <c r="AD28" i="2" s="1"/>
  <c r="CE28" i="2"/>
  <c r="AA28" i="2"/>
  <c r="CG28" i="2"/>
  <c r="CF28" i="2"/>
  <c r="P29" i="2"/>
  <c r="CF29" i="2"/>
  <c r="Q29" i="2"/>
  <c r="CG29" i="2"/>
  <c r="CE29" i="2" l="1"/>
  <c r="R29" i="2"/>
  <c r="AA29" i="2" s="1"/>
  <c r="CF30" i="2"/>
  <c r="CG30" i="2"/>
  <c r="AD29" i="2"/>
  <c r="Q30" i="2" l="1"/>
  <c r="P30" i="2"/>
  <c r="CE30" i="2"/>
  <c r="P31" i="2"/>
  <c r="B54" i="4"/>
  <c r="D54" i="4" s="1"/>
  <c r="B57" i="4"/>
  <c r="D57" i="4" s="1"/>
  <c r="CF31" i="2"/>
  <c r="Q31" i="2"/>
  <c r="Q32" i="2"/>
  <c r="P32" i="2"/>
  <c r="CG32" i="2"/>
  <c r="B58" i="4"/>
  <c r="D58" i="4" s="1"/>
  <c r="BX39" i="2"/>
  <c r="O39" i="2" l="1"/>
  <c r="BY39" i="2"/>
  <c r="N39" i="2"/>
  <c r="B55" i="4"/>
  <c r="D55" i="4" s="1"/>
  <c r="BW39" i="2"/>
  <c r="BV39" i="2"/>
  <c r="P39" i="2"/>
  <c r="Q39" i="2"/>
  <c r="R30" i="2"/>
  <c r="AA30" i="2" s="1"/>
  <c r="R31" i="2"/>
  <c r="AA31" i="2" s="1"/>
  <c r="CE31" i="2"/>
  <c r="R32" i="2"/>
  <c r="AD32" i="2" s="1"/>
  <c r="CF32" i="2"/>
  <c r="P33" i="2"/>
  <c r="Q33" i="2"/>
  <c r="CE32" i="2"/>
  <c r="CG31" i="2"/>
  <c r="CE33" i="2"/>
  <c r="AA32" i="2"/>
  <c r="AA39" i="2" l="1"/>
  <c r="CF33" i="2"/>
  <c r="AD31" i="2"/>
  <c r="AD30" i="2"/>
  <c r="AD39" i="2" s="1"/>
  <c r="R39" i="2"/>
  <c r="BT36" i="2"/>
  <c r="S61" i="1" s="1"/>
  <c r="U61" i="1" s="1"/>
  <c r="BL36" i="2"/>
  <c r="BF36" i="2"/>
  <c r="AI29" i="1" s="1"/>
  <c r="AI36" i="1" s="1"/>
  <c r="AK36" i="1" s="1"/>
  <c r="BO36" i="2"/>
  <c r="O45" i="1" s="1"/>
  <c r="O52" i="1" s="1"/>
  <c r="Q52" i="1" s="1"/>
  <c r="P34" i="2"/>
  <c r="BR36" i="2"/>
  <c r="S29" i="1" s="1"/>
  <c r="BS36" i="2"/>
  <c r="S45" i="1" s="1"/>
  <c r="U45" i="1" s="1"/>
  <c r="CB36" i="2"/>
  <c r="AA45" i="1" s="1"/>
  <c r="BV36" i="2"/>
  <c r="F54" i="4" s="1"/>
  <c r="H54" i="4" s="1"/>
  <c r="BX36" i="2"/>
  <c r="F55" i="4" s="1"/>
  <c r="I55" i="4" s="1"/>
  <c r="Q34" i="2"/>
  <c r="Q36" i="2" s="1"/>
  <c r="CA36" i="2"/>
  <c r="BK36" i="2"/>
  <c r="AE45" i="1" s="1"/>
  <c r="CC36" i="2"/>
  <c r="AA61" i="1" s="1"/>
  <c r="BJ36" i="2"/>
  <c r="AE29" i="1" s="1"/>
  <c r="BP36" i="2"/>
  <c r="O61" i="1" s="1"/>
  <c r="Q61" i="1" s="1"/>
  <c r="BG36" i="2"/>
  <c r="AI45" i="1" s="1"/>
  <c r="AK45" i="1" s="1"/>
  <c r="BN36" i="2"/>
  <c r="BP38" i="2" s="1"/>
  <c r="BW36" i="2"/>
  <c r="F57" i="4" s="1"/>
  <c r="H57" i="4" s="1"/>
  <c r="BY36" i="2"/>
  <c r="F58" i="4" s="1"/>
  <c r="I58" i="4" s="1"/>
  <c r="CG33" i="2"/>
  <c r="R33" i="2"/>
  <c r="CE34" i="2"/>
  <c r="CG34" i="2"/>
  <c r="BH36" i="2"/>
  <c r="AI61" i="1" s="1"/>
  <c r="AI13" i="1" s="1"/>
  <c r="AK29" i="1"/>
  <c r="O36" i="2"/>
  <c r="J55" i="4"/>
  <c r="CA40" i="2"/>
  <c r="AI52" i="1"/>
  <c r="AK52" i="1" s="1"/>
  <c r="I57" i="4"/>
  <c r="BT38" i="2" l="1"/>
  <c r="H55" i="4"/>
  <c r="Q45" i="1"/>
  <c r="S52" i="1"/>
  <c r="U52" i="1" s="1"/>
  <c r="S68" i="1"/>
  <c r="U68" i="1" s="1"/>
  <c r="O29" i="1"/>
  <c r="O13" i="1" s="1"/>
  <c r="O68" i="1"/>
  <c r="Q68" i="1" s="1"/>
  <c r="BL38" i="2"/>
  <c r="J54" i="4"/>
  <c r="L54" i="4" s="1"/>
  <c r="I54" i="4"/>
  <c r="J58" i="4"/>
  <c r="L58" i="4" s="1"/>
  <c r="H58" i="4"/>
  <c r="CF34" i="2"/>
  <c r="J57" i="4"/>
  <c r="M57" i="4" s="1"/>
  <c r="BH38" i="2"/>
  <c r="CB40" i="2"/>
  <c r="N36" i="2"/>
  <c r="AA33" i="2"/>
  <c r="AD33" i="2"/>
  <c r="Q29" i="1"/>
  <c r="AG29" i="1"/>
  <c r="AE36" i="1"/>
  <c r="AG36" i="1" s="1"/>
  <c r="U29" i="1"/>
  <c r="S13" i="1"/>
  <c r="S36" i="1"/>
  <c r="U36" i="1" s="1"/>
  <c r="R34" i="2"/>
  <c r="B13" i="4" s="1"/>
  <c r="D13" i="4" s="1"/>
  <c r="P36" i="2"/>
  <c r="AE61" i="1"/>
  <c r="AQ61" i="1" s="1"/>
  <c r="CC40" i="2"/>
  <c r="AC61" i="1"/>
  <c r="AA68" i="1"/>
  <c r="AC68" i="1" s="1"/>
  <c r="AA29" i="1"/>
  <c r="CC38" i="2"/>
  <c r="L55" i="4"/>
  <c r="M55" i="4"/>
  <c r="AC45" i="1"/>
  <c r="AQ45" i="1"/>
  <c r="AA52" i="1"/>
  <c r="AC52" i="1" s="1"/>
  <c r="AK13" i="1"/>
  <c r="AI20" i="1"/>
  <c r="AI68" i="1"/>
  <c r="AK68" i="1" s="1"/>
  <c r="AK61" i="1"/>
  <c r="AG45" i="1"/>
  <c r="AE52" i="1"/>
  <c r="AG52" i="1" s="1"/>
  <c r="B16" i="4" l="1"/>
  <c r="B17" i="4" s="1"/>
  <c r="E17" i="4" s="1"/>
  <c r="B26" i="4"/>
  <c r="D26" i="4" s="1"/>
  <c r="L57" i="4"/>
  <c r="M54" i="4"/>
  <c r="O36" i="1"/>
  <c r="Q36" i="1" s="1"/>
  <c r="M58" i="4"/>
  <c r="AZ22" i="1"/>
  <c r="AK20" i="1"/>
  <c r="AA13" i="1"/>
  <c r="AC29" i="1"/>
  <c r="AQ29" i="1"/>
  <c r="AA36" i="1"/>
  <c r="AC36" i="1" s="1"/>
  <c r="AG61" i="1"/>
  <c r="AE68" i="1"/>
  <c r="AG68" i="1" s="1"/>
  <c r="AD34" i="2"/>
  <c r="AA34" i="2"/>
  <c r="AA36" i="2" s="1"/>
  <c r="R36" i="2"/>
  <c r="U13" i="1"/>
  <c r="S20" i="1"/>
  <c r="AE13" i="1"/>
  <c r="AV61" i="1"/>
  <c r="AV68" i="1" s="1"/>
  <c r="AQ68" i="1"/>
  <c r="AS68" i="1" s="1"/>
  <c r="AS61" i="1"/>
  <c r="AV45" i="1"/>
  <c r="AV52" i="1" s="1"/>
  <c r="AQ52" i="1"/>
  <c r="AS52" i="1" s="1"/>
  <c r="AS45" i="1"/>
  <c r="Q13" i="1"/>
  <c r="O20" i="1"/>
  <c r="D16" i="4" l="1"/>
  <c r="D17" i="4"/>
  <c r="E16" i="4"/>
  <c r="AZ13" i="1"/>
  <c r="BB13" i="1" s="1"/>
  <c r="Q20" i="1"/>
  <c r="AG13" i="1"/>
  <c r="AE20" i="1"/>
  <c r="AZ14" i="1"/>
  <c r="BB14" i="1" s="1"/>
  <c r="U20" i="1"/>
  <c r="F13" i="4"/>
  <c r="AD36" i="2"/>
  <c r="AV29" i="1"/>
  <c r="AV36" i="1" s="1"/>
  <c r="AS29" i="1"/>
  <c r="AQ36" i="1"/>
  <c r="AS36" i="1" s="1"/>
  <c r="AC13" i="1"/>
  <c r="AQ13" i="1"/>
  <c r="AA20" i="1"/>
  <c r="BB22" i="1"/>
  <c r="BC36" i="2" l="1"/>
  <c r="K45" i="1" s="1"/>
  <c r="K52" i="1" s="1"/>
  <c r="M52" i="1" s="1"/>
  <c r="BB36" i="2"/>
  <c r="K29" i="1" s="1"/>
  <c r="M29" i="1" s="1"/>
  <c r="AX36" i="2"/>
  <c r="G29" i="1" s="1"/>
  <c r="AY36" i="2"/>
  <c r="AZ38" i="2"/>
  <c r="AZ36" i="2"/>
  <c r="G61" i="1" s="1"/>
  <c r="BD38" i="2"/>
  <c r="BD36" i="2"/>
  <c r="K61" i="1" s="1"/>
  <c r="M61" i="1" s="1"/>
  <c r="AC20" i="1"/>
  <c r="AZ23" i="1"/>
  <c r="AG20" i="1"/>
  <c r="AZ24" i="1"/>
  <c r="BB24" i="1" s="1"/>
  <c r="M45" i="1"/>
  <c r="AV13" i="1"/>
  <c r="AV20" i="1" s="1"/>
  <c r="AQ20" i="1"/>
  <c r="AS20" i="1" s="1"/>
  <c r="AS13" i="1"/>
  <c r="F26" i="4"/>
  <c r="H26" i="4" s="1"/>
  <c r="H13" i="4"/>
  <c r="J13" i="4"/>
  <c r="F16" i="4"/>
  <c r="K13" i="1" l="1"/>
  <c r="K20" i="1" s="1"/>
  <c r="C45" i="1"/>
  <c r="C52" i="1" s="1"/>
  <c r="E52" i="1" s="1"/>
  <c r="C61" i="1"/>
  <c r="AM61" i="1" s="1"/>
  <c r="K36" i="1"/>
  <c r="M36" i="1" s="1"/>
  <c r="K68" i="1"/>
  <c r="M68" i="1" s="1"/>
  <c r="C29" i="1"/>
  <c r="E29" i="1" s="1"/>
  <c r="G45" i="1"/>
  <c r="I45" i="1" s="1"/>
  <c r="L13" i="4"/>
  <c r="J26" i="4"/>
  <c r="L26" i="4" s="1"/>
  <c r="J16" i="4"/>
  <c r="I61" i="1"/>
  <c r="G68" i="1"/>
  <c r="I68" i="1" s="1"/>
  <c r="H16" i="4"/>
  <c r="I16" i="4"/>
  <c r="F17" i="4"/>
  <c r="BB23" i="1"/>
  <c r="AZ26" i="1"/>
  <c r="BB26" i="1" s="1"/>
  <c r="I29" i="1"/>
  <c r="G36" i="1"/>
  <c r="I36" i="1" s="1"/>
  <c r="E45" i="1"/>
  <c r="M13" i="1" l="1"/>
  <c r="G13" i="1"/>
  <c r="I13" i="1" s="1"/>
  <c r="G52" i="1"/>
  <c r="I52" i="1" s="1"/>
  <c r="AM45" i="1"/>
  <c r="AU45" i="1" s="1"/>
  <c r="C13" i="1"/>
  <c r="C20" i="1" s="1"/>
  <c r="E61" i="1"/>
  <c r="C68" i="1"/>
  <c r="E68" i="1" s="1"/>
  <c r="AM29" i="1"/>
  <c r="AO29" i="1" s="1"/>
  <c r="C36" i="1"/>
  <c r="E36" i="1" s="1"/>
  <c r="M20" i="1"/>
  <c r="AZ10" i="1"/>
  <c r="BB10" i="1" s="1"/>
  <c r="J17" i="4"/>
  <c r="M16" i="4"/>
  <c r="L16" i="4"/>
  <c r="G20" i="1"/>
  <c r="I17" i="4"/>
  <c r="H17" i="4"/>
  <c r="AO61" i="1"/>
  <c r="AU61" i="1"/>
  <c r="AM68" i="1"/>
  <c r="AO68" i="1" s="1"/>
  <c r="E13" i="1" l="1"/>
  <c r="AM13" i="1"/>
  <c r="AO13" i="1" s="1"/>
  <c r="AM52" i="1"/>
  <c r="AO52" i="1" s="1"/>
  <c r="AU29" i="1"/>
  <c r="AW29" i="1" s="1"/>
  <c r="AO45" i="1"/>
  <c r="AM36" i="1"/>
  <c r="AO36" i="1" s="1"/>
  <c r="AW61" i="1"/>
  <c r="AU68" i="1"/>
  <c r="AW68" i="1" s="1"/>
  <c r="E20" i="1"/>
  <c r="AZ8" i="1"/>
  <c r="I20" i="1"/>
  <c r="AZ9" i="1"/>
  <c r="BB9" i="1" s="1"/>
  <c r="AW45" i="1"/>
  <c r="AU52" i="1"/>
  <c r="AW52" i="1" s="1"/>
  <c r="M17" i="4"/>
  <c r="L17" i="4"/>
  <c r="AM20" i="1" l="1"/>
  <c r="AO20" i="1" s="1"/>
  <c r="AU13" i="1"/>
  <c r="AU20" i="1" s="1"/>
  <c r="AW20" i="1" s="1"/>
  <c r="AU36" i="1"/>
  <c r="AW36" i="1" s="1"/>
  <c r="BB8" i="1"/>
  <c r="AZ16" i="1"/>
  <c r="AW13" i="1" l="1"/>
  <c r="AZ28" i="1"/>
  <c r="BB28" i="1" s="1"/>
  <c r="BB16" i="1"/>
  <c r="R42" i="47223" l="1"/>
  <c r="I41" i="47223" l="1"/>
  <c r="W42" i="47223"/>
  <c r="C42" i="47223"/>
  <c r="Q41" i="47223"/>
  <c r="W41" i="47223"/>
  <c r="Z41" i="47223"/>
  <c r="S42" i="47223"/>
  <c r="K42" i="47223"/>
  <c r="T41" i="47223"/>
  <c r="L41" i="47223"/>
  <c r="M41" i="47223"/>
  <c r="L42" i="47223"/>
  <c r="C41" i="47223"/>
  <c r="Z42" i="47223"/>
  <c r="O42" i="47223"/>
  <c r="N41" i="47223"/>
  <c r="V41" i="47223"/>
  <c r="J42" i="47223"/>
  <c r="K41" i="47223"/>
  <c r="H42" i="47223"/>
  <c r="I42" i="47223"/>
  <c r="M42" i="47223"/>
  <c r="D42" i="47223"/>
  <c r="P42" i="47223"/>
  <c r="X42" i="47223"/>
  <c r="J41" i="47223"/>
  <c r="R41" i="47223"/>
  <c r="V42" i="47223"/>
  <c r="P41" i="47223"/>
  <c r="F41" i="47223"/>
  <c r="U41" i="47223"/>
  <c r="E41" i="47223"/>
  <c r="X41" i="47223"/>
  <c r="H41" i="47223"/>
  <c r="U42" i="47223"/>
  <c r="G41" i="47223"/>
  <c r="N42" i="47223"/>
  <c r="O41" i="47223"/>
  <c r="Y41" i="47223"/>
  <c r="Y42" i="47223"/>
  <c r="Q42" i="47223"/>
  <c r="F42" i="47223"/>
  <c r="T42" i="47223"/>
  <c r="G83" i="47223"/>
  <c r="G84" i="47223"/>
  <c r="G66" i="47223"/>
  <c r="G59" i="47223"/>
  <c r="G81" i="47223"/>
  <c r="G72" i="47223"/>
  <c r="G71" i="47223"/>
  <c r="G56" i="47223"/>
  <c r="G75" i="47223"/>
  <c r="G60" i="47223"/>
  <c r="G73" i="47223"/>
  <c r="G70" i="47223"/>
  <c r="G62" i="47223"/>
  <c r="G61" i="47223"/>
  <c r="G76" i="47223"/>
  <c r="G77" i="47223"/>
  <c r="G58" i="47223"/>
  <c r="G65" i="47223"/>
  <c r="G57" i="47223"/>
  <c r="G80" i="47223"/>
  <c r="G69" i="47223"/>
  <c r="G63" i="47223"/>
  <c r="G55" i="47223"/>
  <c r="G74" i="47223"/>
  <c r="G67" i="47223"/>
  <c r="G78" i="47223"/>
  <c r="G82" i="47223"/>
  <c r="G64" i="47223"/>
  <c r="G79" i="47223"/>
  <c r="S41" i="47223"/>
  <c r="D41" i="47223"/>
  <c r="E42" i="47223"/>
  <c r="G42" i="47223"/>
  <c r="G68" i="47223" l="1"/>
  <c r="F73" i="47223" l="1"/>
  <c r="F65" i="47223"/>
  <c r="F64" i="47223"/>
  <c r="F75" i="47223"/>
  <c r="F60" i="47223"/>
  <c r="F54" i="47223"/>
  <c r="F68" i="47223"/>
  <c r="F84" i="47223"/>
  <c r="F83" i="47223"/>
  <c r="F67" i="47223"/>
  <c r="F76" i="47223"/>
  <c r="F77" i="47223"/>
  <c r="F80" i="47223" l="1"/>
  <c r="F56" i="47223"/>
  <c r="F57" i="47223"/>
  <c r="F81" i="47223"/>
  <c r="F61" i="47223"/>
  <c r="F82" i="47223"/>
  <c r="F79" i="47223"/>
  <c r="F63" i="47223"/>
  <c r="F62" i="47223"/>
  <c r="F58" i="47223"/>
  <c r="F66" i="47223"/>
  <c r="CJ36" i="2"/>
  <c r="F51" i="4" s="1"/>
  <c r="F71" i="47223"/>
  <c r="F72" i="47223"/>
  <c r="F78" i="47223"/>
  <c r="F74" i="47223"/>
  <c r="F59" i="47223"/>
  <c r="F70" i="47223"/>
  <c r="F69" i="47223"/>
  <c r="B51" i="4"/>
  <c r="D51" i="4" s="1"/>
  <c r="F55" i="47223" l="1"/>
  <c r="B50" i="4"/>
  <c r="D50" i="4" s="1"/>
  <c r="G54" i="47223"/>
  <c r="CI36" i="2"/>
  <c r="F50" i="4" s="1"/>
  <c r="H50" i="4" s="1"/>
  <c r="J51" i="4"/>
  <c r="L51" i="4" s="1"/>
  <c r="H51" i="4"/>
  <c r="J50" i="4" l="1"/>
  <c r="L50" i="4" s="1"/>
</calcChain>
</file>

<file path=xl/sharedStrings.xml><?xml version="1.0" encoding="utf-8"?>
<sst xmlns="http://schemas.openxmlformats.org/spreadsheetml/2006/main" count="786" uniqueCount="408">
  <si>
    <t>Variance</t>
  </si>
  <si>
    <t>Transmission Expense</t>
  </si>
  <si>
    <t>Date</t>
  </si>
  <si>
    <t>Native Load Expense</t>
  </si>
  <si>
    <t>Purchase Expense to OSS</t>
  </si>
  <si>
    <t>LG&amp;E/KU Combined Utility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</si>
  <si>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</si>
  <si>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</si>
  <si>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</si>
  <si>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</si>
  <si>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</si>
  <si>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</si>
  <si>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</si>
  <si>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</si>
  <si>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</si>
  <si>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</si>
  <si>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</si>
  <si>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</si>
  <si>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</si>
  <si>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Days in Month</t>
  </si>
  <si>
    <t xml:space="preserve">Total Sales </t>
  </si>
  <si>
    <t>Sales Volume, MWh</t>
  </si>
  <si>
    <t>Revenue</t>
  </si>
  <si>
    <t>Average Price, $/MWh</t>
  </si>
  <si>
    <t>Expense</t>
  </si>
  <si>
    <t>Purchase Power, MWh</t>
  </si>
  <si>
    <t>Purchase Power, $/MWh</t>
  </si>
  <si>
    <t>Total Purchase Power Expense, $</t>
  </si>
  <si>
    <t>Total Surcharge Expense, $</t>
  </si>
  <si>
    <t>LG&amp;E Generation</t>
  </si>
  <si>
    <t>Generation Cost, $/MWh</t>
  </si>
  <si>
    <t>Total Generation Expense, $</t>
  </si>
  <si>
    <t>Expense, $/MWh</t>
  </si>
  <si>
    <t>Total Expense, $</t>
  </si>
  <si>
    <t>Contribution</t>
  </si>
  <si>
    <t>Contribution, $/MWh</t>
  </si>
  <si>
    <t>Contribution - Pre-tax, $</t>
  </si>
  <si>
    <t>Breakdown of Purchased Power</t>
  </si>
  <si>
    <t>Web Purchases</t>
  </si>
  <si>
    <t>Average Cost of PP, $/MWh</t>
  </si>
  <si>
    <t>Purchased Power Expense</t>
  </si>
  <si>
    <t>Broker Purchases</t>
  </si>
  <si>
    <t>Total Off-System Sales Purchases</t>
  </si>
  <si>
    <t>Total Mwh's of</t>
  </si>
  <si>
    <t xml:space="preserve">Mwh's Generated </t>
  </si>
  <si>
    <t xml:space="preserve">Gross </t>
  </si>
  <si>
    <t>Enviromental</t>
  </si>
  <si>
    <t>Variable</t>
  </si>
  <si>
    <t xml:space="preserve">Generation </t>
  </si>
  <si>
    <t>Purchase</t>
  </si>
  <si>
    <t>Actual</t>
  </si>
  <si>
    <t xml:space="preserve">Transmission </t>
  </si>
  <si>
    <t>Sales</t>
  </si>
  <si>
    <t>For Sales</t>
  </si>
  <si>
    <t>Surcharge</t>
  </si>
  <si>
    <t>Cost</t>
  </si>
  <si>
    <t>ACTUAL OFF SYSTEM SALES</t>
  </si>
  <si>
    <t xml:space="preserve">Total Profit </t>
  </si>
  <si>
    <t>Total Mwh's</t>
  </si>
  <si>
    <t>Actual Mwh's</t>
  </si>
  <si>
    <t>Actual Purchase</t>
  </si>
  <si>
    <t>From Sales</t>
  </si>
  <si>
    <t>From OSS</t>
  </si>
  <si>
    <t>Sold</t>
  </si>
  <si>
    <t>Generated for Sales</t>
  </si>
  <si>
    <t>Purchased for OSS</t>
  </si>
  <si>
    <t>Mwh's</t>
  </si>
  <si>
    <t>Budget</t>
  </si>
  <si>
    <t xml:space="preserve"> </t>
  </si>
  <si>
    <t>Physical Mwh's</t>
  </si>
  <si>
    <t>DATE</t>
  </si>
  <si>
    <t>5x16</t>
  </si>
  <si>
    <t>2x16</t>
  </si>
  <si>
    <t>5 X 16</t>
  </si>
  <si>
    <t>7 X 8</t>
  </si>
  <si>
    <t>2 X 16</t>
  </si>
  <si>
    <t xml:space="preserve"> 7x8</t>
  </si>
  <si>
    <t xml:space="preserve"> 5x16</t>
  </si>
  <si>
    <t xml:space="preserve"> 2x16</t>
  </si>
  <si>
    <t>7X8</t>
  </si>
  <si>
    <t>5X16</t>
  </si>
  <si>
    <t>2X16</t>
  </si>
  <si>
    <t>COMBINED SYSTEM</t>
  </si>
  <si>
    <t>5 x 16</t>
  </si>
  <si>
    <t xml:space="preserve">7 x 8 </t>
  </si>
  <si>
    <t>2 x 16</t>
  </si>
  <si>
    <t>Gen Expense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</si>
  <si>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</si>
  <si>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</si>
  <si>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</si>
  <si>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</si>
  <si>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</si>
  <si>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</si>
  <si>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</si>
  <si>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</si>
  <si>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</si>
  <si>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</si>
  <si>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</si>
  <si>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7 x 8</t>
  </si>
  <si>
    <t>Y-T-D</t>
  </si>
  <si>
    <t xml:space="preserve">Actual </t>
  </si>
  <si>
    <t>Year to Date Off Ssytem Sales</t>
  </si>
  <si>
    <t>Non MISO Transmission</t>
  </si>
  <si>
    <t xml:space="preserve"> Total Mwh's</t>
  </si>
  <si>
    <t>Fav / (Unfav)</t>
  </si>
  <si>
    <t>Financial Sales</t>
  </si>
  <si>
    <t>Purchase Volume to OSS</t>
  </si>
  <si>
    <t>Volume</t>
  </si>
  <si>
    <t>Purchases for</t>
  </si>
  <si>
    <t>Outage Volume</t>
  </si>
  <si>
    <t>Outage Cost</t>
  </si>
  <si>
    <t>7x8</t>
  </si>
  <si>
    <t>Loss</t>
  </si>
  <si>
    <t>Current</t>
  </si>
  <si>
    <t>Year to Date Off System Purchases</t>
  </si>
  <si>
    <t>Between Web and Broker</t>
  </si>
  <si>
    <t>Effective Sales Price</t>
  </si>
  <si>
    <t>Cost of Supply</t>
  </si>
  <si>
    <t>KPI</t>
  </si>
  <si>
    <t>Effective Price</t>
  </si>
  <si>
    <t>Total Revenue, $</t>
  </si>
  <si>
    <t>Generation Revenue, $</t>
  </si>
  <si>
    <t>KPI Forecast</t>
  </si>
  <si>
    <t>Native Load Volume</t>
  </si>
  <si>
    <t>Actual Year to Date</t>
  </si>
  <si>
    <t>Budget Year to Date</t>
  </si>
  <si>
    <t>Revenue from Generation</t>
  </si>
  <si>
    <t xml:space="preserve">% Fav / </t>
  </si>
  <si>
    <t>(Unfav)</t>
  </si>
  <si>
    <t>Total Tranmission Exp</t>
  </si>
  <si>
    <t>Mwh's Purchased</t>
  </si>
  <si>
    <t>for Outages</t>
  </si>
  <si>
    <t>Generation</t>
  </si>
  <si>
    <t>Cost of Generation (fuel only)</t>
  </si>
  <si>
    <t>Variable Incremental</t>
  </si>
  <si>
    <t>Actual Fuel Only</t>
  </si>
  <si>
    <t>MISO Losses Generated</t>
  </si>
  <si>
    <t>MISO Loss</t>
  </si>
  <si>
    <t>Generation Expense</t>
  </si>
  <si>
    <t>Expense of  Purchases</t>
  </si>
  <si>
    <t>Mwh's Generated for sales</t>
  </si>
  <si>
    <t xml:space="preserve">OSS Contribution </t>
  </si>
  <si>
    <t xml:space="preserve">Cost of Generation </t>
  </si>
  <si>
    <t>Stretch</t>
  </si>
  <si>
    <t>Purchased Power, MWh</t>
  </si>
  <si>
    <t>Environmental Surcharge</t>
  </si>
  <si>
    <t>Native Load</t>
  </si>
  <si>
    <t>Unit Outage</t>
  </si>
  <si>
    <t>Methods</t>
  </si>
  <si>
    <t>Financial Mwh's( Gen B/O's)</t>
  </si>
  <si>
    <t>Budget for Off System Sales</t>
  </si>
  <si>
    <r>
      <t xml:space="preserve">Broker </t>
    </r>
    <r>
      <rPr>
        <sz val="10"/>
        <rFont val="helv"/>
      </rPr>
      <t xml:space="preserve"> Purchase Transactions</t>
    </r>
  </si>
  <si>
    <t>Bilateral Sales</t>
  </si>
  <si>
    <t>Bilateral Purchases</t>
  </si>
  <si>
    <t xml:space="preserve"> Fuel Only</t>
  </si>
  <si>
    <t>Financial Swap Margin</t>
  </si>
  <si>
    <t>RSG Adder</t>
  </si>
  <si>
    <t>Gen Expense for Losses</t>
  </si>
  <si>
    <t>( for effective price )</t>
  </si>
  <si>
    <t>Physical Exp</t>
  </si>
  <si>
    <t>Physical Vol</t>
  </si>
  <si>
    <t>Physical Rev</t>
  </si>
  <si>
    <t>LG&amp;E</t>
  </si>
  <si>
    <t>Forecast</t>
  </si>
  <si>
    <t>Load Forecast</t>
  </si>
  <si>
    <t>Actual Common Purchases</t>
  </si>
  <si>
    <t>MISO</t>
  </si>
  <si>
    <t>RSG Expense</t>
  </si>
  <si>
    <t xml:space="preserve">Actual  </t>
  </si>
  <si>
    <t xml:space="preserve">Cost of </t>
  </si>
  <si>
    <t>OSS Consumables &amp; EA's</t>
  </si>
  <si>
    <t>OSS Pur Exp</t>
  </si>
  <si>
    <t>OSS Pur Vol</t>
  </si>
  <si>
    <t>Physical Power Sales</t>
  </si>
  <si>
    <t>MISO RSG</t>
  </si>
  <si>
    <t>Other MISO Exp</t>
  </si>
  <si>
    <t>Sales Vol to PJM</t>
  </si>
  <si>
    <t>PJM Cost Estimate</t>
  </si>
  <si>
    <t xml:space="preserve">MISO RSG Distribution </t>
  </si>
  <si>
    <t>Sum of MISO/PJM</t>
  </si>
  <si>
    <t>MISO / PJM Charge Methods</t>
  </si>
  <si>
    <t xml:space="preserve"> Transmission</t>
  </si>
  <si>
    <t>RTO Charges</t>
  </si>
  <si>
    <t xml:space="preserve">Net Payment </t>
  </si>
  <si>
    <t>HDD (LEX)</t>
  </si>
  <si>
    <t>CDD (LEX)</t>
  </si>
  <si>
    <t>Budget Weather Data</t>
  </si>
  <si>
    <t>Actual Weather Data</t>
  </si>
  <si>
    <t>KU HHD Actual</t>
  </si>
  <si>
    <t>KU CDD Actual</t>
  </si>
  <si>
    <t>LGE  HHD Actual</t>
  </si>
  <si>
    <t>LGE CDD Actual</t>
  </si>
  <si>
    <t>KU HHD Budget</t>
  </si>
  <si>
    <t>KU CDD Budget</t>
  </si>
  <si>
    <t>LGE  HHD Budget</t>
  </si>
  <si>
    <t>LGE CDD Budget</t>
  </si>
  <si>
    <t>Combustion Turbine Budget</t>
  </si>
  <si>
    <t>Sales Vol to MISO</t>
  </si>
  <si>
    <t>Total RTO Expense, $</t>
  </si>
  <si>
    <t>HDD (LOU)</t>
  </si>
  <si>
    <t>CDD (LOU)</t>
  </si>
  <si>
    <t>Consumable Expense</t>
  </si>
  <si>
    <t>OSS</t>
  </si>
  <si>
    <t>Actual Contribution</t>
  </si>
  <si>
    <t>plus IFIRS</t>
  </si>
  <si>
    <t xml:space="preserve">IFRS Adjsutments </t>
  </si>
  <si>
    <t>to Contribution</t>
  </si>
  <si>
    <t>CT Gen</t>
  </si>
  <si>
    <t>Native Load Energy (S)</t>
  </si>
  <si>
    <t>Actual $</t>
  </si>
  <si>
    <t xml:space="preserve"> Budget $</t>
  </si>
  <si>
    <t xml:space="preserve"> Actual mwh's</t>
  </si>
  <si>
    <t xml:space="preserve"> Budget Mwh's</t>
  </si>
  <si>
    <t>Other Revenues</t>
  </si>
  <si>
    <t>Actual Ovec Purchases</t>
  </si>
  <si>
    <t>Retail Sales (Mwh's)</t>
  </si>
  <si>
    <t>OSS Transmission Expense</t>
  </si>
  <si>
    <t>SO2 Tons</t>
  </si>
  <si>
    <t>NOX Tons</t>
  </si>
  <si>
    <t>OSS Forecast vs. Actual</t>
  </si>
  <si>
    <t>NL Forecast vs. Actual</t>
  </si>
  <si>
    <t xml:space="preserve">Sales Revenue  </t>
  </si>
  <si>
    <t xml:space="preserve">Purchase Expense  </t>
  </si>
  <si>
    <t xml:space="preserve">( fuel only )   Generation Expense  </t>
  </si>
  <si>
    <t xml:space="preserve">MISO / PJM Expense  </t>
  </si>
  <si>
    <t xml:space="preserve">Transmission Expense  </t>
  </si>
  <si>
    <t xml:space="preserve">OSS Contributing Factors  </t>
  </si>
  <si>
    <t xml:space="preserve"> Sales from generation  </t>
  </si>
  <si>
    <t xml:space="preserve">Sales from purchases  </t>
  </si>
  <si>
    <t xml:space="preserve">(MWh)  Total off system sales  </t>
  </si>
  <si>
    <t xml:space="preserve">($ /MWh)    Achieved Price  </t>
  </si>
  <si>
    <t xml:space="preserve">($/ MWh)     Effective Price  </t>
  </si>
  <si>
    <t xml:space="preserve">($/ MWh)    Cost of Supply  </t>
  </si>
  <si>
    <t xml:space="preserve">  ($/MWh)  Generation Expense  </t>
  </si>
  <si>
    <t xml:space="preserve">($)  Purchases to Support Sales  </t>
  </si>
  <si>
    <t xml:space="preserve">KU HDD  </t>
  </si>
  <si>
    <t xml:space="preserve">LG&amp;E HDD  </t>
  </si>
  <si>
    <t xml:space="preserve">KU CDD  </t>
  </si>
  <si>
    <t xml:space="preserve">LG&amp;E CDD  </t>
  </si>
  <si>
    <r>
      <t xml:space="preserve">OSS and Native Load Report  </t>
    </r>
    <r>
      <rPr>
        <vertAlign val="superscript"/>
        <sz val="14"/>
        <color rgb="FFFF0000"/>
        <rFont val="Arial (W1)"/>
      </rPr>
      <t>1</t>
    </r>
  </si>
  <si>
    <r>
      <t xml:space="preserve">(MWh) Native Load Energy  </t>
    </r>
    <r>
      <rPr>
        <vertAlign val="superscript"/>
        <sz val="12"/>
        <color rgb="FFFF0000"/>
        <rFont val="Arial (W1)"/>
      </rPr>
      <t>2</t>
    </r>
  </si>
  <si>
    <r>
      <rPr>
        <sz val="14"/>
        <color rgb="FFFF0000"/>
        <rFont val="Arial"/>
        <family val="2"/>
      </rPr>
      <t xml:space="preserve">1   </t>
    </r>
    <r>
      <rPr>
        <b/>
        <sz val="12"/>
        <color rgb="FFFF0000"/>
        <rFont val="Arial"/>
        <family val="2"/>
      </rPr>
      <t xml:space="preserve">This report should only be distributed to LG&amp;E/KU Energy Marketing personnel, Market Valuation &amp; Analysis staff, LG&amp;E/KU Power Plant personnel, the LG&amp;E/KU shared officer team, </t>
    </r>
  </si>
  <si>
    <t xml:space="preserve">       and shared services personnel, such as accounting, compliance, finance, and legal.  This report should not be distributed to PPL EnergyPlus personnel.</t>
  </si>
  <si>
    <t xml:space="preserve">       Distribution to others may be permissible – please contact the Compliance Department for guidance.  </t>
  </si>
  <si>
    <r>
      <rPr>
        <sz val="14"/>
        <color rgb="FFFF0000"/>
        <rFont val="Arial"/>
        <family val="2"/>
      </rPr>
      <t xml:space="preserve">3   </t>
    </r>
    <r>
      <rPr>
        <sz val="12"/>
        <rFont val="Arial"/>
        <family val="2"/>
      </rPr>
      <t xml:space="preserve">The term "billable estimate" reflects a 6% volume adjustment (lower) that is used in the margin calculation.  </t>
    </r>
  </si>
  <si>
    <t xml:space="preserve">        transmission revenue and miscellaneous charges revenue).</t>
  </si>
  <si>
    <r>
      <t xml:space="preserve">($) Native Load Energy  </t>
    </r>
    <r>
      <rPr>
        <vertAlign val="superscript"/>
        <sz val="12"/>
        <color rgb="FFFF0000"/>
        <rFont val="Arial (W1)"/>
      </rPr>
      <t>3</t>
    </r>
  </si>
  <si>
    <t xml:space="preserve">(Pre Tax $)   OSS Contribution  </t>
  </si>
  <si>
    <t>Hydro Budget</t>
  </si>
  <si>
    <t>Purchases</t>
  </si>
  <si>
    <t>TC Allotment Budget</t>
  </si>
  <si>
    <t>Total Generation</t>
  </si>
  <si>
    <t>CT Generation</t>
  </si>
  <si>
    <t>Ovec Purchases</t>
  </si>
  <si>
    <t>Common Purchases</t>
  </si>
  <si>
    <t xml:space="preserve">  Generation Budget</t>
  </si>
  <si>
    <t>OVEC Purchases</t>
  </si>
  <si>
    <t>Market Purchases for Native</t>
  </si>
  <si>
    <t xml:space="preserve">Load </t>
  </si>
  <si>
    <t xml:space="preserve">Total Generation </t>
  </si>
  <si>
    <t>Retail "Other Revenues"</t>
  </si>
  <si>
    <t>OSS Volume</t>
  </si>
  <si>
    <t>TC Allotment</t>
  </si>
  <si>
    <t xml:space="preserve">Budget  </t>
  </si>
  <si>
    <t>Sources</t>
  </si>
  <si>
    <t>Sinks</t>
  </si>
  <si>
    <t>Hydro Gen</t>
  </si>
  <si>
    <t>Hydro Generation</t>
  </si>
  <si>
    <t>TC 1 Backup Sales</t>
  </si>
  <si>
    <t>TC 1 Backup Sale</t>
  </si>
  <si>
    <t xml:space="preserve"> Expense</t>
  </si>
  <si>
    <t>Sales Total</t>
  </si>
  <si>
    <t>Expense Total</t>
  </si>
  <si>
    <t xml:space="preserve">Consumable Expense  </t>
  </si>
  <si>
    <t>Coal</t>
  </si>
  <si>
    <t>Gas</t>
  </si>
  <si>
    <t>Hydro</t>
  </si>
  <si>
    <t>OVEC</t>
  </si>
  <si>
    <t>Market</t>
  </si>
  <si>
    <t>TC Allot</t>
  </si>
  <si>
    <t>Off System</t>
  </si>
  <si>
    <t>TC1 Backup</t>
  </si>
  <si>
    <t>Total Sinks</t>
  </si>
  <si>
    <t>2013 YTD Variance (GWh)</t>
  </si>
  <si>
    <t xml:space="preserve">Native Load MWh </t>
  </si>
  <si>
    <t>AFB Native Load</t>
  </si>
  <si>
    <t>7x24</t>
  </si>
  <si>
    <t>Weather Shaped Native Load</t>
  </si>
  <si>
    <t>Average Native Load</t>
  </si>
  <si>
    <t xml:space="preserve">  Daily Average Load Budget</t>
  </si>
  <si>
    <t>CT's (MWh)</t>
  </si>
  <si>
    <r>
      <t xml:space="preserve">Budget  </t>
    </r>
    <r>
      <rPr>
        <vertAlign val="superscript"/>
        <sz val="16"/>
        <color rgb="FFFF0000"/>
        <rFont val="Arial"/>
        <family val="2"/>
      </rPr>
      <t>2</t>
    </r>
  </si>
  <si>
    <t>Total Sources</t>
  </si>
  <si>
    <t>Sources less Sinks</t>
  </si>
  <si>
    <r>
      <t>Coal Generation</t>
    </r>
    <r>
      <rPr>
        <vertAlign val="superscript"/>
        <sz val="18"/>
        <color rgb="FFFF0000"/>
        <rFont val="Arial"/>
        <family val="2"/>
      </rPr>
      <t>1</t>
    </r>
  </si>
  <si>
    <t>Market Purchases</t>
  </si>
  <si>
    <t>Off System Sales</t>
  </si>
  <si>
    <t>Trimble County 1&amp; 2 IMEA/IMPA Allotment</t>
  </si>
  <si>
    <t>Trimble County 1 IMEA/IMPA Backup</t>
  </si>
  <si>
    <t>Sources / Sinks</t>
  </si>
  <si>
    <r>
      <rPr>
        <sz val="16"/>
        <color rgb="FFFF0000"/>
        <rFont val="Arial"/>
        <family val="2"/>
      </rPr>
      <t>2.</t>
    </r>
    <r>
      <rPr>
        <sz val="16"/>
        <rFont val="Arial"/>
        <family val="2"/>
      </rPr>
      <t xml:space="preserve">  All budgets on this page are averaged monthly by peak type.  Intra-month totals may differ from other reports due to budget smoothing methodology.  </t>
    </r>
  </si>
  <si>
    <t>Actual Sources vs. Sinks</t>
  </si>
  <si>
    <t>Difference</t>
  </si>
  <si>
    <r>
      <rPr>
        <sz val="16"/>
        <color rgb="FFFF0000"/>
        <rFont val="Arial"/>
        <family val="2"/>
      </rPr>
      <t>1.</t>
    </r>
    <r>
      <rPr>
        <sz val="16"/>
        <rFont val="Arial"/>
        <family val="2"/>
      </rPr>
      <t xml:space="preserve">  Coal generation (actual and budget) reflect 100% of Trimble County 1 and 2.</t>
    </r>
  </si>
  <si>
    <t xml:space="preserve">(MWh)  Forecast Native Load Sales  </t>
  </si>
  <si>
    <t xml:space="preserve">($) Forecast N.L. Energy Sales  </t>
  </si>
  <si>
    <t xml:space="preserve">Actual vs. Forecast  </t>
  </si>
  <si>
    <r>
      <t xml:space="preserve">($) Forecast Other Revenues  </t>
    </r>
    <r>
      <rPr>
        <vertAlign val="superscript"/>
        <sz val="12"/>
        <color rgb="FFFF0000"/>
        <rFont val="Arial (W1)"/>
      </rPr>
      <t>4</t>
    </r>
  </si>
  <si>
    <t>Forecast Other Revenues</t>
  </si>
  <si>
    <t xml:space="preserve"> Forecast $</t>
  </si>
  <si>
    <t xml:space="preserve">        Shaded areas denote Q2 forecast updates for July through December.</t>
  </si>
  <si>
    <t xml:space="preserve"> Forecast MWh</t>
  </si>
  <si>
    <t>Forecast Native Load</t>
  </si>
  <si>
    <t>NL Energy MWh</t>
  </si>
  <si>
    <t>NL Energy $</t>
  </si>
  <si>
    <t>NL "Other"</t>
  </si>
  <si>
    <r>
      <t>Retail Margin $/MWh   (</t>
    </r>
    <r>
      <rPr>
        <sz val="10"/>
        <color rgb="FFFF0000"/>
        <rFont val="Arial"/>
        <family val="2"/>
      </rPr>
      <t>Forecast</t>
    </r>
    <r>
      <rPr>
        <sz val="10"/>
        <color indexed="8"/>
        <rFont val="Arial"/>
        <family val="2"/>
      </rPr>
      <t>)</t>
    </r>
  </si>
  <si>
    <t>Retail Margin $/MWh   (Budget )</t>
  </si>
  <si>
    <t>Daily Native Load</t>
  </si>
  <si>
    <t>Budget NL Margin $/MWh</t>
  </si>
  <si>
    <t>FC NL Margin $/MWh</t>
  </si>
  <si>
    <t>2014 Sources (MWh)</t>
  </si>
  <si>
    <t>2014 Sinks (MWh)</t>
  </si>
  <si>
    <t>2014 Summary (MWh)</t>
  </si>
  <si>
    <t>2014 Off-System Sales Budget</t>
  </si>
  <si>
    <t>Other Revenue</t>
  </si>
  <si>
    <t xml:space="preserve">Day of </t>
  </si>
  <si>
    <r>
      <t xml:space="preserve">($) Other Revenues  </t>
    </r>
    <r>
      <rPr>
        <vertAlign val="superscript"/>
        <sz val="12"/>
        <color rgb="FFFF0000"/>
        <rFont val="Arial (W1)"/>
      </rPr>
      <t>4</t>
    </r>
  </si>
  <si>
    <r>
      <rPr>
        <sz val="12"/>
        <rFont val="Arial"/>
        <family val="2"/>
      </rPr>
      <t>($)</t>
    </r>
    <r>
      <rPr>
        <b/>
        <sz val="12"/>
        <rFont val="Arial"/>
        <family val="2"/>
      </rPr>
      <t xml:space="preserve">  Native Load Contribution    </t>
    </r>
  </si>
  <si>
    <r>
      <t xml:space="preserve">PJM BOR Rate </t>
    </r>
    <r>
      <rPr>
        <sz val="9"/>
        <rFont val="Arial"/>
        <family val="2"/>
      </rPr>
      <t>($/MWh)</t>
    </r>
  </si>
  <si>
    <r>
      <rPr>
        <sz val="14"/>
        <color indexed="10"/>
        <rFont val="Arial"/>
        <family val="2"/>
      </rPr>
      <t>2</t>
    </r>
    <r>
      <rPr>
        <sz val="12"/>
        <color indexed="10"/>
        <rFont val="Arial"/>
        <family val="2"/>
      </rPr>
      <t xml:space="preserve">    </t>
    </r>
    <r>
      <rPr>
        <sz val="12"/>
        <rFont val="Arial"/>
        <family val="2"/>
      </rPr>
      <t>Budgeted native load volume and degree day count is the daily value for the current month</t>
    </r>
  </si>
  <si>
    <t>KU</t>
  </si>
  <si>
    <t>LGE</t>
  </si>
  <si>
    <t>Actual Avg. Temp</t>
  </si>
  <si>
    <t>Month</t>
  </si>
  <si>
    <t>Season</t>
  </si>
  <si>
    <t>KU Load</t>
  </si>
  <si>
    <t>KU Load (MWh)</t>
  </si>
  <si>
    <t>LGE Load (MWh)</t>
  </si>
  <si>
    <t>LEX Temp (F)</t>
  </si>
  <si>
    <t>Lou Temps (F)</t>
  </si>
  <si>
    <t>Chart Data</t>
  </si>
  <si>
    <t>LEX Temp</t>
  </si>
  <si>
    <t>LOU Temp</t>
  </si>
  <si>
    <t>LG&amp;E Load</t>
  </si>
  <si>
    <t>Day</t>
  </si>
  <si>
    <t>LEX</t>
  </si>
  <si>
    <t>LOU</t>
  </si>
  <si>
    <t>Daily Average Temps (1991-2013)</t>
  </si>
  <si>
    <t>Cooling/Heating</t>
  </si>
  <si>
    <t>Days in month</t>
  </si>
  <si>
    <t>Heating/Cooling</t>
  </si>
  <si>
    <t>H</t>
  </si>
  <si>
    <t>C</t>
  </si>
  <si>
    <t>Avg Temps</t>
  </si>
  <si>
    <t>Temp x Days</t>
  </si>
  <si>
    <r>
      <rPr>
        <sz val="12"/>
        <rFont val="Arial"/>
        <family val="2"/>
      </rPr>
      <t>(billable estimate)</t>
    </r>
    <r>
      <rPr>
        <b/>
        <sz val="12"/>
        <rFont val="Arial"/>
        <family val="2"/>
      </rPr>
      <t xml:space="preserve">  Native Load Sales</t>
    </r>
  </si>
  <si>
    <t>Weather - Degree Days</t>
  </si>
  <si>
    <t>Temp# (°F) high</t>
  </si>
  <si>
    <t>Temp# (°F) Avg</t>
  </si>
  <si>
    <t>Temp# (°F) Low</t>
  </si>
  <si>
    <r>
      <t xml:space="preserve">Weather - Avg. Hourly Temperature </t>
    </r>
    <r>
      <rPr>
        <b/>
        <vertAlign val="superscript"/>
        <sz val="12"/>
        <color rgb="FFFF0000"/>
        <rFont val="Arial"/>
        <family val="2"/>
      </rPr>
      <t>5</t>
    </r>
  </si>
  <si>
    <r>
      <rPr>
        <sz val="14"/>
        <color rgb="FFFF0000"/>
        <rFont val="Arial"/>
        <family val="2"/>
      </rPr>
      <t xml:space="preserve">4   </t>
    </r>
    <r>
      <rPr>
        <sz val="12"/>
        <rFont val="Arial"/>
        <family val="2"/>
      </rPr>
      <t>Other Revenues includes all other revenue components (including retail customer and demand charges; ECR and DSM mechanism revenue, net of recoverable expenses;</t>
    </r>
  </si>
  <si>
    <t>ACTUAL AVG HOURLY TEMP</t>
  </si>
  <si>
    <t>BUDGET AVG HOURLY TEMP</t>
  </si>
  <si>
    <t>LEX Actual Avg Hourly Temp</t>
  </si>
  <si>
    <t>LOU Actual Avg Hourly Temp</t>
  </si>
  <si>
    <t>LEX Budget Avg Hourly Temp</t>
  </si>
  <si>
    <t>LOU Budget Avg Hourly Temp</t>
  </si>
  <si>
    <t>ACTUAL DAILY HIGH TEMP</t>
  </si>
  <si>
    <t>BUDGET DAILY HIGH TEMP</t>
  </si>
  <si>
    <t>ACTUAL DAILY LOW TEMP</t>
  </si>
  <si>
    <t>BUDGET DAILY LOW TEMP</t>
  </si>
  <si>
    <t>LEX Budget High Temp</t>
  </si>
  <si>
    <t>LOU Budget High Temp</t>
  </si>
  <si>
    <t>LEX Actual High Temp</t>
  </si>
  <si>
    <t>LOU Actual High Temp</t>
  </si>
  <si>
    <t>LEX Actual Low Temp</t>
  </si>
  <si>
    <t>LOU Actual Low Temp</t>
  </si>
  <si>
    <t>LOU Budget Low Temp</t>
  </si>
  <si>
    <t>LEX Budget Low Temp</t>
  </si>
  <si>
    <r>
      <t>5</t>
    </r>
    <r>
      <rPr>
        <sz val="14"/>
        <color rgb="FFFF0000"/>
        <rFont val="Arial"/>
        <family val="2"/>
      </rPr>
      <t xml:space="preserve">   </t>
    </r>
    <r>
      <rPr>
        <sz val="12"/>
        <rFont val="Arial"/>
        <family val="2"/>
      </rPr>
      <t>Heating Season includes January through April and November and December.  Cooling Season includes May through October.</t>
    </r>
  </si>
  <si>
    <t>Heat Season thru Prev Month</t>
  </si>
  <si>
    <t>Cool Season thru Prev Month</t>
  </si>
  <si>
    <t xml:space="preserve">(°F) Lexington Heating Season  </t>
  </si>
  <si>
    <t xml:space="preserve">(°F) Lexington Cooling Season  </t>
  </si>
  <si>
    <t xml:space="preserve">(°F)  Louisville Cooling Season  </t>
  </si>
  <si>
    <t xml:space="preserve">(°F)  Louisville Heating Season  </t>
  </si>
  <si>
    <t>Annual</t>
  </si>
  <si>
    <t>Sunday</t>
  </si>
  <si>
    <t>Monday</t>
  </si>
  <si>
    <t>Tuesday</t>
  </si>
  <si>
    <t>Wednesday</t>
  </si>
  <si>
    <t>Thursday</t>
  </si>
  <si>
    <t>Friday</t>
  </si>
  <si>
    <t>Saturday</t>
  </si>
  <si>
    <t>Budget - Current MTD</t>
  </si>
  <si>
    <t>Actual - Current MTD</t>
  </si>
  <si>
    <t>NOTE THAT LOUISIVILLE TEMPS FOR JUNE 1-19, 2014 HAVE BEEN REPLACED WITH SDF DATA (INSTEAD OF BOWMAN ("LOU") DATA) DUE TO SENSOR ERROR AT BOWMAN</t>
  </si>
  <si>
    <t xml:space="preserve">     Louisville's actual and budgeted temperature and degree-day data for June 1-19 reflect Standiford Field data due to discrepancies in recent Bowman temperature data.  </t>
  </si>
  <si>
    <t xml:space="preserve">     Louisville's data for January-May and for June 20 forward reflect Bowman Field data.</t>
  </si>
  <si>
    <t xml:space="preserve">     Native load energy sales estimates energy volume impacts (customer and demand charges are excluded)</t>
  </si>
  <si>
    <t>Lex and LOU Weather</t>
  </si>
  <si>
    <t>HDD (BOW)</t>
  </si>
  <si>
    <t>CDD (BOW)</t>
  </si>
  <si>
    <t>Actual vs. Forecast</t>
  </si>
  <si>
    <t>Budget / FC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</si>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</sst>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\ ;\(#,##0\)\ "/>
    <numFmt numFmtId="165" formatCode="#,##0.00\ ;\(#,##0.00\)\ "/>
    <numFmt numFmtId="166" formatCode="#,##0\ ;[Red]\(#,##0\)\ "/>
    <numFmt numFmtId="167" formatCode="#,##0\ ;[Red]\(#,##0\)"/>
    <numFmt numFmtId="168" formatCode="#,##0.00\ ;[Red]\(#,##0.00\)"/>
    <numFmt numFmtId="169" formatCode="m/d"/>
    <numFmt numFmtId="170" formatCode="0.00000_)"/>
    <numFmt numFmtId="171" formatCode="&quot;$&quot;#,##0.00"/>
    <numFmt numFmtId="172" formatCode="&quot;$&quot;#,##0"/>
    <numFmt numFmtId="173" formatCode="mm/dd/yy"/>
    <numFmt numFmtId="174" formatCode="0_)"/>
    <numFmt numFmtId="175" formatCode="00000"/>
    <numFmt numFmtId="176" formatCode="#,##0.0\ ;\(#,##0.0\)\ "/>
    <numFmt numFmtId="177" formatCode="_(* #,##0_);_(* \(#,##0\);_(* &quot;-&quot;??_);_(@_)"/>
    <numFmt numFmtId="178" formatCode="#,##0.0000_);[Red]\(#,##0.0000\)"/>
    <numFmt numFmtId="179" formatCode="0.0000%"/>
    <numFmt numFmtId="180" formatCode="0.00000000"/>
    <numFmt numFmtId="181" formatCode="_(* #,##0.0_);_(* \(#,##0.0\);_(* &quot;-&quot;??_);_(@_)"/>
    <numFmt numFmtId="182" formatCode="0.0"/>
    <numFmt numFmtId="183" formatCode="[$-409]mmmm\ d\,\ yyyy;@"/>
    <numFmt numFmtId="184" formatCode="_(* #,##0.00000_);_(* \(#,##0.00000\);_(* &quot;-&quot;??_);_(@_)"/>
    <numFmt numFmtId="185" formatCode="0%;\(#%\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Helv"/>
    </font>
    <font>
      <b/>
      <sz val="8"/>
      <name val="Helv"/>
    </font>
    <font>
      <sz val="10"/>
      <name val="helv"/>
    </font>
    <font>
      <sz val="9"/>
      <name val="Helv"/>
    </font>
    <font>
      <sz val="9"/>
      <color indexed="8"/>
      <name val="Helv"/>
    </font>
    <font>
      <sz val="9"/>
      <color indexed="12"/>
      <name val="Helv"/>
    </font>
    <font>
      <b/>
      <sz val="12"/>
      <name val="Helv"/>
    </font>
    <font>
      <b/>
      <sz val="10"/>
      <name val="Helv"/>
    </font>
    <font>
      <sz val="10"/>
      <name val="Arial"/>
      <family val="2"/>
    </font>
    <font>
      <b/>
      <sz val="10"/>
      <color indexed="17"/>
      <name val="Helv"/>
    </font>
    <font>
      <b/>
      <sz val="10"/>
      <color indexed="12"/>
      <name val="Arial"/>
      <family val="2"/>
    </font>
    <font>
      <sz val="10"/>
      <color indexed="8"/>
      <name val="Helv"/>
    </font>
    <font>
      <sz val="10"/>
      <color indexed="12"/>
      <name val="Helv"/>
    </font>
    <font>
      <sz val="10"/>
      <color indexed="50"/>
      <name val="Helv"/>
    </font>
    <font>
      <b/>
      <sz val="10"/>
      <color indexed="8"/>
      <name val="Helv"/>
    </font>
    <font>
      <sz val="10"/>
      <name val="Arial"/>
      <family val="2"/>
    </font>
    <font>
      <sz val="10"/>
      <color indexed="17"/>
      <name val="Helv"/>
    </font>
    <font>
      <sz val="8"/>
      <color indexed="12"/>
      <name val="Helv"/>
    </font>
    <font>
      <b/>
      <sz val="14"/>
      <name val="Helv"/>
    </font>
    <font>
      <sz val="12"/>
      <name val="Helv"/>
    </font>
    <font>
      <u/>
      <sz val="10"/>
      <name val="helv"/>
    </font>
    <font>
      <sz val="11"/>
      <name val="Helv"/>
    </font>
    <font>
      <b/>
      <sz val="11"/>
      <name val="Helv"/>
    </font>
    <font>
      <sz val="10"/>
      <color indexed="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9"/>
      <color indexed="21"/>
      <name val="Helv"/>
    </font>
    <font>
      <b/>
      <sz val="12"/>
      <name val="Arial"/>
      <family val="2"/>
    </font>
    <font>
      <u/>
      <sz val="12"/>
      <name val="Arial"/>
      <family val="2"/>
    </font>
    <font>
      <u/>
      <sz val="10"/>
      <color indexed="12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sz val="10"/>
      <name val="Univers Cd (W1)"/>
      <family val="2"/>
    </font>
    <font>
      <sz val="10"/>
      <color indexed="48"/>
      <name val="Helv"/>
    </font>
    <font>
      <sz val="10"/>
      <color indexed="48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sz val="12"/>
      <color indexed="10"/>
      <name val="Arial"/>
      <family val="2"/>
    </font>
    <font>
      <sz val="18"/>
      <name val="Arial (W1)"/>
      <family val="2"/>
    </font>
    <font>
      <vertAlign val="superscript"/>
      <sz val="14"/>
      <color rgb="FFFF0000"/>
      <name val="Arial (W1)"/>
    </font>
    <font>
      <vertAlign val="superscript"/>
      <sz val="12"/>
      <color rgb="FFFF0000"/>
      <name val="Arial (W1)"/>
    </font>
    <font>
      <sz val="14"/>
      <color rgb="FFFF0000"/>
      <name val="Arial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0"/>
      <color theme="1"/>
      <name val="Tahoma"/>
      <family val="2"/>
    </font>
    <font>
      <sz val="20"/>
      <color indexed="22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8"/>
      <color rgb="FFFF0000"/>
      <name val="Arial"/>
      <family val="2"/>
    </font>
    <font>
      <b/>
      <sz val="11"/>
      <name val="Arial"/>
      <family val="2"/>
    </font>
    <font>
      <vertAlign val="superscript"/>
      <sz val="16"/>
      <color rgb="FFFF0000"/>
      <name val="Arial"/>
      <family val="2"/>
    </font>
    <font>
      <b/>
      <sz val="20"/>
      <name val="Arial"/>
      <family val="2"/>
    </font>
    <font>
      <b/>
      <sz val="20"/>
      <color indexed="22"/>
      <name val="Arial"/>
      <family val="2"/>
    </font>
    <font>
      <b/>
      <sz val="10"/>
      <color indexed="22"/>
      <name val="Arial"/>
      <family val="2"/>
    </font>
    <font>
      <b/>
      <sz val="26"/>
      <name val="Arial"/>
      <family val="2"/>
    </font>
    <font>
      <b/>
      <u/>
      <sz val="16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b/>
      <sz val="14"/>
      <color rgb="FF0070C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2"/>
      <color rgb="FFFF0000"/>
      <name val="Arial"/>
      <family val="2"/>
    </font>
    <font>
      <i/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4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7" fontId="0" fillId="0" borderId="0" xfId="0" applyNumberFormat="1"/>
    <xf numFmtId="0" fontId="9" fillId="0" borderId="0" xfId="0" applyFont="1"/>
    <xf numFmtId="0" fontId="11" fillId="0" borderId="0" xfId="3" applyFont="1"/>
    <xf numFmtId="0" fontId="12" fillId="0" borderId="0" xfId="3" applyFont="1" applyAlignment="1">
      <alignment horizontal="centerContinuous"/>
    </xf>
    <xf numFmtId="0" fontId="11" fillId="0" borderId="0" xfId="3" applyFont="1" applyAlignment="1">
      <alignment horizontal="centerContinuous"/>
    </xf>
    <xf numFmtId="0" fontId="13" fillId="0" borderId="0" xfId="3" applyFont="1"/>
    <xf numFmtId="1" fontId="13" fillId="0" borderId="0" xfId="3" applyNumberFormat="1" applyFont="1" applyAlignment="1">
      <alignment horizontal="right"/>
    </xf>
    <xf numFmtId="17" fontId="13" fillId="0" borderId="0" xfId="3" applyNumberFormat="1" applyFont="1" applyAlignment="1">
      <alignment horizontal="right"/>
    </xf>
    <xf numFmtId="0" fontId="11" fillId="0" borderId="0" xfId="3" applyFont="1" applyAlignment="1">
      <alignment horizontal="right"/>
    </xf>
    <xf numFmtId="0" fontId="14" fillId="0" borderId="0" xfId="3" quotePrefix="1" applyFont="1" applyAlignment="1">
      <alignment horizontal="left"/>
    </xf>
    <xf numFmtId="0" fontId="14" fillId="0" borderId="0" xfId="3" applyFont="1"/>
    <xf numFmtId="0" fontId="11" fillId="0" borderId="0" xfId="3" quotePrefix="1" applyFont="1" applyAlignment="1">
      <alignment horizontal="left"/>
    </xf>
    <xf numFmtId="0" fontId="11" fillId="0" borderId="0" xfId="3" applyFont="1" applyAlignment="1">
      <alignment horizontal="left"/>
    </xf>
    <xf numFmtId="0" fontId="13" fillId="0" borderId="0" xfId="3" quotePrefix="1" applyFont="1" applyAlignment="1">
      <alignment horizontal="left"/>
    </xf>
    <xf numFmtId="166" fontId="11" fillId="0" borderId="0" xfId="3" applyNumberFormat="1" applyFont="1"/>
    <xf numFmtId="166" fontId="11" fillId="0" borderId="0" xfId="3" quotePrefix="1" applyNumberFormat="1" applyFont="1" applyAlignment="1">
      <alignment horizontal="left"/>
    </xf>
    <xf numFmtId="0" fontId="14" fillId="0" borderId="0" xfId="3" applyFont="1" applyAlignment="1">
      <alignment horizontal="left"/>
    </xf>
    <xf numFmtId="14" fontId="11" fillId="0" borderId="0" xfId="3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37" fontId="16" fillId="0" borderId="0" xfId="0" applyNumberFormat="1" applyFont="1" applyAlignment="1">
      <alignment horizontal="center"/>
    </xf>
    <xf numFmtId="0" fontId="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0" fillId="0" borderId="0" xfId="0" applyFont="1"/>
    <xf numFmtId="0" fontId="10" fillId="0" borderId="0" xfId="0" applyFont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70" fontId="25" fillId="0" borderId="0" xfId="0" applyNumberFormat="1" applyFont="1" applyAlignment="1">
      <alignment horizontal="centerContinuous"/>
    </xf>
    <xf numFmtId="3" fontId="25" fillId="0" borderId="0" xfId="0" applyNumberFormat="1" applyFont="1" applyAlignment="1">
      <alignment horizontal="centerContinuous"/>
    </xf>
    <xf numFmtId="171" fontId="19" fillId="0" borderId="0" xfId="0" applyNumberFormat="1" applyFont="1"/>
    <xf numFmtId="0" fontId="25" fillId="0" borderId="0" xfId="0" applyFont="1"/>
    <xf numFmtId="0" fontId="26" fillId="0" borderId="0" xfId="0" applyFont="1" applyFill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19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7" fontId="19" fillId="0" borderId="0" xfId="0" applyNumberFormat="1" applyFont="1" applyAlignment="1">
      <alignment horizontal="center"/>
    </xf>
    <xf numFmtId="5" fontId="19" fillId="0" borderId="0" xfId="0" applyNumberFormat="1" applyFont="1" applyAlignment="1">
      <alignment horizontal="center"/>
    </xf>
    <xf numFmtId="5" fontId="24" fillId="0" borderId="0" xfId="0" applyNumberFormat="1" applyFont="1" applyAlignment="1">
      <alignment horizontal="center"/>
    </xf>
    <xf numFmtId="172" fontId="29" fillId="0" borderId="0" xfId="0" applyNumberFormat="1" applyFont="1" applyAlignment="1">
      <alignment horizontal="center"/>
    </xf>
    <xf numFmtId="171" fontId="19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72" fontId="19" fillId="0" borderId="0" xfId="0" applyNumberFormat="1" applyFont="1" applyAlignment="1">
      <alignment horizontal="center"/>
    </xf>
    <xf numFmtId="37" fontId="27" fillId="0" borderId="0" xfId="0" applyNumberFormat="1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7" fontId="19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5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3" fontId="29" fillId="0" borderId="0" xfId="0" applyNumberFormat="1" applyFont="1" applyAlignment="1">
      <alignment horizontal="center"/>
    </xf>
    <xf numFmtId="171" fontId="19" fillId="0" borderId="0" xfId="0" applyNumberFormat="1" applyFont="1" applyFill="1" applyAlignment="1">
      <alignment horizontal="center"/>
    </xf>
    <xf numFmtId="172" fontId="31" fillId="0" borderId="0" xfId="0" applyNumberFormat="1" applyFont="1" applyAlignment="1">
      <alignment horizontal="center"/>
    </xf>
    <xf numFmtId="0" fontId="32" fillId="0" borderId="0" xfId="0" applyFont="1"/>
    <xf numFmtId="1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72" fontId="33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37" fontId="19" fillId="0" borderId="0" xfId="1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0" fillId="0" borderId="0" xfId="0" applyAlignment="1"/>
    <xf numFmtId="0" fontId="34" fillId="0" borderId="0" xfId="0" applyFont="1" applyAlignment="1">
      <alignment horizontal="center"/>
    </xf>
    <xf numFmtId="172" fontId="17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3" fontId="0" fillId="0" borderId="0" xfId="0" applyNumberFormat="1" applyBorder="1" applyAlignment="1">
      <alignment horizontal="center"/>
    </xf>
    <xf numFmtId="0" fontId="20" fillId="0" borderId="0" xfId="0" applyFont="1" applyAlignment="1"/>
    <xf numFmtId="0" fontId="22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3" fontId="39" fillId="0" borderId="0" xfId="0" applyNumberFormat="1" applyFont="1" applyFill="1" applyAlignment="1"/>
    <xf numFmtId="171" fontId="18" fillId="0" borderId="0" xfId="0" applyNumberFormat="1" applyFont="1" applyAlignment="1">
      <alignment horizontal="center"/>
    </xf>
    <xf numFmtId="0" fontId="19" fillId="0" borderId="0" xfId="0" applyFont="1" applyFill="1" applyAlignment="1">
      <alignment horizontal="left"/>
    </xf>
    <xf numFmtId="0" fontId="30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72" fontId="19" fillId="0" borderId="0" xfId="0" applyNumberFormat="1" applyFont="1" applyFill="1" applyAlignment="1">
      <alignment horizontal="center"/>
    </xf>
    <xf numFmtId="0" fontId="0" fillId="0" borderId="0" xfId="0" applyFill="1"/>
    <xf numFmtId="14" fontId="38" fillId="0" borderId="0" xfId="0" applyNumberFormat="1" applyFont="1" applyAlignment="1">
      <alignment horizontal="center"/>
    </xf>
    <xf numFmtId="3" fontId="38" fillId="0" borderId="0" xfId="0" applyNumberFormat="1" applyFont="1" applyAlignment="1">
      <alignment horizontal="center"/>
    </xf>
    <xf numFmtId="3" fontId="38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9" fontId="38" fillId="0" borderId="0" xfId="0" applyNumberFormat="1" applyFont="1" applyAlignment="1">
      <alignment horizontal="center"/>
    </xf>
    <xf numFmtId="173" fontId="0" fillId="0" borderId="0" xfId="0" applyNumberFormat="1"/>
    <xf numFmtId="0" fontId="0" fillId="0" borderId="0" xfId="0" applyBorder="1"/>
    <xf numFmtId="0" fontId="38" fillId="0" borderId="0" xfId="0" applyNumberFormat="1" applyFont="1" applyAlignment="1">
      <alignment horizontal="center"/>
    </xf>
    <xf numFmtId="3" fontId="38" fillId="2" borderId="0" xfId="0" applyNumberFormat="1" applyFont="1" applyFill="1" applyAlignment="1">
      <alignment horizontal="center"/>
    </xf>
    <xf numFmtId="9" fontId="38" fillId="0" borderId="0" xfId="0" applyNumberFormat="1" applyFont="1" applyFill="1" applyAlignment="1">
      <alignment horizontal="center"/>
    </xf>
    <xf numFmtId="3" fontId="38" fillId="2" borderId="0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3" fontId="38" fillId="2" borderId="4" xfId="0" applyNumberFormat="1" applyFont="1" applyFill="1" applyBorder="1" applyAlignment="1">
      <alignment horizont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NumberFormat="1" applyFont="1" applyFill="1" applyBorder="1" applyAlignment="1">
      <alignment horizontal="center"/>
    </xf>
    <xf numFmtId="9" fontId="38" fillId="0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74" fontId="40" fillId="0" borderId="0" xfId="0" applyNumberFormat="1" applyFont="1" applyFill="1" applyBorder="1" applyAlignment="1">
      <alignment horizontal="center" wrapText="1"/>
    </xf>
    <xf numFmtId="174" fontId="40" fillId="0" borderId="0" xfId="0" applyNumberFormat="1" applyFont="1" applyFill="1" applyBorder="1" applyAlignment="1">
      <alignment horizontal="right" wrapText="1"/>
    </xf>
    <xf numFmtId="0" fontId="40" fillId="0" borderId="0" xfId="0" applyFont="1" applyFill="1" applyBorder="1" applyAlignment="1">
      <alignment horizontal="right" wrapText="1"/>
    </xf>
    <xf numFmtId="3" fontId="7" fillId="0" borderId="0" xfId="0" applyNumberFormat="1" applyFont="1" applyFill="1" applyAlignment="1">
      <alignment horizontal="center"/>
    </xf>
    <xf numFmtId="9" fontId="35" fillId="0" borderId="0" xfId="0" applyNumberFormat="1" applyFont="1" applyAlignment="1">
      <alignment horizontal="center"/>
    </xf>
    <xf numFmtId="3" fontId="42" fillId="0" borderId="0" xfId="0" applyNumberFormat="1" applyFont="1" applyFill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174" fontId="43" fillId="0" borderId="0" xfId="0" applyNumberFormat="1" applyFont="1" applyFill="1" applyBorder="1" applyAlignment="1">
      <alignment horizontal="center" wrapText="1"/>
    </xf>
    <xf numFmtId="0" fontId="42" fillId="0" borderId="0" xfId="0" applyFont="1" applyFill="1"/>
    <xf numFmtId="3" fontId="38" fillId="0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37" fontId="10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0" fontId="44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37" fontId="44" fillId="0" borderId="0" xfId="0" applyNumberFormat="1" applyFont="1" applyBorder="1" applyAlignment="1">
      <alignment horizontal="center"/>
    </xf>
    <xf numFmtId="3" fontId="38" fillId="0" borderId="8" xfId="0" applyNumberFormat="1" applyFont="1" applyFill="1" applyBorder="1" applyAlignment="1">
      <alignment horizontal="center"/>
    </xf>
    <xf numFmtId="0" fontId="0" fillId="0" borderId="8" xfId="0" applyBorder="1"/>
    <xf numFmtId="3" fontId="38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38" fillId="0" borderId="8" xfId="0" applyNumberFormat="1" applyFont="1" applyBorder="1" applyAlignment="1">
      <alignment horizontal="center"/>
    </xf>
    <xf numFmtId="0" fontId="10" fillId="0" borderId="8" xfId="0" applyFont="1" applyBorder="1"/>
    <xf numFmtId="174" fontId="40" fillId="0" borderId="8" xfId="0" applyNumberFormat="1" applyFont="1" applyFill="1" applyBorder="1" applyAlignment="1">
      <alignment horizontal="center" wrapText="1"/>
    </xf>
    <xf numFmtId="3" fontId="19" fillId="0" borderId="0" xfId="0" applyNumberFormat="1" applyFont="1" applyBorder="1" applyAlignment="1">
      <alignment horizontal="center"/>
    </xf>
    <xf numFmtId="172" fontId="28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3" fontId="29" fillId="0" borderId="0" xfId="0" applyNumberFormat="1" applyFont="1" applyBorder="1" applyAlignment="1">
      <alignment horizontal="center"/>
    </xf>
    <xf numFmtId="3" fontId="29" fillId="0" borderId="0" xfId="0" applyNumberFormat="1" applyFont="1" applyBorder="1"/>
    <xf numFmtId="37" fontId="10" fillId="0" borderId="0" xfId="0" applyNumberFormat="1" applyFont="1" applyFill="1" applyAlignment="1">
      <alignment horizontal="center"/>
    </xf>
    <xf numFmtId="3" fontId="28" fillId="0" borderId="0" xfId="0" applyNumberFormat="1" applyFont="1" applyBorder="1" applyAlignment="1">
      <alignment horizontal="center"/>
    </xf>
    <xf numFmtId="172" fontId="29" fillId="0" borderId="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7" fontId="44" fillId="0" borderId="0" xfId="0" applyNumberFormat="1" applyFont="1" applyFill="1" applyBorder="1" applyAlignment="1">
      <alignment horizontal="center"/>
    </xf>
    <xf numFmtId="5" fontId="19" fillId="0" borderId="0" xfId="0" applyNumberFormat="1" applyFont="1" applyFill="1" applyAlignment="1">
      <alignment horizontal="center"/>
    </xf>
    <xf numFmtId="0" fontId="32" fillId="0" borderId="0" xfId="0" applyFont="1" applyFill="1"/>
    <xf numFmtId="3" fontId="26" fillId="0" borderId="0" xfId="0" applyNumberFormat="1" applyFont="1" applyFill="1" applyBorder="1" applyAlignment="1">
      <alignment horizontal="centerContinuous"/>
    </xf>
    <xf numFmtId="171" fontId="26" fillId="0" borderId="0" xfId="0" applyNumberFormat="1" applyFont="1" applyFill="1" applyAlignment="1">
      <alignment horizontal="centerContinuous"/>
    </xf>
    <xf numFmtId="49" fontId="32" fillId="0" borderId="0" xfId="2" applyNumberFormat="1" applyFont="1" applyFill="1" applyAlignment="1">
      <alignment horizontal="center"/>
    </xf>
    <xf numFmtId="0" fontId="46" fillId="0" borderId="0" xfId="0" applyFont="1"/>
    <xf numFmtId="3" fontId="10" fillId="0" borderId="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10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2" fontId="25" fillId="0" borderId="0" xfId="0" applyNumberFormat="1" applyFont="1" applyAlignment="1">
      <alignment horizontal="center"/>
    </xf>
    <xf numFmtId="0" fontId="10" fillId="0" borderId="6" xfId="0" applyFont="1" applyBorder="1" applyAlignment="1">
      <alignment horizontal="center"/>
    </xf>
    <xf numFmtId="3" fontId="44" fillId="0" borderId="0" xfId="0" applyNumberFormat="1" applyFont="1" applyAlignment="1">
      <alignment horizontal="center"/>
    </xf>
    <xf numFmtId="169" fontId="10" fillId="0" borderId="0" xfId="0" applyNumberFormat="1" applyFont="1" applyAlignment="1">
      <alignment horizontal="center"/>
    </xf>
    <xf numFmtId="37" fontId="10" fillId="0" borderId="0" xfId="0" applyNumberFormat="1" applyFont="1" applyBorder="1" applyAlignment="1">
      <alignment horizontal="center"/>
    </xf>
    <xf numFmtId="0" fontId="27" fillId="0" borderId="0" xfId="0" applyFont="1"/>
    <xf numFmtId="0" fontId="50" fillId="0" borderId="0" xfId="0" applyFont="1"/>
    <xf numFmtId="37" fontId="44" fillId="0" borderId="0" xfId="0" applyNumberFormat="1" applyFont="1"/>
    <xf numFmtId="0" fontId="44" fillId="0" borderId="0" xfId="0" applyFont="1"/>
    <xf numFmtId="39" fontId="44" fillId="0" borderId="0" xfId="0" applyNumberFormat="1" applyFont="1"/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/>
    <xf numFmtId="2" fontId="10" fillId="0" borderId="0" xfId="0" applyNumberFormat="1" applyFont="1"/>
    <xf numFmtId="0" fontId="25" fillId="0" borderId="0" xfId="0" applyFont="1" applyFill="1"/>
    <xf numFmtId="37" fontId="44" fillId="2" borderId="0" xfId="0" applyNumberFormat="1" applyFont="1" applyFill="1" applyBorder="1" applyAlignment="1">
      <alignment horizontal="center"/>
    </xf>
    <xf numFmtId="37" fontId="10" fillId="2" borderId="0" xfId="0" applyNumberFormat="1" applyFont="1" applyFill="1" applyBorder="1" applyAlignment="1">
      <alignment horizontal="center"/>
    </xf>
    <xf numFmtId="5" fontId="29" fillId="2" borderId="0" xfId="0" applyNumberFormat="1" applyFont="1" applyFill="1" applyBorder="1" applyAlignment="1">
      <alignment horizontal="center"/>
    </xf>
    <xf numFmtId="5" fontId="29" fillId="2" borderId="0" xfId="0" applyNumberFormat="1" applyFont="1" applyFill="1" applyAlignment="1">
      <alignment horizontal="center"/>
    </xf>
    <xf numFmtId="7" fontId="29" fillId="2" borderId="0" xfId="0" applyNumberFormat="1" applyFont="1" applyFill="1" applyAlignment="1">
      <alignment horizont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44" fillId="0" borderId="0" xfId="0" applyNumberFormat="1" applyFont="1" applyAlignment="1">
      <alignment horizontal="center"/>
    </xf>
    <xf numFmtId="4" fontId="44" fillId="0" borderId="0" xfId="0" applyNumberFormat="1" applyFont="1"/>
    <xf numFmtId="3" fontId="24" fillId="4" borderId="0" xfId="0" applyNumberFormat="1" applyFont="1" applyFill="1" applyAlignment="1">
      <alignment horizontal="center"/>
    </xf>
    <xf numFmtId="3" fontId="19" fillId="4" borderId="8" xfId="0" applyNumberFormat="1" applyFont="1" applyFill="1" applyBorder="1" applyAlignment="1">
      <alignment horizontal="center"/>
    </xf>
    <xf numFmtId="39" fontId="25" fillId="4" borderId="0" xfId="0" applyNumberFormat="1" applyFont="1" applyFill="1" applyAlignment="1">
      <alignment horizontal="center"/>
    </xf>
    <xf numFmtId="2" fontId="25" fillId="4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Fill="1"/>
    <xf numFmtId="0" fontId="41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38" fontId="15" fillId="0" borderId="0" xfId="0" applyNumberFormat="1" applyFont="1" applyFill="1" applyAlignment="1">
      <alignment horizontal="left"/>
    </xf>
    <xf numFmtId="0" fontId="48" fillId="0" borderId="0" xfId="0" applyFont="1" applyFill="1" applyAlignment="1">
      <alignment horizontal="left"/>
    </xf>
    <xf numFmtId="38" fontId="15" fillId="0" borderId="10" xfId="0" applyNumberFormat="1" applyFont="1" applyFill="1" applyBorder="1" applyAlignment="1">
      <alignment horizontal="right"/>
    </xf>
    <xf numFmtId="38" fontId="15" fillId="0" borderId="11" xfId="0" applyNumberFormat="1" applyFont="1" applyFill="1" applyBorder="1" applyAlignment="1">
      <alignment horizontal="right"/>
    </xf>
    <xf numFmtId="38" fontId="15" fillId="0" borderId="12" xfId="0" applyNumberFormat="1" applyFont="1" applyFill="1" applyBorder="1" applyAlignment="1">
      <alignment horizontal="right"/>
    </xf>
    <xf numFmtId="38" fontId="15" fillId="0" borderId="1" xfId="0" applyNumberFormat="1" applyFont="1" applyFill="1" applyBorder="1" applyAlignment="1">
      <alignment horizontal="right"/>
    </xf>
    <xf numFmtId="38" fontId="15" fillId="0" borderId="0" xfId="0" applyNumberFormat="1" applyFont="1" applyFill="1" applyBorder="1" applyAlignment="1">
      <alignment horizontal="right"/>
    </xf>
    <xf numFmtId="38" fontId="15" fillId="0" borderId="4" xfId="0" applyNumberFormat="1" applyFont="1" applyFill="1" applyBorder="1" applyAlignment="1">
      <alignment horizontal="right"/>
    </xf>
    <xf numFmtId="175" fontId="15" fillId="0" borderId="4" xfId="0" applyNumberFormat="1" applyFont="1" applyFill="1" applyBorder="1" applyAlignment="1">
      <alignment horizontal="right"/>
    </xf>
    <xf numFmtId="38" fontId="15" fillId="0" borderId="13" xfId="0" applyNumberFormat="1" applyFont="1" applyFill="1" applyBorder="1" applyAlignment="1">
      <alignment horizontal="right"/>
    </xf>
    <xf numFmtId="38" fontId="15" fillId="0" borderId="8" xfId="0" applyNumberFormat="1" applyFont="1" applyFill="1" applyBorder="1" applyAlignment="1">
      <alignment horizontal="right"/>
    </xf>
    <xf numFmtId="175" fontId="15" fillId="0" borderId="1" xfId="0" applyNumberFormat="1" applyFont="1" applyFill="1" applyBorder="1" applyAlignment="1">
      <alignment horizontal="right"/>
    </xf>
    <xf numFmtId="175" fontId="15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9" fontId="15" fillId="0" borderId="4" xfId="0" applyNumberFormat="1" applyFont="1" applyFill="1" applyBorder="1" applyAlignment="1">
      <alignment horizontal="right"/>
    </xf>
    <xf numFmtId="9" fontId="15" fillId="0" borderId="4" xfId="4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center"/>
    </xf>
    <xf numFmtId="9" fontId="15" fillId="0" borderId="14" xfId="4" applyNumberFormat="1" applyFont="1" applyFill="1" applyBorder="1" applyAlignment="1">
      <alignment horizontal="right"/>
    </xf>
    <xf numFmtId="38" fontId="15" fillId="0" borderId="0" xfId="0" applyNumberFormat="1" applyFont="1" applyFill="1" applyBorder="1" applyAlignment="1">
      <alignment horizontal="center"/>
    </xf>
    <xf numFmtId="38" fontId="15" fillId="0" borderId="0" xfId="0" applyNumberFormat="1" applyFont="1" applyFill="1" applyBorder="1"/>
    <xf numFmtId="38" fontId="15" fillId="0" borderId="0" xfId="4" applyNumberFormat="1" applyFont="1" applyFill="1" applyBorder="1" applyAlignment="1">
      <alignment horizontal="right"/>
    </xf>
    <xf numFmtId="40" fontId="15" fillId="0" borderId="0" xfId="0" applyNumberFormat="1" applyFont="1" applyFill="1" applyBorder="1" applyAlignment="1">
      <alignment horizontal="right"/>
    </xf>
    <xf numFmtId="40" fontId="15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horizontal="center"/>
    </xf>
    <xf numFmtId="38" fontId="0" fillId="0" borderId="0" xfId="0" applyNumberFormat="1"/>
    <xf numFmtId="172" fontId="29" fillId="2" borderId="0" xfId="0" applyNumberFormat="1" applyFont="1" applyFill="1" applyAlignment="1">
      <alignment horizontal="center"/>
    </xf>
    <xf numFmtId="5" fontId="19" fillId="4" borderId="0" xfId="0" applyNumberFormat="1" applyFont="1" applyFill="1" applyAlignment="1">
      <alignment horizontal="center"/>
    </xf>
    <xf numFmtId="172" fontId="19" fillId="2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3" fontId="47" fillId="0" borderId="0" xfId="0" applyNumberFormat="1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72" fontId="21" fillId="0" borderId="0" xfId="0" applyNumberFormat="1" applyFont="1" applyFill="1" applyBorder="1" applyAlignment="1">
      <alignment horizontal="center"/>
    </xf>
    <xf numFmtId="37" fontId="19" fillId="0" borderId="0" xfId="0" applyNumberFormat="1" applyFont="1" applyFill="1" applyAlignment="1">
      <alignment horizontal="center"/>
    </xf>
    <xf numFmtId="0" fontId="19" fillId="0" borderId="0" xfId="0" applyFont="1" applyFill="1"/>
    <xf numFmtId="0" fontId="36" fillId="0" borderId="0" xfId="0" applyFont="1" applyFill="1"/>
    <xf numFmtId="9" fontId="15" fillId="0" borderId="12" xfId="4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center"/>
    </xf>
    <xf numFmtId="9" fontId="38" fillId="0" borderId="8" xfId="0" applyNumberFormat="1" applyFont="1" applyFill="1" applyBorder="1" applyAlignment="1">
      <alignment horizontal="center"/>
    </xf>
    <xf numFmtId="3" fontId="28" fillId="0" borderId="10" xfId="0" applyNumberFormat="1" applyFont="1" applyBorder="1" applyAlignment="1"/>
    <xf numFmtId="3" fontId="28" fillId="0" borderId="11" xfId="0" applyNumberFormat="1" applyFont="1" applyBorder="1" applyAlignment="1"/>
    <xf numFmtId="172" fontId="28" fillId="0" borderId="11" xfId="0" applyNumberFormat="1" applyFont="1" applyBorder="1" applyAlignment="1"/>
    <xf numFmtId="3" fontId="28" fillId="0" borderId="1" xfId="0" applyNumberFormat="1" applyFont="1" applyBorder="1" applyAlignment="1"/>
    <xf numFmtId="3" fontId="28" fillId="0" borderId="0" xfId="0" applyNumberFormat="1" applyFont="1" applyBorder="1" applyAlignment="1"/>
    <xf numFmtId="172" fontId="28" fillId="0" borderId="0" xfId="0" applyNumberFormat="1" applyFont="1" applyBorder="1" applyAlignment="1"/>
    <xf numFmtId="3" fontId="28" fillId="0" borderId="13" xfId="0" applyNumberFormat="1" applyFont="1" applyBorder="1" applyAlignment="1"/>
    <xf numFmtId="3" fontId="28" fillId="0" borderId="8" xfId="0" applyNumberFormat="1" applyFont="1" applyBorder="1" applyAlignment="1"/>
    <xf numFmtId="172" fontId="28" fillId="0" borderId="8" xfId="0" applyNumberFormat="1" applyFont="1" applyBorder="1" applyAlignment="1"/>
    <xf numFmtId="3" fontId="19" fillId="0" borderId="8" xfId="0" applyNumberFormat="1" applyFont="1" applyBorder="1" applyAlignment="1">
      <alignment horizontal="center"/>
    </xf>
    <xf numFmtId="3" fontId="44" fillId="2" borderId="0" xfId="0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/>
    </xf>
    <xf numFmtId="171" fontId="29" fillId="2" borderId="0" xfId="0" applyNumberFormat="1" applyFont="1" applyFill="1" applyAlignment="1">
      <alignment horizontal="center"/>
    </xf>
    <xf numFmtId="3" fontId="29" fillId="2" borderId="0" xfId="0" applyNumberFormat="1" applyFont="1" applyFill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172" fontId="54" fillId="0" borderId="11" xfId="0" applyNumberFormat="1" applyFont="1" applyFill="1" applyBorder="1" applyAlignment="1"/>
    <xf numFmtId="172" fontId="54" fillId="0" borderId="0" xfId="0" applyNumberFormat="1" applyFont="1" applyFill="1" applyBorder="1" applyAlignment="1"/>
    <xf numFmtId="172" fontId="54" fillId="0" borderId="8" xfId="0" applyNumberFormat="1" applyFont="1" applyFill="1" applyBorder="1" applyAlignment="1"/>
    <xf numFmtId="164" fontId="0" fillId="0" borderId="0" xfId="0" applyNumberFormat="1"/>
    <xf numFmtId="3" fontId="44" fillId="0" borderId="1" xfId="0" applyNumberFormat="1" applyFont="1" applyFill="1" applyBorder="1" applyAlignment="1" applyProtection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7" fontId="10" fillId="0" borderId="5" xfId="0" applyNumberFormat="1" applyFont="1" applyBorder="1" applyAlignment="1">
      <alignment horizontal="center"/>
    </xf>
    <xf numFmtId="39" fontId="16" fillId="0" borderId="0" xfId="0" applyNumberFormat="1" applyFont="1" applyAlignment="1">
      <alignment horizontal="center"/>
    </xf>
    <xf numFmtId="3" fontId="29" fillId="0" borderId="3" xfId="0" applyNumberFormat="1" applyFont="1" applyBorder="1" applyAlignment="1"/>
    <xf numFmtId="3" fontId="29" fillId="0" borderId="5" xfId="0" applyNumberFormat="1" applyFont="1" applyBorder="1" applyAlignment="1"/>
    <xf numFmtId="3" fontId="29" fillId="0" borderId="15" xfId="0" applyNumberFormat="1" applyFont="1" applyBorder="1" applyAlignment="1"/>
    <xf numFmtId="0" fontId="8" fillId="4" borderId="9" xfId="0" applyFont="1" applyFill="1" applyBorder="1" applyAlignment="1">
      <alignment horizontal="center"/>
    </xf>
    <xf numFmtId="39" fontId="55" fillId="0" borderId="0" xfId="0" applyNumberFormat="1" applyFont="1" applyAlignment="1">
      <alignment horizontal="center"/>
    </xf>
    <xf numFmtId="5" fontId="25" fillId="0" borderId="0" xfId="0" applyNumberFormat="1" applyFont="1" applyFill="1" applyAlignment="1">
      <alignment horizontal="center"/>
    </xf>
    <xf numFmtId="172" fontId="29" fillId="4" borderId="0" xfId="0" applyNumberFormat="1" applyFont="1" applyFill="1" applyBorder="1" applyAlignment="1">
      <alignment horizontal="center"/>
    </xf>
    <xf numFmtId="9" fontId="15" fillId="0" borderId="0" xfId="4" applyNumberFormat="1" applyFont="1" applyFill="1" applyBorder="1" applyAlignment="1">
      <alignment horizontal="right"/>
    </xf>
    <xf numFmtId="3" fontId="29" fillId="0" borderId="3" xfId="0" applyNumberFormat="1" applyFont="1" applyBorder="1" applyAlignment="1">
      <alignment horizontal="center"/>
    </xf>
    <xf numFmtId="3" fontId="29" fillId="0" borderId="5" xfId="0" applyNumberFormat="1" applyFont="1" applyBorder="1" applyAlignment="1">
      <alignment horizontal="center"/>
    </xf>
    <xf numFmtId="3" fontId="29" fillId="0" borderId="15" xfId="0" applyNumberFormat="1" applyFont="1" applyBorder="1" applyAlignment="1">
      <alignment horizontal="center"/>
    </xf>
    <xf numFmtId="3" fontId="0" fillId="0" borderId="0" xfId="0" applyNumberFormat="1"/>
    <xf numFmtId="2" fontId="44" fillId="0" borderId="0" xfId="0" applyNumberFormat="1" applyFont="1"/>
    <xf numFmtId="0" fontId="38" fillId="0" borderId="0" xfId="0" applyFont="1" applyFill="1" applyBorder="1"/>
    <xf numFmtId="0" fontId="8" fillId="4" borderId="7" xfId="0" applyFont="1" applyFill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7" fontId="44" fillId="0" borderId="3" xfId="0" applyNumberFormat="1" applyFont="1" applyBorder="1" applyAlignment="1">
      <alignment horizontal="center"/>
    </xf>
    <xf numFmtId="3" fontId="54" fillId="0" borderId="0" xfId="0" applyNumberFormat="1" applyFont="1" applyBorder="1" applyAlignment="1"/>
    <xf numFmtId="3" fontId="54" fillId="0" borderId="8" xfId="0" applyNumberFormat="1" applyFont="1" applyBorder="1" applyAlignment="1"/>
    <xf numFmtId="173" fontId="0" fillId="0" borderId="0" xfId="0" applyNumberFormat="1" applyBorder="1" applyAlignment="1">
      <alignment horizontal="center"/>
    </xf>
    <xf numFmtId="177" fontId="0" fillId="0" borderId="0" xfId="1" applyNumberFormat="1" applyFont="1" applyAlignment="1">
      <alignment horizontal="center"/>
    </xf>
    <xf numFmtId="3" fontId="19" fillId="4" borderId="0" xfId="0" applyNumberFormat="1" applyFont="1" applyFill="1" applyAlignment="1">
      <alignment horizontal="center"/>
    </xf>
    <xf numFmtId="171" fontId="19" fillId="0" borderId="0" xfId="0" applyNumberFormat="1" applyFont="1" applyFill="1"/>
    <xf numFmtId="3" fontId="25" fillId="0" borderId="0" xfId="0" applyNumberFormat="1" applyFont="1" applyFill="1" applyAlignment="1">
      <alignment horizontal="center"/>
    </xf>
    <xf numFmtId="3" fontId="56" fillId="0" borderId="0" xfId="0" applyNumberFormat="1" applyFont="1" applyAlignment="1">
      <alignment horizontal="center"/>
    </xf>
    <xf numFmtId="0" fontId="56" fillId="0" borderId="0" xfId="0" applyFont="1" applyAlignment="1">
      <alignment horizontal="center"/>
    </xf>
    <xf numFmtId="14" fontId="49" fillId="5" borderId="1" xfId="0" applyNumberFormat="1" applyFont="1" applyFill="1" applyBorder="1" applyAlignment="1">
      <alignment horizontal="right"/>
    </xf>
    <xf numFmtId="0" fontId="49" fillId="5" borderId="0" xfId="0" applyFont="1" applyFill="1" applyBorder="1" applyAlignment="1">
      <alignment horizontal="right"/>
    </xf>
    <xf numFmtId="14" fontId="49" fillId="6" borderId="1" xfId="0" applyNumberFormat="1" applyFont="1" applyFill="1" applyBorder="1" applyAlignment="1">
      <alignment horizontal="right"/>
    </xf>
    <xf numFmtId="0" fontId="49" fillId="6" borderId="0" xfId="0" applyFont="1" applyFill="1" applyBorder="1" applyAlignment="1">
      <alignment horizontal="right"/>
    </xf>
    <xf numFmtId="14" fontId="49" fillId="3" borderId="1" xfId="0" applyNumberFormat="1" applyFont="1" applyFill="1" applyBorder="1" applyAlignment="1">
      <alignment horizontal="right"/>
    </xf>
    <xf numFmtId="0" fontId="49" fillId="3" borderId="0" xfId="0" applyFont="1" applyFill="1" applyBorder="1" applyAlignment="1">
      <alignment horizontal="right"/>
    </xf>
    <xf numFmtId="0" fontId="15" fillId="5" borderId="4" xfId="0" applyFont="1" applyFill="1" applyBorder="1" applyAlignment="1">
      <alignment horizontal="right"/>
    </xf>
    <xf numFmtId="0" fontId="15" fillId="6" borderId="4" xfId="0" applyFont="1" applyFill="1" applyBorder="1" applyAlignment="1">
      <alignment horizontal="right"/>
    </xf>
    <xf numFmtId="0" fontId="15" fillId="3" borderId="4" xfId="0" applyFont="1" applyFill="1" applyBorder="1" applyAlignment="1">
      <alignment horizontal="right"/>
    </xf>
    <xf numFmtId="0" fontId="52" fillId="0" borderId="0" xfId="0" applyFont="1"/>
    <xf numFmtId="3" fontId="16" fillId="0" borderId="0" xfId="0" applyNumberFormat="1" applyFont="1" applyFill="1" applyAlignment="1">
      <alignment horizontal="center"/>
    </xf>
    <xf numFmtId="0" fontId="9" fillId="0" borderId="0" xfId="0" applyFont="1" applyFill="1"/>
    <xf numFmtId="0" fontId="45" fillId="0" borderId="0" xfId="0" applyFont="1" applyFill="1" applyBorder="1"/>
    <xf numFmtId="3" fontId="40" fillId="0" borderId="16" xfId="0" applyNumberFormat="1" applyFont="1" applyFill="1" applyBorder="1" applyAlignment="1">
      <alignment horizontal="center" wrapText="1"/>
    </xf>
    <xf numFmtId="3" fontId="40" fillId="0" borderId="17" xfId="0" applyNumberFormat="1" applyFont="1" applyFill="1" applyBorder="1" applyAlignment="1">
      <alignment horizontal="center" wrapText="1"/>
    </xf>
    <xf numFmtId="3" fontId="40" fillId="0" borderId="18" xfId="0" applyNumberFormat="1" applyFont="1" applyFill="1" applyBorder="1" applyAlignment="1">
      <alignment horizontal="center" wrapText="1"/>
    </xf>
    <xf numFmtId="3" fontId="40" fillId="0" borderId="19" xfId="0" applyNumberFormat="1" applyFont="1" applyFill="1" applyBorder="1" applyAlignment="1">
      <alignment horizontal="center" wrapText="1"/>
    </xf>
    <xf numFmtId="177" fontId="0" fillId="0" borderId="0" xfId="0" applyNumberFormat="1" applyAlignment="1">
      <alignment horizontal="center"/>
    </xf>
    <xf numFmtId="177" fontId="0" fillId="0" borderId="0" xfId="1" applyNumberFormat="1" applyFont="1" applyFill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76" fontId="38" fillId="0" borderId="0" xfId="0" applyNumberFormat="1" applyFont="1" applyFill="1" applyBorder="1"/>
    <xf numFmtId="0" fontId="10" fillId="0" borderId="0" xfId="0" applyFont="1" applyBorder="1"/>
    <xf numFmtId="0" fontId="51" fillId="0" borderId="0" xfId="0" applyFont="1" applyFill="1" applyBorder="1"/>
    <xf numFmtId="0" fontId="42" fillId="0" borderId="0" xfId="0" applyFont="1" applyFill="1" applyBorder="1"/>
    <xf numFmtId="40" fontId="0" fillId="0" borderId="0" xfId="0" applyNumberFormat="1"/>
    <xf numFmtId="0" fontId="0" fillId="0" borderId="10" xfId="0" applyBorder="1"/>
    <xf numFmtId="0" fontId="0" fillId="0" borderId="11" xfId="0" applyBorder="1"/>
    <xf numFmtId="3" fontId="44" fillId="0" borderId="5" xfId="0" applyNumberFormat="1" applyFont="1" applyFill="1" applyBorder="1" applyAlignment="1" applyProtection="1">
      <alignment horizontal="center"/>
    </xf>
    <xf numFmtId="3" fontId="54" fillId="0" borderId="0" xfId="0" applyNumberFormat="1" applyFont="1" applyFill="1" applyBorder="1" applyAlignment="1"/>
    <xf numFmtId="37" fontId="44" fillId="0" borderId="1" xfId="0" applyNumberFormat="1" applyFont="1" applyFill="1" applyBorder="1" applyAlignment="1">
      <alignment horizontal="center"/>
    </xf>
    <xf numFmtId="37" fontId="10" fillId="0" borderId="8" xfId="0" applyNumberFormat="1" applyFont="1" applyFill="1" applyBorder="1" applyAlignment="1">
      <alignment horizontal="center"/>
    </xf>
    <xf numFmtId="3" fontId="40" fillId="0" borderId="6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 applyProtection="1">
      <alignment horizontal="center"/>
    </xf>
    <xf numFmtId="1" fontId="38" fillId="0" borderId="8" xfId="0" applyNumberFormat="1" applyFont="1" applyFill="1" applyBorder="1" applyAlignment="1">
      <alignment horizontal="center"/>
    </xf>
    <xf numFmtId="0" fontId="25" fillId="0" borderId="8" xfId="0" applyFont="1" applyFill="1" applyBorder="1"/>
    <xf numFmtId="37" fontId="0" fillId="0" borderId="0" xfId="0" applyNumberFormat="1" applyBorder="1" applyAlignment="1">
      <alignment horizontal="center"/>
    </xf>
    <xf numFmtId="3" fontId="38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2" fillId="0" borderId="8" xfId="0" applyFont="1" applyFill="1" applyBorder="1"/>
    <xf numFmtId="37" fontId="55" fillId="0" borderId="8" xfId="0" applyNumberFormat="1" applyFont="1" applyBorder="1" applyAlignment="1">
      <alignment horizontal="center"/>
    </xf>
    <xf numFmtId="3" fontId="38" fillId="2" borderId="8" xfId="0" applyNumberFormat="1" applyFont="1" applyFill="1" applyBorder="1" applyAlignment="1">
      <alignment horizontal="center"/>
    </xf>
    <xf numFmtId="37" fontId="55" fillId="0" borderId="1" xfId="0" applyNumberFormat="1" applyFont="1" applyBorder="1" applyAlignment="1">
      <alignment horizontal="center"/>
    </xf>
    <xf numFmtId="37" fontId="55" fillId="0" borderId="13" xfId="0" applyNumberFormat="1" applyFont="1" applyBorder="1" applyAlignment="1">
      <alignment horizontal="center"/>
    </xf>
    <xf numFmtId="37" fontId="55" fillId="0" borderId="0" xfId="0" applyNumberFormat="1" applyFont="1" applyBorder="1" applyAlignment="1">
      <alignment horizontal="center"/>
    </xf>
    <xf numFmtId="37" fontId="10" fillId="0" borderId="8" xfId="0" applyNumberFormat="1" applyFon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40" fillId="0" borderId="20" xfId="0" applyNumberFormat="1" applyFont="1" applyFill="1" applyBorder="1" applyAlignment="1">
      <alignment horizontal="center" wrapText="1"/>
    </xf>
    <xf numFmtId="3" fontId="40" fillId="0" borderId="21" xfId="0" applyNumberFormat="1" applyFont="1" applyFill="1" applyBorder="1" applyAlignment="1">
      <alignment horizontal="center" wrapText="1"/>
    </xf>
    <xf numFmtId="3" fontId="40" fillId="0" borderId="22" xfId="0" applyNumberFormat="1" applyFont="1" applyFill="1" applyBorder="1" applyAlignment="1">
      <alignment horizontal="center" wrapText="1"/>
    </xf>
    <xf numFmtId="2" fontId="10" fillId="0" borderId="8" xfId="0" applyNumberFormat="1" applyFont="1" applyBorder="1"/>
    <xf numFmtId="37" fontId="10" fillId="0" borderId="15" xfId="0" applyNumberFormat="1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38" fillId="0" borderId="8" xfId="0" applyNumberFormat="1" applyFont="1" applyBorder="1" applyAlignment="1">
      <alignment horizontal="center"/>
    </xf>
    <xf numFmtId="3" fontId="38" fillId="0" borderId="2" xfId="0" applyNumberFormat="1" applyFont="1" applyBorder="1" applyAlignment="1">
      <alignment horizontal="center"/>
    </xf>
    <xf numFmtId="3" fontId="38" fillId="0" borderId="10" xfId="0" applyNumberFormat="1" applyFont="1" applyBorder="1" applyAlignment="1">
      <alignment horizontal="center"/>
    </xf>
    <xf numFmtId="3" fontId="38" fillId="0" borderId="11" xfId="0" applyNumberFormat="1" applyFont="1" applyBorder="1" applyAlignment="1">
      <alignment horizontal="center"/>
    </xf>
    <xf numFmtId="3" fontId="38" fillId="0" borderId="12" xfId="0" applyNumberFormat="1" applyFont="1" applyBorder="1" applyAlignment="1">
      <alignment horizontal="center"/>
    </xf>
    <xf numFmtId="37" fontId="55" fillId="0" borderId="4" xfId="0" applyNumberFormat="1" applyFont="1" applyBorder="1" applyAlignment="1">
      <alignment horizontal="center"/>
    </xf>
    <xf numFmtId="37" fontId="55" fillId="0" borderId="14" xfId="0" applyNumberFormat="1" applyFont="1" applyBorder="1" applyAlignment="1">
      <alignment horizontal="center"/>
    </xf>
    <xf numFmtId="3" fontId="38" fillId="2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38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12" xfId="0" applyBorder="1"/>
    <xf numFmtId="0" fontId="19" fillId="0" borderId="0" xfId="0" applyFont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3" fontId="54" fillId="0" borderId="0" xfId="0" applyNumberFormat="1" applyFont="1" applyBorder="1" applyAlignment="1">
      <alignment horizontal="center"/>
    </xf>
    <xf numFmtId="3" fontId="38" fillId="2" borderId="13" xfId="0" applyNumberFormat="1" applyFont="1" applyFill="1" applyBorder="1" applyAlignment="1">
      <alignment horizontal="center"/>
    </xf>
    <xf numFmtId="3" fontId="38" fillId="2" borderId="14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7" fillId="0" borderId="0" xfId="0" applyFont="1"/>
    <xf numFmtId="3" fontId="10" fillId="0" borderId="0" xfId="0" applyNumberFormat="1" applyFont="1" applyFill="1" applyBorder="1" applyAlignment="1">
      <alignment horizontal="center"/>
    </xf>
    <xf numFmtId="3" fontId="29" fillId="0" borderId="5" xfId="0" applyNumberFormat="1" applyFont="1" applyFill="1" applyBorder="1" applyAlignment="1">
      <alignment horizontal="center"/>
    </xf>
    <xf numFmtId="3" fontId="54" fillId="0" borderId="0" xfId="0" applyNumberFormat="1" applyFont="1" applyFill="1" applyBorder="1" applyAlignment="1">
      <alignment horizontal="center"/>
    </xf>
    <xf numFmtId="180" fontId="19" fillId="0" borderId="0" xfId="0" applyNumberFormat="1" applyFont="1" applyAlignment="1">
      <alignment horizontal="center"/>
    </xf>
    <xf numFmtId="3" fontId="40" fillId="0" borderId="23" xfId="0" applyNumberFormat="1" applyFont="1" applyFill="1" applyBorder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39" fontId="55" fillId="0" borderId="8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right"/>
    </xf>
    <xf numFmtId="0" fontId="48" fillId="0" borderId="5" xfId="0" applyFont="1" applyFill="1" applyBorder="1" applyAlignment="1">
      <alignment horizontal="right"/>
    </xf>
    <xf numFmtId="0" fontId="15" fillId="0" borderId="15" xfId="0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3" fontId="10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38" fillId="0" borderId="0" xfId="0" applyNumberFormat="1" applyFont="1" applyFill="1" applyAlignment="1">
      <alignment horizontal="center"/>
    </xf>
    <xf numFmtId="3" fontId="40" fillId="0" borderId="0" xfId="0" applyNumberFormat="1" applyFont="1" applyFill="1" applyBorder="1" applyAlignment="1">
      <alignment horizontal="center" wrapText="1"/>
    </xf>
    <xf numFmtId="3" fontId="40" fillId="0" borderId="8" xfId="0" applyNumberFormat="1" applyFont="1" applyFill="1" applyBorder="1" applyAlignment="1">
      <alignment horizontal="center" wrapText="1"/>
    </xf>
    <xf numFmtId="3" fontId="10" fillId="0" borderId="8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" fontId="0" fillId="0" borderId="8" xfId="0" applyNumberFormat="1" applyFill="1" applyBorder="1" applyAlignment="1">
      <alignment horizontal="right"/>
    </xf>
    <xf numFmtId="3" fontId="38" fillId="0" borderId="0" xfId="0" applyNumberFormat="1" applyFont="1" applyFill="1" applyBorder="1" applyAlignment="1">
      <alignment horizontal="right"/>
    </xf>
    <xf numFmtId="3" fontId="38" fillId="0" borderId="0" xfId="0" applyNumberFormat="1" applyFont="1" applyFill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0" xfId="0" applyFont="1" applyFill="1" applyAlignment="1">
      <alignment horizontal="center"/>
    </xf>
    <xf numFmtId="37" fontId="55" fillId="0" borderId="10" xfId="0" applyNumberFormat="1" applyFont="1" applyBorder="1" applyAlignment="1">
      <alignment horizontal="center"/>
    </xf>
    <xf numFmtId="37" fontId="55" fillId="0" borderId="11" xfId="0" applyNumberFormat="1" applyFont="1" applyBorder="1" applyAlignment="1">
      <alignment horizontal="center"/>
    </xf>
    <xf numFmtId="3" fontId="16" fillId="8" borderId="6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3" fontId="25" fillId="0" borderId="0" xfId="0" applyNumberFormat="1" applyFont="1" applyBorder="1" applyAlignment="1">
      <alignment horizontal="center"/>
    </xf>
    <xf numFmtId="177" fontId="25" fillId="0" borderId="0" xfId="1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64" fillId="0" borderId="0" xfId="0" applyFont="1" applyFill="1"/>
    <xf numFmtId="0" fontId="64" fillId="0" borderId="0" xfId="0" applyFont="1" applyFill="1" applyAlignment="1">
      <alignment horizontal="right"/>
    </xf>
    <xf numFmtId="177" fontId="64" fillId="0" borderId="0" xfId="0" applyNumberFormat="1" applyFont="1" applyFill="1"/>
    <xf numFmtId="38" fontId="64" fillId="0" borderId="0" xfId="0" applyNumberFormat="1" applyFont="1" applyFill="1" applyAlignment="1">
      <alignment horizontal="right"/>
    </xf>
    <xf numFmtId="177" fontId="64" fillId="0" borderId="0" xfId="1" applyNumberFormat="1" applyFont="1" applyFill="1" applyAlignment="1">
      <alignment horizontal="right"/>
    </xf>
    <xf numFmtId="177" fontId="64" fillId="0" borderId="8" xfId="1" applyNumberFormat="1" applyFont="1" applyFill="1" applyBorder="1" applyAlignment="1">
      <alignment horizontal="right"/>
    </xf>
    <xf numFmtId="177" fontId="64" fillId="0" borderId="8" xfId="0" applyNumberFormat="1" applyFont="1" applyFill="1" applyBorder="1"/>
    <xf numFmtId="177" fontId="64" fillId="0" borderId="4" xfId="1" applyNumberFormat="1" applyFont="1" applyFill="1" applyBorder="1" applyAlignment="1">
      <alignment horizontal="right"/>
    </xf>
    <xf numFmtId="0" fontId="64" fillId="0" borderId="4" xfId="0" applyFont="1" applyFill="1" applyBorder="1" applyAlignment="1">
      <alignment horizontal="right"/>
    </xf>
    <xf numFmtId="177" fontId="64" fillId="0" borderId="14" xfId="1" applyNumberFormat="1" applyFont="1" applyFill="1" applyBorder="1" applyAlignment="1">
      <alignment horizontal="right"/>
    </xf>
    <xf numFmtId="3" fontId="42" fillId="0" borderId="0" xfId="0" applyNumberFormat="1" applyFont="1" applyFill="1" applyAlignment="1">
      <alignment horizontal="center"/>
    </xf>
    <xf numFmtId="0" fontId="44" fillId="0" borderId="8" xfId="0" applyFont="1" applyBorder="1" applyAlignment="1">
      <alignment horizontal="center"/>
    </xf>
    <xf numFmtId="0" fontId="45" fillId="9" borderId="0" xfId="0" applyFont="1" applyFill="1"/>
    <xf numFmtId="37" fontId="55" fillId="0" borderId="24" xfId="0" applyNumberFormat="1" applyFont="1" applyBorder="1" applyAlignment="1">
      <alignment horizontal="center"/>
    </xf>
    <xf numFmtId="37" fontId="55" fillId="0" borderId="25" xfId="0" applyNumberFormat="1" applyFont="1" applyBorder="1" applyAlignment="1">
      <alignment horizontal="center"/>
    </xf>
    <xf numFmtId="4" fontId="0" fillId="0" borderId="0" xfId="0" applyNumberFormat="1" applyBorder="1"/>
    <xf numFmtId="0" fontId="7" fillId="0" borderId="6" xfId="0" applyFont="1" applyBorder="1" applyAlignment="1">
      <alignment horizontal="center"/>
    </xf>
    <xf numFmtId="3" fontId="38" fillId="0" borderId="1" xfId="0" applyNumberFormat="1" applyFont="1" applyFill="1" applyBorder="1" applyAlignment="1">
      <alignment horizontal="center"/>
    </xf>
    <xf numFmtId="3" fontId="38" fillId="0" borderId="4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 applyFill="1"/>
    <xf numFmtId="0" fontId="0" fillId="0" borderId="0" xfId="0" applyAlignment="1">
      <alignment horizontal="center"/>
    </xf>
    <xf numFmtId="3" fontId="16" fillId="0" borderId="0" xfId="0" applyNumberFormat="1" applyFont="1" applyFill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81" fontId="64" fillId="0" borderId="8" xfId="1" applyNumberFormat="1" applyFont="1" applyFill="1" applyBorder="1" applyAlignment="1">
      <alignment horizontal="right"/>
    </xf>
    <xf numFmtId="0" fontId="67" fillId="0" borderId="0" xfId="0" applyFont="1" applyFill="1"/>
    <xf numFmtId="0" fontId="68" fillId="0" borderId="0" xfId="0" applyFont="1" applyFill="1"/>
    <xf numFmtId="0" fontId="68" fillId="0" borderId="0" xfId="0" applyFont="1"/>
    <xf numFmtId="0" fontId="15" fillId="0" borderId="0" xfId="0" applyFont="1" applyFill="1"/>
    <xf numFmtId="10" fontId="64" fillId="0" borderId="0" xfId="4" applyNumberFormat="1" applyFont="1" applyFill="1"/>
    <xf numFmtId="38" fontId="7" fillId="0" borderId="0" xfId="0" applyNumberFormat="1" applyFont="1" applyFill="1" applyBorder="1"/>
    <xf numFmtId="0" fontId="70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72" fillId="0" borderId="0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74" fillId="0" borderId="0" xfId="0" applyFont="1" applyFill="1"/>
    <xf numFmtId="0" fontId="15" fillId="0" borderId="0" xfId="0" applyFont="1" applyFill="1" applyAlignment="1">
      <alignment horizontal="center"/>
    </xf>
    <xf numFmtId="38" fontId="15" fillId="0" borderId="10" xfId="0" applyNumberFormat="1" applyFont="1" applyFill="1" applyBorder="1" applyAlignment="1">
      <alignment horizontal="center"/>
    </xf>
    <xf numFmtId="38" fontId="15" fillId="0" borderId="11" xfId="0" applyNumberFormat="1" applyFont="1" applyFill="1" applyBorder="1" applyAlignment="1">
      <alignment horizontal="center"/>
    </xf>
    <xf numFmtId="38" fontId="15" fillId="0" borderId="4" xfId="0" applyNumberFormat="1" applyFont="1" applyFill="1" applyBorder="1" applyAlignment="1">
      <alignment horizontal="center"/>
    </xf>
    <xf numFmtId="38" fontId="16" fillId="0" borderId="0" xfId="0" applyNumberFormat="1" applyFont="1" applyFill="1" applyBorder="1" applyAlignment="1">
      <alignment horizontal="center"/>
    </xf>
    <xf numFmtId="38" fontId="15" fillId="9" borderId="0" xfId="0" applyNumberFormat="1" applyFont="1" applyFill="1" applyBorder="1" applyAlignment="1">
      <alignment horizontal="center"/>
    </xf>
    <xf numFmtId="38" fontId="15" fillId="0" borderId="1" xfId="0" applyNumberFormat="1" applyFont="1" applyFill="1" applyBorder="1" applyAlignment="1">
      <alignment horizontal="center"/>
    </xf>
    <xf numFmtId="38" fontId="15" fillId="0" borderId="13" xfId="0" applyNumberFormat="1" applyFont="1" applyFill="1" applyBorder="1" applyAlignment="1">
      <alignment horizontal="center"/>
    </xf>
    <xf numFmtId="38" fontId="15" fillId="0" borderId="8" xfId="0" applyNumberFormat="1" applyFont="1" applyFill="1" applyBorder="1" applyAlignment="1">
      <alignment horizontal="center"/>
    </xf>
    <xf numFmtId="38" fontId="15" fillId="0" borderId="14" xfId="0" applyNumberFormat="1" applyFont="1" applyFill="1" applyBorder="1" applyAlignment="1">
      <alignment horizontal="center"/>
    </xf>
    <xf numFmtId="5" fontId="7" fillId="0" borderId="0" xfId="0" applyNumberFormat="1" applyFont="1" applyFill="1" applyBorder="1"/>
    <xf numFmtId="38" fontId="16" fillId="9" borderId="0" xfId="0" applyNumberFormat="1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38" fontId="16" fillId="0" borderId="10" xfId="0" applyNumberFormat="1" applyFont="1" applyFill="1" applyBorder="1" applyAlignment="1">
      <alignment horizontal="center"/>
    </xf>
    <xf numFmtId="38" fontId="16" fillId="0" borderId="11" xfId="0" applyNumberFormat="1" applyFont="1" applyFill="1" applyBorder="1" applyAlignment="1">
      <alignment horizontal="center"/>
    </xf>
    <xf numFmtId="38" fontId="16" fillId="0" borderId="1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2" borderId="0" xfId="0" applyFont="1" applyFill="1"/>
    <xf numFmtId="38" fontId="16" fillId="0" borderId="0" xfId="0" applyNumberFormat="1" applyFont="1" applyFill="1" applyBorder="1"/>
    <xf numFmtId="38" fontId="16" fillId="0" borderId="0" xfId="0" applyNumberFormat="1" applyFont="1" applyFill="1"/>
    <xf numFmtId="38" fontId="16" fillId="9" borderId="0" xfId="0" applyNumberFormat="1" applyFont="1" applyFill="1"/>
    <xf numFmtId="38" fontId="7" fillId="0" borderId="0" xfId="0" applyNumberFormat="1" applyFont="1" applyFill="1"/>
    <xf numFmtId="178" fontId="7" fillId="0" borderId="0" xfId="0" applyNumberFormat="1" applyFont="1" applyFill="1" applyBorder="1"/>
    <xf numFmtId="177" fontId="16" fillId="0" borderId="0" xfId="1" applyNumberFormat="1" applyFont="1" applyFill="1" applyBorder="1"/>
    <xf numFmtId="10" fontId="15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/>
    <xf numFmtId="177" fontId="7" fillId="0" borderId="0" xfId="0" applyNumberFormat="1" applyFont="1" applyFill="1" applyBorder="1"/>
    <xf numFmtId="179" fontId="15" fillId="0" borderId="0" xfId="0" applyNumberFormat="1" applyFont="1" applyFill="1" applyBorder="1" applyAlignment="1">
      <alignment horizontal="center"/>
    </xf>
    <xf numFmtId="9" fontId="41" fillId="0" borderId="0" xfId="1" applyNumberFormat="1" applyFont="1" applyFill="1"/>
    <xf numFmtId="38" fontId="15" fillId="0" borderId="0" xfId="0" applyNumberFormat="1" applyFont="1" applyFill="1"/>
    <xf numFmtId="9" fontId="15" fillId="0" borderId="0" xfId="0" applyNumberFormat="1" applyFont="1" applyFill="1" applyBorder="1" applyAlignment="1">
      <alignment horizontal="center"/>
    </xf>
    <xf numFmtId="177" fontId="16" fillId="0" borderId="0" xfId="1" applyNumberFormat="1" applyFont="1" applyFill="1"/>
    <xf numFmtId="177" fontId="15" fillId="0" borderId="0" xfId="0" applyNumberFormat="1" applyFont="1" applyFill="1" applyBorder="1" applyAlignment="1">
      <alignment horizontal="center"/>
    </xf>
    <xf numFmtId="0" fontId="75" fillId="0" borderId="0" xfId="0" applyFont="1" applyFill="1"/>
    <xf numFmtId="0" fontId="76" fillId="0" borderId="0" xfId="0" applyFont="1" applyFill="1" applyAlignment="1">
      <alignment horizontal="center"/>
    </xf>
    <xf numFmtId="0" fontId="7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38" fontId="48" fillId="0" borderId="0" xfId="0" applyNumberFormat="1" applyFont="1" applyFill="1" applyBorder="1" applyAlignment="1">
      <alignment horizontal="center"/>
    </xf>
    <xf numFmtId="5" fontId="48" fillId="0" borderId="0" xfId="0" applyNumberFormat="1" applyFont="1" applyFill="1" applyBorder="1"/>
    <xf numFmtId="38" fontId="48" fillId="9" borderId="0" xfId="0" applyNumberFormat="1" applyFont="1" applyFill="1" applyBorder="1" applyAlignment="1">
      <alignment horizontal="center"/>
    </xf>
    <xf numFmtId="0" fontId="70" fillId="0" borderId="0" xfId="0" applyFont="1" applyFill="1" applyAlignment="1">
      <alignment horizontal="right"/>
    </xf>
    <xf numFmtId="177" fontId="70" fillId="0" borderId="0" xfId="1" applyNumberFormat="1" applyFont="1" applyFill="1" applyAlignment="1">
      <alignment horizontal="right"/>
    </xf>
    <xf numFmtId="177" fontId="70" fillId="0" borderId="4" xfId="1" applyNumberFormat="1" applyFont="1" applyFill="1" applyBorder="1" applyAlignment="1">
      <alignment horizontal="right"/>
    </xf>
    <xf numFmtId="177" fontId="70" fillId="0" borderId="0" xfId="0" applyNumberFormat="1" applyFont="1" applyFill="1"/>
    <xf numFmtId="10" fontId="70" fillId="0" borderId="0" xfId="4" applyNumberFormat="1" applyFont="1" applyFill="1"/>
    <xf numFmtId="0" fontId="64" fillId="0" borderId="0" xfId="0" applyFont="1" applyFill="1" applyAlignment="1">
      <alignment horizontal="left"/>
    </xf>
    <xf numFmtId="0" fontId="64" fillId="0" borderId="0" xfId="0" applyFont="1" applyFill="1" applyAlignment="1">
      <alignment horizontal="left" indent="1"/>
    </xf>
    <xf numFmtId="0" fontId="70" fillId="0" borderId="0" xfId="0" applyFont="1" applyFill="1" applyAlignment="1">
      <alignment horizontal="left"/>
    </xf>
    <xf numFmtId="0" fontId="70" fillId="0" borderId="4" xfId="0" applyFont="1" applyFill="1" applyBorder="1" applyAlignment="1">
      <alignment horizontal="right"/>
    </xf>
    <xf numFmtId="0" fontId="70" fillId="0" borderId="0" xfId="0" applyFont="1" applyFill="1"/>
    <xf numFmtId="177" fontId="70" fillId="0" borderId="0" xfId="0" applyNumberFormat="1" applyFont="1" applyFill="1" applyAlignment="1">
      <alignment horizontal="right"/>
    </xf>
    <xf numFmtId="177" fontId="70" fillId="0" borderId="4" xfId="0" applyNumberFormat="1" applyFont="1" applyFill="1" applyBorder="1" applyAlignment="1">
      <alignment horizontal="right"/>
    </xf>
    <xf numFmtId="0" fontId="78" fillId="0" borderId="0" xfId="0" applyFont="1" applyFill="1" applyAlignment="1">
      <alignment horizontal="right"/>
    </xf>
    <xf numFmtId="0" fontId="7" fillId="0" borderId="26" xfId="0" applyFont="1" applyFill="1" applyBorder="1"/>
    <xf numFmtId="0" fontId="7" fillId="0" borderId="27" xfId="0" applyFont="1" applyFill="1" applyBorder="1"/>
    <xf numFmtId="0" fontId="68" fillId="0" borderId="0" xfId="0" applyFont="1" applyFill="1" applyBorder="1"/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4" fillId="0" borderId="0" xfId="0" applyFont="1" applyFill="1" applyBorder="1"/>
    <xf numFmtId="0" fontId="7" fillId="0" borderId="0" xfId="0" applyFont="1" applyBorder="1"/>
    <xf numFmtId="38" fontId="15" fillId="0" borderId="12" xfId="0" applyNumberFormat="1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7" fontId="2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7" fontId="7" fillId="0" borderId="10" xfId="0" applyNumberFormat="1" applyFont="1" applyBorder="1" applyAlignment="1">
      <alignment horizontal="center"/>
    </xf>
    <xf numFmtId="37" fontId="7" fillId="0" borderId="11" xfId="0" applyNumberFormat="1" applyFont="1" applyBorder="1" applyAlignment="1">
      <alignment horizontal="center"/>
    </xf>
    <xf numFmtId="37" fontId="7" fillId="0" borderId="12" xfId="0" applyNumberFormat="1" applyFont="1" applyBorder="1" applyAlignment="1">
      <alignment horizontal="center"/>
    </xf>
    <xf numFmtId="37" fontId="7" fillId="0" borderId="1" xfId="0" applyNumberFormat="1" applyFont="1" applyBorder="1" applyAlignment="1">
      <alignment horizontal="center"/>
    </xf>
    <xf numFmtId="37" fontId="7" fillId="0" borderId="0" xfId="0" applyNumberFormat="1" applyFont="1" applyBorder="1" applyAlignment="1">
      <alignment horizontal="center"/>
    </xf>
    <xf numFmtId="37" fontId="7" fillId="0" borderId="4" xfId="0" applyNumberFormat="1" applyFont="1" applyBorder="1" applyAlignment="1">
      <alignment horizontal="center"/>
    </xf>
    <xf numFmtId="37" fontId="7" fillId="0" borderId="13" xfId="0" applyNumberFormat="1" applyFont="1" applyBorder="1" applyAlignment="1">
      <alignment horizontal="center"/>
    </xf>
    <xf numFmtId="37" fontId="7" fillId="0" borderId="8" xfId="0" applyNumberFormat="1" applyFont="1" applyBorder="1" applyAlignment="1">
      <alignment horizontal="center"/>
    </xf>
    <xf numFmtId="37" fontId="7" fillId="0" borderId="14" xfId="0" applyNumberFormat="1" applyFont="1" applyBorder="1" applyAlignment="1">
      <alignment horizontal="center"/>
    </xf>
    <xf numFmtId="37" fontId="7" fillId="0" borderId="0" xfId="0" applyNumberFormat="1" applyFont="1"/>
    <xf numFmtId="39" fontId="7" fillId="0" borderId="0" xfId="0" applyNumberFormat="1" applyFont="1" applyBorder="1" applyAlignment="1">
      <alignment horizontal="center"/>
    </xf>
    <xf numFmtId="2" fontId="0" fillId="0" borderId="0" xfId="0" applyNumberFormat="1"/>
    <xf numFmtId="7" fontId="0" fillId="0" borderId="0" xfId="0" applyNumberFormat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10" borderId="5" xfId="0" applyFont="1" applyFill="1" applyBorder="1" applyAlignment="1">
      <alignment horizontal="right"/>
    </xf>
    <xf numFmtId="38" fontId="15" fillId="10" borderId="1" xfId="0" applyNumberFormat="1" applyFont="1" applyFill="1" applyBorder="1" applyAlignment="1">
      <alignment horizontal="right"/>
    </xf>
    <xf numFmtId="38" fontId="15" fillId="10" borderId="0" xfId="0" applyNumberFormat="1" applyFont="1" applyFill="1" applyBorder="1" applyAlignment="1">
      <alignment horizontal="right"/>
    </xf>
    <xf numFmtId="9" fontId="15" fillId="10" borderId="4" xfId="4" applyNumberFormat="1" applyFont="1" applyFill="1" applyBorder="1" applyAlignment="1">
      <alignment horizontal="right"/>
    </xf>
    <xf numFmtId="9" fontId="15" fillId="10" borderId="0" xfId="4" applyNumberFormat="1" applyFont="1" applyFill="1" applyBorder="1" applyAlignment="1">
      <alignment horizontal="right"/>
    </xf>
    <xf numFmtId="9" fontId="15" fillId="10" borderId="0" xfId="0" applyNumberFormat="1" applyFont="1" applyFill="1" applyBorder="1" applyAlignment="1">
      <alignment horizontal="right"/>
    </xf>
    <xf numFmtId="9" fontId="15" fillId="10" borderId="4" xfId="0" applyNumberFormat="1" applyFont="1" applyFill="1" applyBorder="1" applyAlignment="1">
      <alignment horizontal="right"/>
    </xf>
    <xf numFmtId="0" fontId="15" fillId="10" borderId="15" xfId="0" applyFont="1" applyFill="1" applyBorder="1" applyAlignment="1">
      <alignment horizontal="right"/>
    </xf>
    <xf numFmtId="38" fontId="15" fillId="10" borderId="13" xfId="0" applyNumberFormat="1" applyFont="1" applyFill="1" applyBorder="1" applyAlignment="1">
      <alignment horizontal="right"/>
    </xf>
    <xf numFmtId="38" fontId="15" fillId="10" borderId="8" xfId="0" applyNumberFormat="1" applyFont="1" applyFill="1" applyBorder="1" applyAlignment="1">
      <alignment horizontal="right"/>
    </xf>
    <xf numFmtId="9" fontId="15" fillId="10" borderId="14" xfId="4" applyNumberFormat="1" applyFont="1" applyFill="1" applyBorder="1" applyAlignment="1">
      <alignment horizontal="right"/>
    </xf>
    <xf numFmtId="0" fontId="48" fillId="0" borderId="4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37" fontId="0" fillId="0" borderId="8" xfId="0" applyNumberFormat="1" applyBorder="1"/>
    <xf numFmtId="166" fontId="11" fillId="0" borderId="0" xfId="3" applyNumberFormat="1" applyFont="1" applyAlignment="1">
      <alignment horizontal="right"/>
    </xf>
    <xf numFmtId="166" fontId="11" fillId="11" borderId="0" xfId="3" applyNumberFormat="1" applyFont="1" applyFill="1" applyAlignment="1">
      <alignment horizontal="right"/>
    </xf>
    <xf numFmtId="166" fontId="11" fillId="12" borderId="0" xfId="3" applyNumberFormat="1" applyFont="1" applyFill="1" applyAlignment="1">
      <alignment horizontal="right"/>
    </xf>
    <xf numFmtId="0" fontId="11" fillId="0" borderId="0" xfId="3" quotePrefix="1" applyFont="1" applyAlignment="1">
      <alignment horizontal="right"/>
    </xf>
    <xf numFmtId="0" fontId="14" fillId="0" borderId="0" xfId="3" quotePrefix="1" applyFont="1" applyAlignment="1">
      <alignment horizontal="right"/>
    </xf>
    <xf numFmtId="0" fontId="14" fillId="0" borderId="0" xfId="3" applyFont="1" applyAlignment="1">
      <alignment horizontal="right"/>
    </xf>
    <xf numFmtId="3" fontId="19" fillId="0" borderId="0" xfId="0" applyNumberFormat="1" applyFont="1" applyAlignment="1">
      <alignment horizontal="center"/>
    </xf>
    <xf numFmtId="2" fontId="8" fillId="7" borderId="31" xfId="0" applyNumberFormat="1" applyFont="1" applyFill="1" applyBorder="1" applyAlignment="1">
      <alignment horizontal="center"/>
    </xf>
    <xf numFmtId="2" fontId="8" fillId="12" borderId="34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8" fontId="15" fillId="0" borderId="0" xfId="5" applyNumberFormat="1" applyFont="1" applyFill="1" applyBorder="1" applyAlignment="1">
      <alignment horizontal="center"/>
    </xf>
    <xf numFmtId="38" fontId="15" fillId="0" borderId="4" xfId="5" applyNumberFormat="1" applyFont="1" applyFill="1" applyBorder="1" applyAlignment="1">
      <alignment horizontal="center"/>
    </xf>
    <xf numFmtId="38" fontId="16" fillId="0" borderId="0" xfId="5" applyNumberFormat="1" applyFont="1" applyFill="1" applyBorder="1" applyAlignment="1">
      <alignment horizontal="center"/>
    </xf>
    <xf numFmtId="38" fontId="15" fillId="9" borderId="0" xfId="5" applyNumberFormat="1" applyFont="1" applyFill="1" applyBorder="1" applyAlignment="1">
      <alignment horizontal="center"/>
    </xf>
    <xf numFmtId="38" fontId="15" fillId="0" borderId="1" xfId="5" applyNumberFormat="1" applyFont="1" applyFill="1" applyBorder="1" applyAlignment="1">
      <alignment horizontal="center"/>
    </xf>
    <xf numFmtId="39" fontId="7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174" fontId="11" fillId="0" borderId="8" xfId="0" applyNumberFormat="1" applyFont="1" applyFill="1" applyBorder="1" applyAlignment="1">
      <alignment horizontal="center" wrapText="1"/>
    </xf>
    <xf numFmtId="0" fontId="7" fillId="4" borderId="0" xfId="0" applyFont="1" applyFill="1" applyAlignment="1">
      <alignment horizontal="center"/>
    </xf>
    <xf numFmtId="3" fontId="25" fillId="0" borderId="0" xfId="0" applyNumberFormat="1" applyFont="1"/>
    <xf numFmtId="37" fontId="44" fillId="0" borderId="13" xfId="0" applyNumberFormat="1" applyFont="1" applyFill="1" applyBorder="1" applyAlignment="1">
      <alignment horizontal="center"/>
    </xf>
    <xf numFmtId="3" fontId="44" fillId="0" borderId="13" xfId="0" applyNumberFormat="1" applyFont="1" applyFill="1" applyBorder="1" applyAlignment="1" applyProtection="1">
      <alignment horizontal="center"/>
    </xf>
    <xf numFmtId="3" fontId="44" fillId="0" borderId="15" xfId="0" applyNumberFormat="1" applyFont="1" applyFill="1" applyBorder="1" applyAlignment="1" applyProtection="1">
      <alignment horizontal="center"/>
    </xf>
    <xf numFmtId="1" fontId="11" fillId="0" borderId="0" xfId="3" applyNumberFormat="1" applyFont="1" applyAlignment="1">
      <alignment horizontal="right"/>
    </xf>
    <xf numFmtId="17" fontId="11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/>
    </xf>
    <xf numFmtId="164" fontId="11" fillId="5" borderId="0" xfId="3" applyNumberFormat="1" applyFont="1" applyFill="1" applyAlignment="1">
      <alignment horizontal="right"/>
    </xf>
    <xf numFmtId="165" fontId="11" fillId="0" borderId="0" xfId="3" applyNumberFormat="1" applyFont="1" applyAlignment="1">
      <alignment horizontal="right"/>
    </xf>
    <xf numFmtId="43" fontId="11" fillId="0" borderId="0" xfId="3" applyNumberFormat="1" applyFont="1" applyAlignment="1">
      <alignment horizontal="right"/>
    </xf>
    <xf numFmtId="2" fontId="11" fillId="0" borderId="0" xfId="3" applyNumberFormat="1" applyFont="1" applyAlignment="1">
      <alignment horizontal="right"/>
    </xf>
    <xf numFmtId="164" fontId="11" fillId="0" borderId="0" xfId="3" applyNumberFormat="1" applyFont="1" applyFill="1" applyAlignment="1">
      <alignment horizontal="right"/>
    </xf>
    <xf numFmtId="167" fontId="11" fillId="0" borderId="0" xfId="3" applyNumberFormat="1" applyFont="1" applyAlignment="1">
      <alignment horizontal="right"/>
    </xf>
    <xf numFmtId="1" fontId="11" fillId="0" borderId="0" xfId="3" applyNumberFormat="1" applyFont="1" applyBorder="1" applyAlignment="1">
      <alignment horizontal="right"/>
    </xf>
    <xf numFmtId="167" fontId="11" fillId="0" borderId="0" xfId="3" applyNumberFormat="1" applyFont="1" applyBorder="1" applyAlignment="1">
      <alignment horizontal="right"/>
    </xf>
    <xf numFmtId="168" fontId="11" fillId="0" borderId="0" xfId="3" applyNumberFormat="1" applyFont="1" applyAlignment="1">
      <alignment horizontal="right"/>
    </xf>
    <xf numFmtId="2" fontId="11" fillId="0" borderId="0" xfId="3" applyNumberFormat="1" applyFont="1" applyBorder="1" applyAlignment="1">
      <alignment horizontal="right"/>
    </xf>
    <xf numFmtId="165" fontId="80" fillId="0" borderId="0" xfId="3" applyNumberFormat="1" applyFont="1" applyAlignment="1">
      <alignment horizontal="right"/>
    </xf>
    <xf numFmtId="182" fontId="11" fillId="0" borderId="0" xfId="3" applyNumberFormat="1" applyFont="1" applyAlignment="1">
      <alignment horizontal="right"/>
    </xf>
    <xf numFmtId="4" fontId="11" fillId="0" borderId="0" xfId="3" applyNumberFormat="1" applyFont="1" applyAlignment="1">
      <alignment horizontal="right"/>
    </xf>
    <xf numFmtId="3" fontId="11" fillId="0" borderId="0" xfId="3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5" fillId="0" borderId="10" xfId="0" applyFont="1" applyFill="1" applyBorder="1" applyAlignment="1">
      <alignment horizontal="right"/>
    </xf>
    <xf numFmtId="0" fontId="49" fillId="5" borderId="12" xfId="0" applyFont="1" applyFill="1" applyBorder="1" applyAlignment="1">
      <alignment horizontal="right"/>
    </xf>
    <xf numFmtId="0" fontId="15" fillId="5" borderId="13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right"/>
    </xf>
    <xf numFmtId="14" fontId="48" fillId="5" borderId="10" xfId="0" applyNumberFormat="1" applyFont="1" applyFill="1" applyBorder="1" applyAlignment="1">
      <alignment horizontal="right"/>
    </xf>
    <xf numFmtId="39" fontId="55" fillId="0" borderId="5" xfId="0" applyNumberFormat="1" applyFont="1" applyBorder="1" applyAlignment="1">
      <alignment horizontal="center"/>
    </xf>
    <xf numFmtId="39" fontId="55" fillId="0" borderId="15" xfId="0" applyNumberFormat="1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3" fillId="0" borderId="0" xfId="0" applyFont="1"/>
    <xf numFmtId="14" fontId="83" fillId="0" borderId="0" xfId="0" applyNumberFormat="1" applyFont="1"/>
    <xf numFmtId="177" fontId="83" fillId="0" borderId="0" xfId="1" applyNumberFormat="1" applyFont="1"/>
    <xf numFmtId="0" fontId="85" fillId="0" borderId="0" xfId="0" applyFont="1"/>
    <xf numFmtId="0" fontId="84" fillId="0" borderId="0" xfId="0" applyFont="1" applyBorder="1" applyAlignment="1">
      <alignment horizontal="center"/>
    </xf>
    <xf numFmtId="177" fontId="86" fillId="0" borderId="0" xfId="1" applyNumberFormat="1" applyFont="1"/>
    <xf numFmtId="181" fontId="83" fillId="0" borderId="0" xfId="1" applyNumberFormat="1" applyFont="1"/>
    <xf numFmtId="14" fontId="87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/>
    </xf>
    <xf numFmtId="0" fontId="88" fillId="0" borderId="0" xfId="0" applyFont="1"/>
    <xf numFmtId="0" fontId="89" fillId="0" borderId="0" xfId="0" applyFont="1"/>
    <xf numFmtId="0" fontId="91" fillId="0" borderId="0" xfId="0" applyFont="1" applyAlignment="1">
      <alignment horizontal="right"/>
    </xf>
    <xf numFmtId="14" fontId="88" fillId="0" borderId="0" xfId="0" applyNumberFormat="1" applyFont="1"/>
    <xf numFmtId="0" fontId="90" fillId="0" borderId="0" xfId="0" applyFont="1" applyAlignment="1">
      <alignment horizontal="right"/>
    </xf>
    <xf numFmtId="181" fontId="90" fillId="0" borderId="0" xfId="1" applyNumberFormat="1" applyFont="1" applyAlignment="1">
      <alignment horizontal="right"/>
    </xf>
    <xf numFmtId="0" fontId="88" fillId="0" borderId="0" xfId="0" applyFont="1" applyAlignment="1">
      <alignment horizontal="right"/>
    </xf>
    <xf numFmtId="177" fontId="0" fillId="0" borderId="0" xfId="1" applyNumberFormat="1" applyFont="1"/>
    <xf numFmtId="177" fontId="0" fillId="0" borderId="0" xfId="0" applyNumberFormat="1"/>
    <xf numFmtId="3" fontId="19" fillId="4" borderId="0" xfId="0" applyNumberFormat="1" applyFont="1" applyFill="1" applyBorder="1" applyAlignment="1">
      <alignment horizontal="center"/>
    </xf>
    <xf numFmtId="0" fontId="7" fillId="0" borderId="0" xfId="1" applyNumberFormat="1" applyFont="1" applyAlignment="1">
      <alignment horizontal="center"/>
    </xf>
    <xf numFmtId="184" fontId="0" fillId="0" borderId="0" xfId="0" applyNumberFormat="1"/>
    <xf numFmtId="181" fontId="0" fillId="0" borderId="0" xfId="0" applyNumberFormat="1"/>
    <xf numFmtId="185" fontId="15" fillId="0" borderId="4" xfId="4" applyNumberFormat="1" applyFont="1" applyFill="1" applyBorder="1" applyAlignment="1">
      <alignment horizontal="right"/>
    </xf>
    <xf numFmtId="0" fontId="85" fillId="0" borderId="0" xfId="0" applyFont="1" applyAlignment="1">
      <alignment horizontal="right"/>
    </xf>
    <xf numFmtId="177" fontId="86" fillId="0" borderId="0" xfId="1" applyNumberFormat="1" applyFont="1" applyAlignment="1">
      <alignment horizontal="right"/>
    </xf>
    <xf numFmtId="0" fontId="83" fillId="0" borderId="0" xfId="0" applyFont="1" applyAlignment="1">
      <alignment horizontal="right"/>
    </xf>
    <xf numFmtId="177" fontId="83" fillId="0" borderId="0" xfId="1" applyNumberFormat="1" applyFont="1" applyAlignment="1">
      <alignment horizontal="right"/>
    </xf>
    <xf numFmtId="181" fontId="83" fillId="0" borderId="0" xfId="1" applyNumberFormat="1" applyFont="1" applyAlignment="1">
      <alignment horizontal="right"/>
    </xf>
    <xf numFmtId="177" fontId="83" fillId="0" borderId="0" xfId="0" applyNumberFormat="1" applyFont="1" applyAlignment="1">
      <alignment horizontal="right"/>
    </xf>
    <xf numFmtId="3" fontId="83" fillId="0" borderId="0" xfId="0" applyNumberFormat="1" applyFont="1"/>
    <xf numFmtId="0" fontId="15" fillId="0" borderId="5" xfId="0" applyFont="1" applyBorder="1" applyAlignment="1">
      <alignment horizontal="right" vertical="center"/>
    </xf>
    <xf numFmtId="0" fontId="92" fillId="0" borderId="0" xfId="0" applyFont="1" applyAlignment="1">
      <alignment horizontal="right"/>
    </xf>
    <xf numFmtId="0" fontId="92" fillId="0" borderId="0" xfId="0" applyFont="1" applyBorder="1" applyAlignment="1">
      <alignment horizontal="right"/>
    </xf>
    <xf numFmtId="14" fontId="90" fillId="0" borderId="0" xfId="0" applyNumberFormat="1" applyFont="1"/>
    <xf numFmtId="181" fontId="88" fillId="0" borderId="0" xfId="1" applyNumberFormat="1" applyFont="1" applyBorder="1" applyAlignment="1">
      <alignment horizontal="right"/>
    </xf>
    <xf numFmtId="0" fontId="84" fillId="0" borderId="0" xfId="0" applyFont="1" applyAlignment="1">
      <alignment horizontal="left"/>
    </xf>
    <xf numFmtId="177" fontId="83" fillId="0" borderId="35" xfId="0" applyNumberFormat="1" applyFont="1" applyBorder="1" applyAlignment="1">
      <alignment horizontal="right"/>
    </xf>
    <xf numFmtId="177" fontId="83" fillId="0" borderId="36" xfId="0" applyNumberFormat="1" applyFont="1" applyBorder="1" applyAlignment="1">
      <alignment horizontal="right"/>
    </xf>
    <xf numFmtId="177" fontId="83" fillId="0" borderId="32" xfId="0" applyNumberFormat="1" applyFont="1" applyBorder="1" applyAlignment="1">
      <alignment horizontal="right"/>
    </xf>
    <xf numFmtId="177" fontId="83" fillId="0" borderId="34" xfId="0" applyNumberFormat="1" applyFont="1" applyBorder="1" applyAlignment="1">
      <alignment horizontal="right"/>
    </xf>
    <xf numFmtId="177" fontId="83" fillId="0" borderId="0" xfId="0" applyNumberFormat="1" applyFont="1" applyBorder="1" applyAlignment="1">
      <alignment horizontal="right"/>
    </xf>
    <xf numFmtId="177" fontId="83" fillId="0" borderId="33" xfId="0" applyNumberFormat="1" applyFont="1" applyBorder="1" applyAlignment="1">
      <alignment horizontal="right"/>
    </xf>
    <xf numFmtId="169" fontId="44" fillId="0" borderId="1" xfId="0" applyNumberFormat="1" applyFont="1" applyFill="1" applyBorder="1" applyAlignment="1">
      <alignment horizontal="center"/>
    </xf>
    <xf numFmtId="0" fontId="83" fillId="0" borderId="0" xfId="0" applyFont="1" applyAlignment="1">
      <alignment wrapText="1"/>
    </xf>
    <xf numFmtId="0" fontId="84" fillId="0" borderId="0" xfId="0" applyFont="1" applyAlignment="1">
      <alignment horizontal="left" wrapText="1"/>
    </xf>
    <xf numFmtId="0" fontId="85" fillId="0" borderId="0" xfId="0" applyFont="1" applyAlignment="1">
      <alignment horizontal="right" wrapText="1"/>
    </xf>
    <xf numFmtId="3" fontId="19" fillId="0" borderId="0" xfId="0" applyNumberFormat="1" applyFont="1" applyAlignment="1">
      <alignment horizontal="center"/>
    </xf>
    <xf numFmtId="169" fontId="10" fillId="0" borderId="8" xfId="0" applyNumberFormat="1" applyFont="1" applyBorder="1" applyAlignment="1">
      <alignment horizontal="center"/>
    </xf>
    <xf numFmtId="37" fontId="0" fillId="0" borderId="10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37" fontId="0" fillId="0" borderId="1" xfId="0" applyNumberFormat="1" applyBorder="1"/>
    <xf numFmtId="37" fontId="0" fillId="0" borderId="0" xfId="0" applyNumberFormat="1" applyBorder="1"/>
    <xf numFmtId="37" fontId="0" fillId="0" borderId="4" xfId="0" applyNumberFormat="1" applyBorder="1"/>
    <xf numFmtId="37" fontId="0" fillId="0" borderId="13" xfId="0" applyNumberFormat="1" applyBorder="1"/>
    <xf numFmtId="37" fontId="0" fillId="0" borderId="14" xfId="0" applyNumberFormat="1" applyBorder="1"/>
    <xf numFmtId="3" fontId="19" fillId="0" borderId="0" xfId="0" applyNumberFormat="1" applyFont="1" applyAlignment="1">
      <alignment horizontal="center"/>
    </xf>
    <xf numFmtId="43" fontId="83" fillId="0" borderId="0" xfId="1" applyFont="1" applyAlignment="1">
      <alignment horizontal="right"/>
    </xf>
    <xf numFmtId="0" fontId="85" fillId="0" borderId="32" xfId="0" applyFont="1" applyBorder="1" applyAlignment="1">
      <alignment horizontal="right" wrapText="1"/>
    </xf>
    <xf numFmtId="0" fontId="85" fillId="0" borderId="34" xfId="0" applyFont="1" applyBorder="1" applyAlignment="1">
      <alignment horizontal="right" wrapText="1"/>
    </xf>
    <xf numFmtId="0" fontId="85" fillId="0" borderId="33" xfId="0" applyFont="1" applyBorder="1" applyAlignment="1">
      <alignment horizontal="right" wrapText="1"/>
    </xf>
    <xf numFmtId="3" fontId="1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7" fontId="7" fillId="0" borderId="15" xfId="0" applyNumberFormat="1" applyFont="1" applyBorder="1" applyAlignment="1">
      <alignment horizontal="center"/>
    </xf>
    <xf numFmtId="0" fontId="96" fillId="0" borderId="0" xfId="0" applyFont="1"/>
    <xf numFmtId="181" fontId="95" fillId="13" borderId="0" xfId="1" applyNumberFormat="1" applyFon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3" fontId="19" fillId="0" borderId="0" xfId="0" applyNumberFormat="1" applyFont="1" applyAlignment="1">
      <alignment horizontal="center"/>
    </xf>
    <xf numFmtId="43" fontId="0" fillId="0" borderId="0" xfId="0" applyNumberFormat="1"/>
    <xf numFmtId="3" fontId="9" fillId="0" borderId="0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5" fillId="1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5" fontId="19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1" fillId="0" borderId="0" xfId="3" applyFont="1" applyAlignment="1">
      <alignment horizontal="center"/>
    </xf>
    <xf numFmtId="3" fontId="16" fillId="0" borderId="0" xfId="0" applyNumberFormat="1" applyFont="1" applyFill="1" applyAlignment="1">
      <alignment horizontal="center"/>
    </xf>
    <xf numFmtId="3" fontId="42" fillId="0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12" borderId="33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59" fillId="0" borderId="0" xfId="0" applyFont="1" applyBorder="1" applyAlignment="1">
      <alignment horizontal="center"/>
    </xf>
    <xf numFmtId="0" fontId="70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8" fillId="6" borderId="10" xfId="0" applyFont="1" applyFill="1" applyBorder="1" applyAlignment="1">
      <alignment horizontal="center"/>
    </xf>
    <xf numFmtId="0" fontId="48" fillId="6" borderId="11" xfId="0" applyFont="1" applyFill="1" applyBorder="1" applyAlignment="1">
      <alignment horizontal="center"/>
    </xf>
    <xf numFmtId="0" fontId="48" fillId="6" borderId="12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48" fillId="3" borderId="10" xfId="0" applyFont="1" applyFill="1" applyBorder="1" applyAlignment="1">
      <alignment horizontal="center"/>
    </xf>
    <xf numFmtId="0" fontId="48" fillId="3" borderId="11" xfId="0" applyFont="1" applyFill="1" applyBorder="1" applyAlignment="1">
      <alignment horizontal="center"/>
    </xf>
    <xf numFmtId="0" fontId="48" fillId="3" borderId="12" xfId="0" applyFont="1" applyFill="1" applyBorder="1" applyAlignment="1">
      <alignment horizontal="center"/>
    </xf>
    <xf numFmtId="183" fontId="81" fillId="5" borderId="11" xfId="0" applyNumberFormat="1" applyFont="1" applyFill="1" applyBorder="1" applyAlignment="1">
      <alignment horizontal="center"/>
    </xf>
    <xf numFmtId="0" fontId="94" fillId="0" borderId="8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58" fillId="0" borderId="0" xfId="0" applyFont="1" applyFill="1" applyAlignment="1">
      <alignment horizontal="left"/>
    </xf>
    <xf numFmtId="0" fontId="15" fillId="10" borderId="0" xfId="0" quotePrefix="1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9" fillId="0" borderId="8" xfId="0" applyFont="1" applyFill="1" applyBorder="1" applyAlignment="1">
      <alignment horizontal="center"/>
    </xf>
    <xf numFmtId="0" fontId="64" fillId="0" borderId="0" xfId="0" applyFont="1" applyAlignment="1"/>
    <xf numFmtId="0" fontId="69" fillId="3" borderId="10" xfId="0" applyFont="1" applyFill="1" applyBorder="1" applyAlignment="1">
      <alignment horizontal="center" vertical="center" wrapText="1"/>
    </xf>
    <xf numFmtId="0" fontId="69" fillId="3" borderId="11" xfId="0" applyFont="1" applyFill="1" applyBorder="1" applyAlignment="1">
      <alignment horizontal="center" vertical="center" wrapText="1"/>
    </xf>
    <xf numFmtId="0" fontId="69" fillId="3" borderId="12" xfId="0" applyFont="1" applyFill="1" applyBorder="1" applyAlignment="1">
      <alignment horizontal="center" vertical="center" wrapText="1"/>
    </xf>
    <xf numFmtId="0" fontId="69" fillId="3" borderId="13" xfId="0" applyFont="1" applyFill="1" applyBorder="1" applyAlignment="1">
      <alignment horizontal="center" vertical="center" wrapText="1"/>
    </xf>
    <xf numFmtId="0" fontId="69" fillId="3" borderId="8" xfId="0" applyFont="1" applyFill="1" applyBorder="1" applyAlignment="1">
      <alignment horizontal="center" vertical="center" wrapText="1"/>
    </xf>
    <xf numFmtId="0" fontId="69" fillId="3" borderId="14" xfId="0" applyFont="1" applyFill="1" applyBorder="1" applyAlignment="1">
      <alignment horizontal="center" vertical="center" wrapText="1"/>
    </xf>
    <xf numFmtId="0" fontId="77" fillId="0" borderId="28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4" fillId="0" borderId="8" xfId="0" applyFont="1" applyBorder="1" applyAlignment="1">
      <alignment horizontal="center"/>
    </xf>
    <xf numFmtId="3" fontId="38" fillId="3" borderId="10" xfId="0" applyNumberFormat="1" applyFont="1" applyFill="1" applyBorder="1" applyAlignment="1">
      <alignment horizontal="center"/>
    </xf>
    <xf numFmtId="3" fontId="38" fillId="3" borderId="11" xfId="0" applyNumberFormat="1" applyFont="1" applyFill="1" applyBorder="1" applyAlignment="1">
      <alignment horizontal="center"/>
    </xf>
    <xf numFmtId="3" fontId="38" fillId="3" borderId="1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3" fontId="39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4" fillId="0" borderId="8" xfId="0" applyFont="1" applyBorder="1" applyAlignment="1">
      <alignment horizontal="center"/>
    </xf>
    <xf numFmtId="0" fontId="85" fillId="0" borderId="29" xfId="0" applyFont="1" applyBorder="1" applyAlignment="1">
      <alignment horizontal="center"/>
    </xf>
    <xf numFmtId="0" fontId="85" fillId="0" borderId="31" xfId="0" applyFont="1" applyBorder="1" applyAlignment="1">
      <alignment horizontal="center"/>
    </xf>
    <xf numFmtId="0" fontId="85" fillId="0" borderId="30" xfId="0" applyFont="1" applyBorder="1" applyAlignment="1">
      <alignment horizontal="center"/>
    </xf>
    <xf numFmtId="0" fontId="92" fillId="0" borderId="0" xfId="0" applyFont="1" applyFill="1" applyBorder="1" applyAlignment="1">
      <alignment horizontal="center"/>
    </xf>
  </cellXfs>
  <cellStyles count="27">
    <cellStyle name="Comma" xfId="1" builtinId="3"/>
    <cellStyle name="Comma 2" xfId="8"/>
    <cellStyle name="Comma 2 2" xfId="10"/>
    <cellStyle name="Comma 2 2 2" xfId="14"/>
    <cellStyle name="Comma 2 2 2 2" xfId="22"/>
    <cellStyle name="Comma 2 2 3" xfId="18"/>
    <cellStyle name="Comma 2 3" xfId="12"/>
    <cellStyle name="Comma 2 3 2" xfId="20"/>
    <cellStyle name="Comma 2 4" xfId="16"/>
    <cellStyle name="Comma 3" xfId="24"/>
    <cellStyle name="Comma 4" xfId="26"/>
    <cellStyle name="Normal" xfId="0" builtinId="0"/>
    <cellStyle name="Normal 2" xfId="5"/>
    <cellStyle name="Normal 3" xfId="6"/>
    <cellStyle name="Normal 4" xfId="7"/>
    <cellStyle name="Normal 4 2" xfId="9"/>
    <cellStyle name="Normal 4 2 2" xfId="13"/>
    <cellStyle name="Normal 4 2 2 2" xfId="21"/>
    <cellStyle name="Normal 4 2 3" xfId="17"/>
    <cellStyle name="Normal 4 3" xfId="11"/>
    <cellStyle name="Normal 4 3 2" xfId="19"/>
    <cellStyle name="Normal 4 4" xfId="15"/>
    <cellStyle name="Normal 5" xfId="23"/>
    <cellStyle name="Normal 6" xfId="25"/>
    <cellStyle name="Normal_KU98R895" xfId="2"/>
    <cellStyle name="Normal_OSSFINAL" xfId="3"/>
    <cellStyle name="Percent" xfId="4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Load - Combined Company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83306388935653"/>
          <c:y val="0.10366940976930279"/>
          <c:w val="0.80587787615109463"/>
          <c:h val="0.755981071161179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Data'!$D$53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Data'!$D$54:$D$84</c:f>
              <c:numCache>
                <c:formatCode>_(* #,##0_);_(* \(#,##0\);_(* "-"??_);_(@_)</c:formatCode>
                <c:ptCount val="31"/>
                <c:pt idx="0">
                  <c:v>121202.17211914063</c:v>
                </c:pt>
                <c:pt idx="1">
                  <c:v>109150.66625976563</c:v>
                </c:pt>
                <c:pt idx="2">
                  <c:v>93148.264526367188</c:v>
                </c:pt>
                <c:pt idx="3">
                  <c:v>79313.420043945313</c:v>
                </c:pt>
                <c:pt idx="4">
                  <c:v>81735.973449707031</c:v>
                </c:pt>
                <c:pt idx="5">
                  <c:v>90682.52783203125</c:v>
                </c:pt>
                <c:pt idx="6">
                  <c:v>111531.02770996094</c:v>
                </c:pt>
                <c:pt idx="7">
                  <c:v>114600.33898925781</c:v>
                </c:pt>
                <c:pt idx="8">
                  <c:v>112164.25915527344</c:v>
                </c:pt>
                <c:pt idx="9">
                  <c:v>110053.58666992187</c:v>
                </c:pt>
                <c:pt idx="10">
                  <c:v>109400.60009765625</c:v>
                </c:pt>
                <c:pt idx="11">
                  <c:v>102643.58178710937</c:v>
                </c:pt>
                <c:pt idx="12">
                  <c:v>109862.18371582031</c:v>
                </c:pt>
                <c:pt idx="13">
                  <c:v>110969.5849609375</c:v>
                </c:pt>
                <c:pt idx="14">
                  <c:v>99917.608032226563</c:v>
                </c:pt>
                <c:pt idx="15">
                  <c:v>91144.539916992188</c:v>
                </c:pt>
                <c:pt idx="16">
                  <c:v>93625.836303710938</c:v>
                </c:pt>
                <c:pt idx="17">
                  <c:v>85524.149169921875</c:v>
                </c:pt>
                <c:pt idx="18">
                  <c:v>81962.553588867188</c:v>
                </c:pt>
                <c:pt idx="19">
                  <c:v>90233.19140625</c:v>
                </c:pt>
                <c:pt idx="20">
                  <c:v>111037.17980957031</c:v>
                </c:pt>
                <c:pt idx="21">
                  <c:v>121261.52514648437</c:v>
                </c:pt>
                <c:pt idx="22">
                  <c:v>115380.72412109375</c:v>
                </c:pt>
                <c:pt idx="23">
                  <c:v>101087.27038574219</c:v>
                </c:pt>
                <c:pt idx="24">
                  <c:v>99177.0009765625</c:v>
                </c:pt>
                <c:pt idx="25">
                  <c:v>99668.9384765625</c:v>
                </c:pt>
                <c:pt idx="26">
                  <c:v>94515.02587890625</c:v>
                </c:pt>
                <c:pt idx="27">
                  <c:v>94329.477294921875</c:v>
                </c:pt>
                <c:pt idx="28">
                  <c:v>88847.529418945313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55684992"/>
        <c:axId val="255726336"/>
      </c:barChart>
      <c:lineChart>
        <c:grouping val="standard"/>
        <c:varyColors val="0"/>
        <c:ser>
          <c:idx val="4"/>
          <c:order val="1"/>
          <c:tx>
            <c:strRef>
              <c:f>'Chart Data'!$E$53</c:f>
              <c:strCache>
                <c:ptCount val="1"/>
                <c:pt idx="0">
                  <c:v>Budget</c:v>
                </c:pt>
              </c:strCache>
            </c:strRef>
          </c:tx>
          <c:spPr>
            <a:ln w="22225">
              <a:noFill/>
              <a:prstDash val="sysDash"/>
            </a:ln>
            <a:effectLst>
              <a:glow rad="12700">
                <a:schemeClr val="accent1">
                  <a:satMod val="175000"/>
                  <a:alpha val="40000"/>
                </a:schemeClr>
              </a:glow>
            </a:effectLst>
          </c:spPr>
          <c:marker>
            <c:symbol val="dash"/>
            <c:size val="11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>
                <a:glow rad="12700">
                  <a:schemeClr val="accent1">
                    <a:satMod val="175000"/>
                    <a:alpha val="40000"/>
                  </a:schemeClr>
                </a:glow>
              </a:effectLst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Data'!$E$54:$E$84</c:f>
              <c:numCache>
                <c:formatCode>#,##0</c:formatCode>
                <c:ptCount val="31"/>
                <c:pt idx="0">
                  <c:v>114217</c:v>
                </c:pt>
                <c:pt idx="1">
                  <c:v>114520</c:v>
                </c:pt>
                <c:pt idx="2">
                  <c:v>114675</c:v>
                </c:pt>
                <c:pt idx="3">
                  <c:v>102400</c:v>
                </c:pt>
                <c:pt idx="4">
                  <c:v>103814.23889564232</c:v>
                </c:pt>
                <c:pt idx="5">
                  <c:v>102019.04404304497</c:v>
                </c:pt>
                <c:pt idx="6">
                  <c:v>113767.12141760746</c:v>
                </c:pt>
                <c:pt idx="7">
                  <c:v>116035.98394454161</c:v>
                </c:pt>
                <c:pt idx="8">
                  <c:v>116375.8272292154</c:v>
                </c:pt>
                <c:pt idx="9">
                  <c:v>116730.39442101687</c:v>
                </c:pt>
                <c:pt idx="10">
                  <c:v>114858.04297679216</c:v>
                </c:pt>
                <c:pt idx="11">
                  <c:v>106424.90148143264</c:v>
                </c:pt>
                <c:pt idx="12">
                  <c:v>105011.32798570598</c:v>
                </c:pt>
                <c:pt idx="13">
                  <c:v>116619.94488525062</c:v>
                </c:pt>
                <c:pt idx="14">
                  <c:v>118550.52187426221</c:v>
                </c:pt>
                <c:pt idx="15">
                  <c:v>118584.234120995</c:v>
                </c:pt>
                <c:pt idx="16">
                  <c:v>118664.31817596864</c:v>
                </c:pt>
                <c:pt idx="17">
                  <c:v>117135.68558793914</c:v>
                </c:pt>
                <c:pt idx="18">
                  <c:v>107793.52319266519</c:v>
                </c:pt>
                <c:pt idx="19">
                  <c:v>105927.27834284451</c:v>
                </c:pt>
                <c:pt idx="20">
                  <c:v>117586.17723670957</c:v>
                </c:pt>
                <c:pt idx="21">
                  <c:v>119747.31808730237</c:v>
                </c:pt>
                <c:pt idx="22">
                  <c:v>120223.01949577969</c:v>
                </c:pt>
                <c:pt idx="23">
                  <c:v>120281.06353687547</c:v>
                </c:pt>
                <c:pt idx="24">
                  <c:v>118607.34797112948</c:v>
                </c:pt>
                <c:pt idx="25">
                  <c:v>110597.0634477601</c:v>
                </c:pt>
                <c:pt idx="26">
                  <c:v>108001.19387924118</c:v>
                </c:pt>
                <c:pt idx="27">
                  <c:v>119483.95573796812</c:v>
                </c:pt>
                <c:pt idx="28">
                  <c:v>121402.20204923207</c:v>
                </c:pt>
                <c:pt idx="29">
                  <c:v>121435.89993477584</c:v>
                </c:pt>
                <c:pt idx="30">
                  <c:v>121319.69592839756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84992"/>
        <c:axId val="255726336"/>
      </c:lineChart>
      <c:catAx>
        <c:axId val="25568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of 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55726336"/>
        <c:crosses val="autoZero"/>
        <c:auto val="1"/>
        <c:lblAlgn val="ctr"/>
        <c:lblOffset val="100"/>
        <c:noMultiLvlLbl val="0"/>
      </c:catAx>
      <c:valAx>
        <c:axId val="2557263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Daily Load (MWh)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55684992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'Chart Data'!$H$37</c:f>
          <c:strCache>
            <c:ptCount val="1"/>
            <c:pt idx="0">
              <c:v>Hourly Load and Temperature - 7/31/2014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30675303545113"/>
          <c:y val="0.10377861690464028"/>
          <c:w val="0.74261489460195862"/>
          <c:h val="0.71126408468073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Data'!$B$39</c:f>
              <c:strCache>
                <c:ptCount val="1"/>
                <c:pt idx="0">
                  <c:v>KU Load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Data'!$C$39:$Z$39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'Chart Data'!$B$40</c:f>
              <c:strCache>
                <c:ptCount val="1"/>
                <c:pt idx="0">
                  <c:v>LG&amp;E Load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Data'!$C$40:$Z$40</c:f>
              <c:numCache>
                <c:formatCode>_(* #,##0_);_(* \(#,##0\);_(*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1287552"/>
        <c:axId val="51306496"/>
      </c:barChart>
      <c:lineChart>
        <c:grouping val="standard"/>
        <c:varyColors val="0"/>
        <c:ser>
          <c:idx val="2"/>
          <c:order val="2"/>
          <c:tx>
            <c:strRef>
              <c:f>'Chart Data'!$B$41</c:f>
              <c:strCache>
                <c:ptCount val="1"/>
                <c:pt idx="0">
                  <c:v>LEX Temp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Data'!$C$41:$Z$41</c:f>
              <c:numCache>
                <c:formatCode>_(* #,##0.0_);_(* \(#,##0.0\);_(* "-"??_);_(@_)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Data'!$B$42</c:f>
              <c:strCache>
                <c:ptCount val="1"/>
                <c:pt idx="0">
                  <c:v>LOU Temp</c:v>
                </c:pt>
              </c:strCache>
            </c:strRef>
          </c:tx>
          <c:spPr>
            <a:ln w="4762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Data'!$C$42:$Z$42</c:f>
              <c:numCache>
                <c:formatCode>_(* #,##0.0_);_(* \(#,##0.0\);_(* "-"??_);_(@_)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20032"/>
        <c:axId val="51308416"/>
      </c:lineChart>
      <c:catAx>
        <c:axId val="5128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51306496"/>
        <c:crosses val="autoZero"/>
        <c:auto val="1"/>
        <c:lblAlgn val="ctr"/>
        <c:lblOffset val="100"/>
        <c:noMultiLvlLbl val="0"/>
      </c:catAx>
      <c:valAx>
        <c:axId val="51306496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Hourly Load (MW)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51287552"/>
        <c:crosses val="autoZero"/>
        <c:crossBetween val="between"/>
      </c:valAx>
      <c:valAx>
        <c:axId val="5130841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out"/>
        <c:tickLblPos val="nextTo"/>
        <c:crossAx val="53420032"/>
        <c:crosses val="max"/>
        <c:crossBetween val="between"/>
        <c:majorUnit val="10"/>
        <c:minorUnit val="5"/>
      </c:valAx>
      <c:catAx>
        <c:axId val="534200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1308416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6170862667589586"/>
          <c:y val="0.88732398624510889"/>
          <c:w val="0.67365333822932771"/>
          <c:h val="5.609064479632609E-2"/>
        </c:manualLayout>
      </c:layout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Load - Combined Company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83306388935653"/>
          <c:y val="0.10366940976930279"/>
          <c:w val="0.80587787615109463"/>
          <c:h val="0.7398978274400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Data'!$D$88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Data'!$D$89:$D$100</c:f>
              <c:numCache>
                <c:formatCode>_(* #,##0.00_);_(* \(#,##0.00\);_(* "-"??_);_(@_)</c:formatCode>
                <c:ptCount val="12"/>
                <c:pt idx="0">
                  <c:v>3.6316752310791016</c:v>
                </c:pt>
                <c:pt idx="1">
                  <c:v>3.0236581121826172</c:v>
                </c:pt>
                <c:pt idx="2">
                  <c:v>2.9356230000000001</c:v>
                </c:pt>
                <c:pt idx="3">
                  <c:v>2.4681143041381834</c:v>
                </c:pt>
                <c:pt idx="4">
                  <c:v>2.7832269130859375</c:v>
                </c:pt>
                <c:pt idx="5">
                  <c:v>3.108632946533203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</c:ser>
        <c:ser>
          <c:idx val="0"/>
          <c:order val="2"/>
          <c:tx>
            <c:strRef>
              <c:f>'Chart Data'!$F$88</c:f>
              <c:strCache>
                <c:ptCount val="1"/>
                <c:pt idx="0">
                  <c:v>Actual - Current MTD</c:v>
                </c:pt>
              </c:strCache>
            </c:strRef>
          </c:tx>
          <c:spPr>
            <a:pattFill prst="wdUp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9525">
              <a:solidFill>
                <a:schemeClr val="tx2"/>
              </a:solidFill>
            </a:ln>
          </c:spPr>
          <c:invertIfNegative val="0"/>
          <c:val>
            <c:numRef>
              <c:f>'Chart Data'!$F$89:$F$100</c:f>
              <c:numCache>
                <c:formatCode>_(* #,##0.00_);_(* \(#,##0.00\);_(* "-"??_);_(@_)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2.9241707372436525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1789184"/>
        <c:axId val="51804032"/>
      </c:barChart>
      <c:lineChart>
        <c:grouping val="standard"/>
        <c:varyColors val="0"/>
        <c:ser>
          <c:idx val="4"/>
          <c:order val="1"/>
          <c:tx>
            <c:strRef>
              <c:f>'Chart Data'!$E$88</c:f>
              <c:strCache>
                <c:ptCount val="1"/>
                <c:pt idx="0">
                  <c:v>Budget</c:v>
                </c:pt>
              </c:strCache>
            </c:strRef>
          </c:tx>
          <c:spPr>
            <a:ln w="22225">
              <a:noFill/>
              <a:prstDash val="sysDash"/>
            </a:ln>
            <a:effectLst>
              <a:glow rad="12700">
                <a:schemeClr val="accent1">
                  <a:satMod val="175000"/>
                  <a:alpha val="40000"/>
                </a:schemeClr>
              </a:glow>
            </a:effectLst>
          </c:spPr>
          <c:marker>
            <c:symbol val="dash"/>
            <c:size val="2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>
                <a:glow rad="12700">
                  <a:schemeClr val="accent1">
                    <a:satMod val="175000"/>
                    <a:alpha val="40000"/>
                  </a:schemeClr>
                </a:glow>
              </a:effectLst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Data'!$E$89:$E$100</c:f>
              <c:numCache>
                <c:formatCode>_(* #,##0.00_);_(* \(#,##0.00\);_(* "-"??_);_(@_)</c:formatCode>
                <c:ptCount val="12"/>
                <c:pt idx="0">
                  <c:v>3.2040540259429999</c:v>
                </c:pt>
                <c:pt idx="1">
                  <c:v>2.8593655968515184</c:v>
                </c:pt>
                <c:pt idx="2">
                  <c:v>2.8114698371906104</c:v>
                </c:pt>
                <c:pt idx="3">
                  <c:v>2.5172543277377075</c:v>
                </c:pt>
                <c:pt idx="4">
                  <c:v>2.7018435086360864</c:v>
                </c:pt>
                <c:pt idx="5">
                  <c:v>3.1536199342092037</c:v>
                </c:pt>
                <c:pt idx="6">
                  <c:v>3.5428093258800963</c:v>
                </c:pt>
                <c:pt idx="7">
                  <c:v>3.5690942982098637</c:v>
                </c:pt>
                <c:pt idx="8">
                  <c:v>2.9072251343285096</c:v>
                </c:pt>
                <c:pt idx="9">
                  <c:v>2.6590848179377424</c:v>
                </c:pt>
                <c:pt idx="10">
                  <c:v>2.692662044855386</c:v>
                </c:pt>
                <c:pt idx="11">
                  <c:v>3.0977893819807409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9184"/>
        <c:axId val="51804032"/>
      </c:lineChart>
      <c:catAx>
        <c:axId val="5178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51804032"/>
        <c:crosses val="autoZero"/>
        <c:auto val="1"/>
        <c:lblAlgn val="ctr"/>
        <c:lblOffset val="100"/>
        <c:noMultiLvlLbl val="0"/>
      </c:catAx>
      <c:valAx>
        <c:axId val="518040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Load (TWh)</a:t>
                </a:r>
              </a:p>
            </c:rich>
          </c:tx>
          <c:layout/>
          <c:overlay val="0"/>
        </c:title>
        <c:numFmt formatCode="_(* #,##0.0_);_(* \(#,##0.0\);_(* &quot;-&quot;?_);_(@_)" sourceLinked="0"/>
        <c:majorTickMark val="out"/>
        <c:minorTickMark val="none"/>
        <c:tickLblPos val="nextTo"/>
        <c:crossAx val="51789184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Hourly Temperature</a:t>
            </a:r>
          </a:p>
          <a:p>
            <a:pPr>
              <a:defRPr/>
            </a:pPr>
            <a:r>
              <a:rPr lang="en-US"/>
              <a:t>Month</a:t>
            </a:r>
            <a:r>
              <a:rPr lang="en-US" baseline="0"/>
              <a:t> to Date - </a:t>
            </a:r>
            <a:r>
              <a:rPr lang="en-US">
                <a:solidFill>
                  <a:srgbClr val="FF0000"/>
                </a:solidFill>
              </a:rPr>
              <a:t>Lexington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727606479096655"/>
          <c:y val="0.15105162810160486"/>
          <c:w val="0.83987866002730971"/>
          <c:h val="0.68989341116461722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Data'!$F$53</c:f>
              <c:strCache>
                <c:ptCount val="1"/>
                <c:pt idx="0">
                  <c:v>LEX Actual Avg Hourly Temp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Data'!$F$54:$F$84</c:f>
              <c:numCache>
                <c:formatCode>_(* #,##0_);_(* \(#,##0\);_(* "-"??_);_(@_)</c:formatCode>
                <c:ptCount val="31"/>
                <c:pt idx="0">
                  <c:v>80.996527777777757</c:v>
                </c:pt>
                <c:pt idx="1">
                  <c:v>75.143055555555563</c:v>
                </c:pt>
                <c:pt idx="2">
                  <c:v>69.733333333333334</c:v>
                </c:pt>
                <c:pt idx="3">
                  <c:v>68.229166666666671</c:v>
                </c:pt>
                <c:pt idx="4">
                  <c:v>71.362500000000011</c:v>
                </c:pt>
                <c:pt idx="5">
                  <c:v>75.679166666666674</c:v>
                </c:pt>
                <c:pt idx="6">
                  <c:v>79.013888888888886</c:v>
                </c:pt>
                <c:pt idx="7">
                  <c:v>78.670833333333334</c:v>
                </c:pt>
                <c:pt idx="8">
                  <c:v>76.941666666666677</c:v>
                </c:pt>
                <c:pt idx="9">
                  <c:v>74.92916666666666</c:v>
                </c:pt>
                <c:pt idx="10">
                  <c:v>76.208333333333329</c:v>
                </c:pt>
                <c:pt idx="11">
                  <c:v>78.191666666666649</c:v>
                </c:pt>
                <c:pt idx="12">
                  <c:v>82.339130434782618</c:v>
                </c:pt>
                <c:pt idx="13">
                  <c:v>76.297916666666694</c:v>
                </c:pt>
                <c:pt idx="14">
                  <c:v>70.795833333333334</c:v>
                </c:pt>
                <c:pt idx="15">
                  <c:v>65.469565217391306</c:v>
                </c:pt>
                <c:pt idx="16">
                  <c:v>68.42083333333332</c:v>
                </c:pt>
                <c:pt idx="17">
                  <c:v>65.596527777777794</c:v>
                </c:pt>
                <c:pt idx="18">
                  <c:v>68.602777777777774</c:v>
                </c:pt>
                <c:pt idx="19">
                  <c:v>74.066874999999996</c:v>
                </c:pt>
                <c:pt idx="20">
                  <c:v>77.607986111111117</c:v>
                </c:pt>
                <c:pt idx="21">
                  <c:v>80.691666666666663</c:v>
                </c:pt>
                <c:pt idx="22">
                  <c:v>79.297222222222231</c:v>
                </c:pt>
                <c:pt idx="23">
                  <c:v>70.632638888888906</c:v>
                </c:pt>
                <c:pt idx="24">
                  <c:v>69.916666666666671</c:v>
                </c:pt>
                <c:pt idx="25">
                  <c:v>75</c:v>
                </c:pt>
                <c:pt idx="26">
                  <c:v>74.838657407407396</c:v>
                </c:pt>
                <c:pt idx="27">
                  <c:v>68.468055555555551</c:v>
                </c:pt>
                <c:pt idx="28">
                  <c:v>63.337499999999999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Data'!$H$53</c:f>
              <c:strCache>
                <c:ptCount val="1"/>
                <c:pt idx="0">
                  <c:v>LEX Budget Avg Hourly Temp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Data'!$H$54:$H$84</c:f>
              <c:numCache>
                <c:formatCode>_(* #,##0_);_(* \(#,##0\);_(* "-"??_);_(@_)</c:formatCode>
                <c:ptCount val="31"/>
                <c:pt idx="0">
                  <c:v>75.099999999999994</c:v>
                </c:pt>
                <c:pt idx="1">
                  <c:v>74.95</c:v>
                </c:pt>
                <c:pt idx="2">
                  <c:v>75.900000000000006</c:v>
                </c:pt>
                <c:pt idx="3">
                  <c:v>76.849999999999994</c:v>
                </c:pt>
                <c:pt idx="4">
                  <c:v>76.05</c:v>
                </c:pt>
                <c:pt idx="5">
                  <c:v>75.3</c:v>
                </c:pt>
                <c:pt idx="6">
                  <c:v>76.25</c:v>
                </c:pt>
                <c:pt idx="7">
                  <c:v>77.2</c:v>
                </c:pt>
                <c:pt idx="8">
                  <c:v>76.599999999999994</c:v>
                </c:pt>
                <c:pt idx="9">
                  <c:v>76.150000000000006</c:v>
                </c:pt>
                <c:pt idx="10">
                  <c:v>75.2</c:v>
                </c:pt>
                <c:pt idx="11">
                  <c:v>75.349999999999994</c:v>
                </c:pt>
                <c:pt idx="12">
                  <c:v>74.8</c:v>
                </c:pt>
                <c:pt idx="13">
                  <c:v>75.599999999999994</c:v>
                </c:pt>
                <c:pt idx="14">
                  <c:v>76.25</c:v>
                </c:pt>
                <c:pt idx="15">
                  <c:v>77.05</c:v>
                </c:pt>
                <c:pt idx="16">
                  <c:v>77</c:v>
                </c:pt>
                <c:pt idx="17">
                  <c:v>77.099999999999994</c:v>
                </c:pt>
                <c:pt idx="18">
                  <c:v>77.849999999999994</c:v>
                </c:pt>
                <c:pt idx="19">
                  <c:v>77.45</c:v>
                </c:pt>
                <c:pt idx="20">
                  <c:v>77.5</c:v>
                </c:pt>
                <c:pt idx="21">
                  <c:v>76.400000000000006</c:v>
                </c:pt>
                <c:pt idx="22">
                  <c:v>76.599999999999994</c:v>
                </c:pt>
                <c:pt idx="23">
                  <c:v>76.400000000000006</c:v>
                </c:pt>
                <c:pt idx="24">
                  <c:v>77.5</c:v>
                </c:pt>
                <c:pt idx="25">
                  <c:v>77</c:v>
                </c:pt>
                <c:pt idx="26">
                  <c:v>76.650000000000006</c:v>
                </c:pt>
                <c:pt idx="27">
                  <c:v>76.3</c:v>
                </c:pt>
                <c:pt idx="28">
                  <c:v>76.599999999999994</c:v>
                </c:pt>
                <c:pt idx="29">
                  <c:v>76.3</c:v>
                </c:pt>
                <c:pt idx="30">
                  <c:v>76.650000000000006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1136"/>
        <c:axId val="53621504"/>
      </c:lineChart>
      <c:catAx>
        <c:axId val="5361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3621504"/>
        <c:crosses val="autoZero"/>
        <c:auto val="1"/>
        <c:lblAlgn val="ctr"/>
        <c:lblOffset val="100"/>
        <c:noMultiLvlLbl val="0"/>
      </c:catAx>
      <c:valAx>
        <c:axId val="53621504"/>
        <c:scaling>
          <c:orientation val="minMax"/>
          <c:max val="9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53611136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Hourly Temperature</a:t>
            </a:r>
          </a:p>
          <a:p>
            <a:pPr>
              <a:defRPr/>
            </a:pPr>
            <a:r>
              <a:rPr lang="en-US"/>
              <a:t>Month</a:t>
            </a:r>
            <a:r>
              <a:rPr lang="en-US" baseline="0"/>
              <a:t> to Date</a:t>
            </a:r>
            <a:r>
              <a:rPr lang="en-US"/>
              <a:t> - </a:t>
            </a:r>
            <a:r>
              <a:rPr lang="en-US">
                <a:solidFill>
                  <a:srgbClr val="00B050"/>
                </a:solidFill>
              </a:rPr>
              <a:t>Louisville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957806836058081"/>
          <c:y val="0.14655943007124109"/>
          <c:w val="0.8371935605035884"/>
          <c:h val="0.6941016122984625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Data'!$G$53</c:f>
              <c:strCache>
                <c:ptCount val="1"/>
                <c:pt idx="0">
                  <c:v>LOU Actual Avg Hourly Temp</c:v>
                </c:pt>
              </c:strCache>
            </c:strRef>
          </c:tx>
          <c:spPr>
            <a:ln w="4762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Data'!$G$54:$G$84</c:f>
              <c:numCache>
                <c:formatCode>_(* #,##0_);_(* \(#,##0\);_(* "-"??_);_(@_)</c:formatCode>
                <c:ptCount val="31"/>
                <c:pt idx="0">
                  <c:v>82.53194444444442</c:v>
                </c:pt>
                <c:pt idx="1">
                  <c:v>75.062083333333334</c:v>
                </c:pt>
                <c:pt idx="2">
                  <c:v>69.704347826086959</c:v>
                </c:pt>
                <c:pt idx="3">
                  <c:v>70.270833333333314</c:v>
                </c:pt>
                <c:pt idx="4">
                  <c:v>72.662500000000009</c:v>
                </c:pt>
                <c:pt idx="5">
                  <c:v>76.745833333333337</c:v>
                </c:pt>
                <c:pt idx="6">
                  <c:v>79.561805555555551</c:v>
                </c:pt>
                <c:pt idx="7">
                  <c:v>79.241666666666674</c:v>
                </c:pt>
                <c:pt idx="8">
                  <c:v>78.412500000000009</c:v>
                </c:pt>
                <c:pt idx="9">
                  <c:v>78.039130434782606</c:v>
                </c:pt>
                <c:pt idx="10">
                  <c:v>77.36666666666666</c:v>
                </c:pt>
                <c:pt idx="11">
                  <c:v>78.526086956521738</c:v>
                </c:pt>
                <c:pt idx="12">
                  <c:v>83.608333333333348</c:v>
                </c:pt>
                <c:pt idx="13">
                  <c:v>76.157986111111128</c:v>
                </c:pt>
                <c:pt idx="14">
                  <c:v>70.920833333333334</c:v>
                </c:pt>
                <c:pt idx="15">
                  <c:v>67.412500000000009</c:v>
                </c:pt>
                <c:pt idx="16">
                  <c:v>69.212499999999991</c:v>
                </c:pt>
                <c:pt idx="17">
                  <c:v>65.8541666666667</c:v>
                </c:pt>
                <c:pt idx="18">
                  <c:v>70.073611111111134</c:v>
                </c:pt>
                <c:pt idx="19">
                  <c:v>75.812152777777783</c:v>
                </c:pt>
                <c:pt idx="20">
                  <c:v>78.649999999999977</c:v>
                </c:pt>
                <c:pt idx="21">
                  <c:v>82.25833333333334</c:v>
                </c:pt>
                <c:pt idx="22">
                  <c:v>80.166666666666686</c:v>
                </c:pt>
                <c:pt idx="23">
                  <c:v>72.995833333333337</c:v>
                </c:pt>
                <c:pt idx="24">
                  <c:v>72.354166666666671</c:v>
                </c:pt>
                <c:pt idx="25">
                  <c:v>80</c:v>
                </c:pt>
                <c:pt idx="26">
                  <c:v>77.004999999999995</c:v>
                </c:pt>
                <c:pt idx="27">
                  <c:v>71.295833333333334</c:v>
                </c:pt>
                <c:pt idx="28">
                  <c:v>66.808333333333337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Data'!$I$53</c:f>
              <c:strCache>
                <c:ptCount val="1"/>
                <c:pt idx="0">
                  <c:v>LOU Budget Avg Hourly Temp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Data'!$I$54:$I$84</c:f>
              <c:numCache>
                <c:formatCode>_(* #,##0_);_(* \(#,##0\);_(* "-"??_);_(@_)</c:formatCode>
                <c:ptCount val="31"/>
                <c:pt idx="0">
                  <c:v>77.099999999999994</c:v>
                </c:pt>
                <c:pt idx="1">
                  <c:v>77.349999999999994</c:v>
                </c:pt>
                <c:pt idx="2">
                  <c:v>77.55</c:v>
                </c:pt>
                <c:pt idx="3">
                  <c:v>78.8</c:v>
                </c:pt>
                <c:pt idx="4">
                  <c:v>78.900000000000006</c:v>
                </c:pt>
                <c:pt idx="5">
                  <c:v>77.3</c:v>
                </c:pt>
                <c:pt idx="6">
                  <c:v>77.45</c:v>
                </c:pt>
                <c:pt idx="7">
                  <c:v>78.8</c:v>
                </c:pt>
                <c:pt idx="8">
                  <c:v>78.650000000000006</c:v>
                </c:pt>
                <c:pt idx="9">
                  <c:v>77.849999999999994</c:v>
                </c:pt>
                <c:pt idx="10">
                  <c:v>77</c:v>
                </c:pt>
                <c:pt idx="11">
                  <c:v>76.95</c:v>
                </c:pt>
                <c:pt idx="12">
                  <c:v>77.349999999999994</c:v>
                </c:pt>
                <c:pt idx="13">
                  <c:v>77.599999999999994</c:v>
                </c:pt>
                <c:pt idx="14">
                  <c:v>77.900000000000006</c:v>
                </c:pt>
                <c:pt idx="15">
                  <c:v>79.3</c:v>
                </c:pt>
                <c:pt idx="16">
                  <c:v>79.5</c:v>
                </c:pt>
                <c:pt idx="17">
                  <c:v>79.3</c:v>
                </c:pt>
                <c:pt idx="18">
                  <c:v>80.099999999999994</c:v>
                </c:pt>
                <c:pt idx="19">
                  <c:v>79.3</c:v>
                </c:pt>
                <c:pt idx="20">
                  <c:v>79.349999999999994</c:v>
                </c:pt>
                <c:pt idx="21">
                  <c:v>78.8</c:v>
                </c:pt>
                <c:pt idx="22">
                  <c:v>78.75</c:v>
                </c:pt>
                <c:pt idx="23">
                  <c:v>78.849999999999994</c:v>
                </c:pt>
                <c:pt idx="24">
                  <c:v>79.400000000000006</c:v>
                </c:pt>
                <c:pt idx="25">
                  <c:v>78.599999999999994</c:v>
                </c:pt>
                <c:pt idx="26">
                  <c:v>78.849999999999994</c:v>
                </c:pt>
                <c:pt idx="27">
                  <c:v>78.05</c:v>
                </c:pt>
                <c:pt idx="28">
                  <c:v>78.849999999999994</c:v>
                </c:pt>
                <c:pt idx="29">
                  <c:v>78.099999999999994</c:v>
                </c:pt>
                <c:pt idx="30">
                  <c:v>78.3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06944"/>
        <c:axId val="100709120"/>
      </c:lineChart>
      <c:catAx>
        <c:axId val="10070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0709120"/>
        <c:crosses val="autoZero"/>
        <c:auto val="1"/>
        <c:lblAlgn val="ctr"/>
        <c:lblOffset val="100"/>
        <c:noMultiLvlLbl val="0"/>
      </c:catAx>
      <c:valAx>
        <c:axId val="100709120"/>
        <c:scaling>
          <c:orientation val="minMax"/>
          <c:max val="9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00706944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Min &amp; Max Temperature</a:t>
            </a:r>
          </a:p>
          <a:p>
            <a:pPr>
              <a:defRPr/>
            </a:pPr>
            <a:r>
              <a:rPr lang="en-US"/>
              <a:t>Month to Date - </a:t>
            </a:r>
            <a:r>
              <a:rPr lang="en-US">
                <a:solidFill>
                  <a:srgbClr val="FF0000"/>
                </a:solidFill>
              </a:rPr>
              <a:t>Lexington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04388238521667"/>
          <c:y val="0.15922351103961468"/>
          <c:w val="0.82460017770789573"/>
          <c:h val="0.61493974543504648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Data'!$J$53</c:f>
              <c:strCache>
                <c:ptCount val="1"/>
                <c:pt idx="0">
                  <c:v>LEX Actual High Temp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Data'!$J$54:$J$84</c:f>
              <c:numCache>
                <c:formatCode>_(* #,##0_);_(* \(#,##0\);_(* "-"??_);_(@_)</c:formatCode>
                <c:ptCount val="31"/>
                <c:pt idx="0">
                  <c:v>90</c:v>
                </c:pt>
                <c:pt idx="1">
                  <c:v>85</c:v>
                </c:pt>
                <c:pt idx="2">
                  <c:v>76</c:v>
                </c:pt>
                <c:pt idx="3">
                  <c:v>80</c:v>
                </c:pt>
                <c:pt idx="4">
                  <c:v>82</c:v>
                </c:pt>
                <c:pt idx="5">
                  <c:v>86</c:v>
                </c:pt>
                <c:pt idx="6">
                  <c:v>89</c:v>
                </c:pt>
                <c:pt idx="7">
                  <c:v>89</c:v>
                </c:pt>
                <c:pt idx="8">
                  <c:v>87</c:v>
                </c:pt>
                <c:pt idx="9">
                  <c:v>87</c:v>
                </c:pt>
                <c:pt idx="10">
                  <c:v>90</c:v>
                </c:pt>
                <c:pt idx="11">
                  <c:v>90</c:v>
                </c:pt>
                <c:pt idx="12">
                  <c:v>93</c:v>
                </c:pt>
                <c:pt idx="13">
                  <c:v>87</c:v>
                </c:pt>
                <c:pt idx="14">
                  <c:v>78</c:v>
                </c:pt>
                <c:pt idx="15">
                  <c:v>77</c:v>
                </c:pt>
                <c:pt idx="16">
                  <c:v>80</c:v>
                </c:pt>
                <c:pt idx="17">
                  <c:v>72</c:v>
                </c:pt>
                <c:pt idx="18">
                  <c:v>76</c:v>
                </c:pt>
                <c:pt idx="19">
                  <c:v>84</c:v>
                </c:pt>
                <c:pt idx="20">
                  <c:v>90</c:v>
                </c:pt>
                <c:pt idx="21">
                  <c:v>91</c:v>
                </c:pt>
                <c:pt idx="22">
                  <c:v>87</c:v>
                </c:pt>
                <c:pt idx="23">
                  <c:v>79</c:v>
                </c:pt>
                <c:pt idx="24">
                  <c:v>83</c:v>
                </c:pt>
                <c:pt idx="25">
                  <c:v>87</c:v>
                </c:pt>
                <c:pt idx="26">
                  <c:v>87</c:v>
                </c:pt>
                <c:pt idx="27">
                  <c:v>75</c:v>
                </c:pt>
                <c:pt idx="28">
                  <c:v>75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Data'!$L$53</c:f>
              <c:strCache>
                <c:ptCount val="1"/>
                <c:pt idx="0">
                  <c:v>LEX Budget High Temp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Data'!$L$54:$L$84</c:f>
              <c:numCache>
                <c:formatCode>_(* #,##0_);_(* \(#,##0\);_(* "-"??_);_(@_)</c:formatCode>
                <c:ptCount val="31"/>
                <c:pt idx="0">
                  <c:v>85.15</c:v>
                </c:pt>
                <c:pt idx="1">
                  <c:v>85.3</c:v>
                </c:pt>
                <c:pt idx="2">
                  <c:v>86.95</c:v>
                </c:pt>
                <c:pt idx="3">
                  <c:v>86.1</c:v>
                </c:pt>
                <c:pt idx="4">
                  <c:v>85.55</c:v>
                </c:pt>
                <c:pt idx="5">
                  <c:v>86.3</c:v>
                </c:pt>
                <c:pt idx="6">
                  <c:v>87</c:v>
                </c:pt>
                <c:pt idx="7">
                  <c:v>87.6</c:v>
                </c:pt>
                <c:pt idx="8">
                  <c:v>86.1</c:v>
                </c:pt>
                <c:pt idx="9">
                  <c:v>86.4</c:v>
                </c:pt>
                <c:pt idx="10">
                  <c:v>85.75</c:v>
                </c:pt>
                <c:pt idx="11">
                  <c:v>85.3</c:v>
                </c:pt>
                <c:pt idx="12">
                  <c:v>83.15</c:v>
                </c:pt>
                <c:pt idx="13">
                  <c:v>85.35</c:v>
                </c:pt>
                <c:pt idx="14">
                  <c:v>85.25</c:v>
                </c:pt>
                <c:pt idx="15">
                  <c:v>86.55</c:v>
                </c:pt>
                <c:pt idx="16">
                  <c:v>86.5</c:v>
                </c:pt>
                <c:pt idx="17">
                  <c:v>86.45</c:v>
                </c:pt>
                <c:pt idx="18">
                  <c:v>87.65</c:v>
                </c:pt>
                <c:pt idx="19">
                  <c:v>87.95</c:v>
                </c:pt>
                <c:pt idx="20">
                  <c:v>86.8</c:v>
                </c:pt>
                <c:pt idx="21">
                  <c:v>85.1</c:v>
                </c:pt>
                <c:pt idx="22">
                  <c:v>85.15</c:v>
                </c:pt>
                <c:pt idx="23">
                  <c:v>85.6</c:v>
                </c:pt>
                <c:pt idx="24">
                  <c:v>87.1</c:v>
                </c:pt>
                <c:pt idx="25">
                  <c:v>86</c:v>
                </c:pt>
                <c:pt idx="26">
                  <c:v>85.65</c:v>
                </c:pt>
                <c:pt idx="27">
                  <c:v>85.2</c:v>
                </c:pt>
                <c:pt idx="28">
                  <c:v>85.55</c:v>
                </c:pt>
                <c:pt idx="29">
                  <c:v>86.05</c:v>
                </c:pt>
                <c:pt idx="30">
                  <c:v>86.4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Data'!$N$53</c:f>
              <c:strCache>
                <c:ptCount val="1"/>
                <c:pt idx="0">
                  <c:v>LEX Actual Low Temp</c:v>
                </c:pt>
              </c:strCache>
            </c:strRef>
          </c:tx>
          <c:spPr>
            <a:ln w="47625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'Chart Data'!$N$54:$N$84</c:f>
              <c:numCache>
                <c:formatCode>_(* #,##0_);_(* \(#,##0\);_(* "-"??_);_(@_)</c:formatCode>
                <c:ptCount val="31"/>
                <c:pt idx="0">
                  <c:v>70</c:v>
                </c:pt>
                <c:pt idx="1">
                  <c:v>68</c:v>
                </c:pt>
                <c:pt idx="2">
                  <c:v>62</c:v>
                </c:pt>
                <c:pt idx="3">
                  <c:v>55</c:v>
                </c:pt>
                <c:pt idx="4">
                  <c:v>60</c:v>
                </c:pt>
                <c:pt idx="5">
                  <c:v>63</c:v>
                </c:pt>
                <c:pt idx="6">
                  <c:v>68</c:v>
                </c:pt>
                <c:pt idx="7">
                  <c:v>70</c:v>
                </c:pt>
                <c:pt idx="8">
                  <c:v>67</c:v>
                </c:pt>
                <c:pt idx="9">
                  <c:v>62</c:v>
                </c:pt>
                <c:pt idx="10">
                  <c:v>60</c:v>
                </c:pt>
                <c:pt idx="11">
                  <c:v>63</c:v>
                </c:pt>
                <c:pt idx="12">
                  <c:v>72</c:v>
                </c:pt>
                <c:pt idx="13">
                  <c:v>68</c:v>
                </c:pt>
                <c:pt idx="14">
                  <c:v>59</c:v>
                </c:pt>
                <c:pt idx="15">
                  <c:v>54</c:v>
                </c:pt>
                <c:pt idx="16">
                  <c:v>54</c:v>
                </c:pt>
                <c:pt idx="17">
                  <c:v>61</c:v>
                </c:pt>
                <c:pt idx="18">
                  <c:v>64</c:v>
                </c:pt>
                <c:pt idx="19">
                  <c:v>69</c:v>
                </c:pt>
                <c:pt idx="20">
                  <c:v>66</c:v>
                </c:pt>
                <c:pt idx="21">
                  <c:v>68</c:v>
                </c:pt>
                <c:pt idx="22">
                  <c:v>72</c:v>
                </c:pt>
                <c:pt idx="23">
                  <c:v>62</c:v>
                </c:pt>
                <c:pt idx="24">
                  <c:v>55</c:v>
                </c:pt>
                <c:pt idx="25">
                  <c:v>63</c:v>
                </c:pt>
                <c:pt idx="26">
                  <c:v>68</c:v>
                </c:pt>
                <c:pt idx="27">
                  <c:v>60</c:v>
                </c:pt>
                <c:pt idx="28">
                  <c:v>51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Data'!$P$53</c:f>
              <c:strCache>
                <c:ptCount val="1"/>
                <c:pt idx="0">
                  <c:v>LEX Budget Low Temp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val>
            <c:numRef>
              <c:f>'Chart Data'!$P$54:$P$84</c:f>
              <c:numCache>
                <c:formatCode>_(* #,##0_);_(* \(#,##0\);_(* "-"??_);_(@_)</c:formatCode>
                <c:ptCount val="31"/>
                <c:pt idx="0">
                  <c:v>65.3</c:v>
                </c:pt>
                <c:pt idx="1">
                  <c:v>64.8</c:v>
                </c:pt>
                <c:pt idx="2">
                  <c:v>64.900000000000006</c:v>
                </c:pt>
                <c:pt idx="3">
                  <c:v>67.650000000000006</c:v>
                </c:pt>
                <c:pt idx="4">
                  <c:v>66.599999999999994</c:v>
                </c:pt>
                <c:pt idx="5">
                  <c:v>64.650000000000006</c:v>
                </c:pt>
                <c:pt idx="6">
                  <c:v>65.849999999999994</c:v>
                </c:pt>
                <c:pt idx="7">
                  <c:v>67</c:v>
                </c:pt>
                <c:pt idx="8">
                  <c:v>67.349999999999994</c:v>
                </c:pt>
                <c:pt idx="9">
                  <c:v>66.05</c:v>
                </c:pt>
                <c:pt idx="10">
                  <c:v>64.7</c:v>
                </c:pt>
                <c:pt idx="11">
                  <c:v>65.849999999999994</c:v>
                </c:pt>
                <c:pt idx="12">
                  <c:v>66.75</c:v>
                </c:pt>
                <c:pt idx="13">
                  <c:v>66.25</c:v>
                </c:pt>
                <c:pt idx="14">
                  <c:v>67.150000000000006</c:v>
                </c:pt>
                <c:pt idx="15">
                  <c:v>67.849999999999994</c:v>
                </c:pt>
                <c:pt idx="16">
                  <c:v>67.75</c:v>
                </c:pt>
                <c:pt idx="17">
                  <c:v>67.55</c:v>
                </c:pt>
                <c:pt idx="18">
                  <c:v>68.2</c:v>
                </c:pt>
                <c:pt idx="19">
                  <c:v>67.2</c:v>
                </c:pt>
                <c:pt idx="20">
                  <c:v>68.2</c:v>
                </c:pt>
                <c:pt idx="21">
                  <c:v>68.2</c:v>
                </c:pt>
                <c:pt idx="22">
                  <c:v>68.099999999999994</c:v>
                </c:pt>
                <c:pt idx="23">
                  <c:v>67.3</c:v>
                </c:pt>
                <c:pt idx="24">
                  <c:v>68</c:v>
                </c:pt>
                <c:pt idx="25">
                  <c:v>68.150000000000006</c:v>
                </c:pt>
                <c:pt idx="26">
                  <c:v>67.5</c:v>
                </c:pt>
                <c:pt idx="27">
                  <c:v>67.7</c:v>
                </c:pt>
                <c:pt idx="28">
                  <c:v>67.8</c:v>
                </c:pt>
                <c:pt idx="29">
                  <c:v>66.599999999999994</c:v>
                </c:pt>
                <c:pt idx="30">
                  <c:v>66.7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7648"/>
        <c:axId val="50829568"/>
      </c:lineChart>
      <c:catAx>
        <c:axId val="5082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0829568"/>
        <c:crosses val="autoZero"/>
        <c:auto val="1"/>
        <c:lblAlgn val="ctr"/>
        <c:lblOffset val="100"/>
        <c:noMultiLvlLbl val="0"/>
      </c:catAx>
      <c:valAx>
        <c:axId val="50829568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50827648"/>
        <c:crosses val="autoZero"/>
        <c:crossBetween val="between"/>
        <c:majorUnit val="10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Min &amp; Max Temperature</a:t>
            </a:r>
          </a:p>
          <a:p>
            <a:pPr>
              <a:defRPr/>
            </a:pPr>
            <a:r>
              <a:rPr lang="en-US"/>
              <a:t>Month to Date - </a:t>
            </a:r>
            <a:r>
              <a:rPr lang="en-US">
                <a:solidFill>
                  <a:srgbClr val="00B050"/>
                </a:solidFill>
              </a:rPr>
              <a:t>Louisville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93600542404465"/>
          <c:y val="0.16847955309763932"/>
          <c:w val="0.82182046578567536"/>
          <c:h val="0.60370245023264268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Data'!$K$53</c:f>
              <c:strCache>
                <c:ptCount val="1"/>
                <c:pt idx="0">
                  <c:v>LOU Actual High Temp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Data'!$K$54:$K$84</c:f>
              <c:numCache>
                <c:formatCode>_(* #,##0_);_(* \(#,##0\);_(* "-"??_);_(@_)</c:formatCode>
                <c:ptCount val="31"/>
                <c:pt idx="0">
                  <c:v>93</c:v>
                </c:pt>
                <c:pt idx="1">
                  <c:v>87</c:v>
                </c:pt>
                <c:pt idx="2">
                  <c:v>75</c:v>
                </c:pt>
                <c:pt idx="3">
                  <c:v>81</c:v>
                </c:pt>
                <c:pt idx="4">
                  <c:v>83</c:v>
                </c:pt>
                <c:pt idx="5">
                  <c:v>87</c:v>
                </c:pt>
                <c:pt idx="6">
                  <c:v>89</c:v>
                </c:pt>
                <c:pt idx="7">
                  <c:v>87</c:v>
                </c:pt>
                <c:pt idx="8">
                  <c:v>87</c:v>
                </c:pt>
                <c:pt idx="9">
                  <c:v>88</c:v>
                </c:pt>
                <c:pt idx="10">
                  <c:v>90</c:v>
                </c:pt>
                <c:pt idx="11">
                  <c:v>89</c:v>
                </c:pt>
                <c:pt idx="12">
                  <c:v>95</c:v>
                </c:pt>
                <c:pt idx="13">
                  <c:v>85</c:v>
                </c:pt>
                <c:pt idx="14">
                  <c:v>77</c:v>
                </c:pt>
                <c:pt idx="15">
                  <c:v>77</c:v>
                </c:pt>
                <c:pt idx="16">
                  <c:v>80</c:v>
                </c:pt>
                <c:pt idx="17">
                  <c:v>72</c:v>
                </c:pt>
                <c:pt idx="18">
                  <c:v>76</c:v>
                </c:pt>
                <c:pt idx="19">
                  <c:v>85</c:v>
                </c:pt>
                <c:pt idx="20">
                  <c:v>90</c:v>
                </c:pt>
                <c:pt idx="21">
                  <c:v>94</c:v>
                </c:pt>
                <c:pt idx="22">
                  <c:v>87</c:v>
                </c:pt>
                <c:pt idx="23">
                  <c:v>80</c:v>
                </c:pt>
                <c:pt idx="24">
                  <c:v>85</c:v>
                </c:pt>
                <c:pt idx="25">
                  <c:v>93</c:v>
                </c:pt>
                <c:pt idx="26">
                  <c:v>91</c:v>
                </c:pt>
                <c:pt idx="27">
                  <c:v>78</c:v>
                </c:pt>
                <c:pt idx="28">
                  <c:v>78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Data'!$M$53</c:f>
              <c:strCache>
                <c:ptCount val="1"/>
                <c:pt idx="0">
                  <c:v>LOU Budget High Temp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Data'!$M$54:$M$84</c:f>
              <c:numCache>
                <c:formatCode>_(* #,##0_);_(* \(#,##0\);_(* "-"??_);_(@_)</c:formatCode>
                <c:ptCount val="31"/>
                <c:pt idx="0">
                  <c:v>86.15</c:v>
                </c:pt>
                <c:pt idx="1">
                  <c:v>86.75</c:v>
                </c:pt>
                <c:pt idx="2">
                  <c:v>88.05</c:v>
                </c:pt>
                <c:pt idx="3">
                  <c:v>87.5</c:v>
                </c:pt>
                <c:pt idx="4">
                  <c:v>87.35</c:v>
                </c:pt>
                <c:pt idx="5">
                  <c:v>87.45</c:v>
                </c:pt>
                <c:pt idx="6">
                  <c:v>87.7</c:v>
                </c:pt>
                <c:pt idx="7">
                  <c:v>88.75</c:v>
                </c:pt>
                <c:pt idx="8">
                  <c:v>87.35</c:v>
                </c:pt>
                <c:pt idx="9">
                  <c:v>87.35</c:v>
                </c:pt>
                <c:pt idx="10">
                  <c:v>86.35</c:v>
                </c:pt>
                <c:pt idx="11">
                  <c:v>86.6</c:v>
                </c:pt>
                <c:pt idx="12">
                  <c:v>86.05</c:v>
                </c:pt>
                <c:pt idx="13">
                  <c:v>87.15</c:v>
                </c:pt>
                <c:pt idx="14">
                  <c:v>86.85</c:v>
                </c:pt>
                <c:pt idx="15">
                  <c:v>88.8</c:v>
                </c:pt>
                <c:pt idx="16">
                  <c:v>88.8</c:v>
                </c:pt>
                <c:pt idx="17">
                  <c:v>88.4</c:v>
                </c:pt>
                <c:pt idx="18">
                  <c:v>89.55</c:v>
                </c:pt>
                <c:pt idx="19">
                  <c:v>88.5</c:v>
                </c:pt>
                <c:pt idx="20">
                  <c:v>88.15</c:v>
                </c:pt>
                <c:pt idx="21">
                  <c:v>86.7</c:v>
                </c:pt>
                <c:pt idx="22">
                  <c:v>87.55</c:v>
                </c:pt>
                <c:pt idx="23">
                  <c:v>88.1</c:v>
                </c:pt>
                <c:pt idx="24">
                  <c:v>88.15</c:v>
                </c:pt>
                <c:pt idx="25">
                  <c:v>87.45</c:v>
                </c:pt>
                <c:pt idx="26">
                  <c:v>87.4</c:v>
                </c:pt>
                <c:pt idx="27">
                  <c:v>86.95</c:v>
                </c:pt>
                <c:pt idx="28">
                  <c:v>88.1</c:v>
                </c:pt>
                <c:pt idx="29">
                  <c:v>87.2</c:v>
                </c:pt>
                <c:pt idx="30">
                  <c:v>88.2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Data'!$O$53</c:f>
              <c:strCache>
                <c:ptCount val="1"/>
                <c:pt idx="0">
                  <c:v>LOU Actual Low Temp</c:v>
                </c:pt>
              </c:strCache>
            </c:strRef>
          </c:tx>
          <c:spPr>
            <a:ln w="47625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'Chart Data'!$O$54:$O$84</c:f>
              <c:numCache>
                <c:formatCode>_(* #,##0_);_(* \(#,##0\);_(* "-"??_);_(@_)</c:formatCode>
                <c:ptCount val="31"/>
                <c:pt idx="0">
                  <c:v>70</c:v>
                </c:pt>
                <c:pt idx="1">
                  <c:v>68</c:v>
                </c:pt>
                <c:pt idx="2">
                  <c:v>61</c:v>
                </c:pt>
                <c:pt idx="3">
                  <c:v>56</c:v>
                </c:pt>
                <c:pt idx="4">
                  <c:v>57</c:v>
                </c:pt>
                <c:pt idx="5">
                  <c:v>64</c:v>
                </c:pt>
                <c:pt idx="6">
                  <c:v>72</c:v>
                </c:pt>
                <c:pt idx="7">
                  <c:v>72</c:v>
                </c:pt>
                <c:pt idx="8">
                  <c:v>69</c:v>
                </c:pt>
                <c:pt idx="9">
                  <c:v>67</c:v>
                </c:pt>
                <c:pt idx="10">
                  <c:v>62</c:v>
                </c:pt>
                <c:pt idx="11">
                  <c:v>66</c:v>
                </c:pt>
                <c:pt idx="12">
                  <c:v>73</c:v>
                </c:pt>
                <c:pt idx="13">
                  <c:v>69</c:v>
                </c:pt>
                <c:pt idx="14">
                  <c:v>62</c:v>
                </c:pt>
                <c:pt idx="15">
                  <c:v>57</c:v>
                </c:pt>
                <c:pt idx="16">
                  <c:v>57</c:v>
                </c:pt>
                <c:pt idx="17">
                  <c:v>62</c:v>
                </c:pt>
                <c:pt idx="18">
                  <c:v>65</c:v>
                </c:pt>
                <c:pt idx="19">
                  <c:v>69</c:v>
                </c:pt>
                <c:pt idx="20">
                  <c:v>66</c:v>
                </c:pt>
                <c:pt idx="21">
                  <c:v>68</c:v>
                </c:pt>
                <c:pt idx="22">
                  <c:v>72</c:v>
                </c:pt>
                <c:pt idx="23">
                  <c:v>67</c:v>
                </c:pt>
                <c:pt idx="24">
                  <c:v>57</c:v>
                </c:pt>
                <c:pt idx="25">
                  <c:v>67</c:v>
                </c:pt>
                <c:pt idx="26">
                  <c:v>69</c:v>
                </c:pt>
                <c:pt idx="27">
                  <c:v>63</c:v>
                </c:pt>
                <c:pt idx="28">
                  <c:v>53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Data'!$Q$53</c:f>
              <c:strCache>
                <c:ptCount val="1"/>
                <c:pt idx="0">
                  <c:v>LOU Budget Low Temp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val>
            <c:numRef>
              <c:f>'Chart Data'!$Q$54:$Q$84</c:f>
              <c:numCache>
                <c:formatCode>_(* #,##0_);_(* \(#,##0\);_(* "-"??_);_(@_)</c:formatCode>
                <c:ptCount val="31"/>
                <c:pt idx="0">
                  <c:v>68.25</c:v>
                </c:pt>
                <c:pt idx="1">
                  <c:v>67.75</c:v>
                </c:pt>
                <c:pt idx="2">
                  <c:v>67.5</c:v>
                </c:pt>
                <c:pt idx="3">
                  <c:v>70.2</c:v>
                </c:pt>
                <c:pt idx="4">
                  <c:v>70</c:v>
                </c:pt>
                <c:pt idx="5">
                  <c:v>67.400000000000006</c:v>
                </c:pt>
                <c:pt idx="6">
                  <c:v>67.3</c:v>
                </c:pt>
                <c:pt idx="7">
                  <c:v>69.05</c:v>
                </c:pt>
                <c:pt idx="8">
                  <c:v>69.7</c:v>
                </c:pt>
                <c:pt idx="9">
                  <c:v>68.5</c:v>
                </c:pt>
                <c:pt idx="10">
                  <c:v>68</c:v>
                </c:pt>
                <c:pt idx="11">
                  <c:v>67.45</c:v>
                </c:pt>
                <c:pt idx="12">
                  <c:v>68.75</c:v>
                </c:pt>
                <c:pt idx="13">
                  <c:v>67.900000000000006</c:v>
                </c:pt>
                <c:pt idx="14">
                  <c:v>69.5</c:v>
                </c:pt>
                <c:pt idx="15">
                  <c:v>70.25</c:v>
                </c:pt>
                <c:pt idx="16">
                  <c:v>70.5</c:v>
                </c:pt>
                <c:pt idx="17">
                  <c:v>70.3</c:v>
                </c:pt>
                <c:pt idx="18">
                  <c:v>70.599999999999994</c:v>
                </c:pt>
                <c:pt idx="19">
                  <c:v>69.95</c:v>
                </c:pt>
                <c:pt idx="20">
                  <c:v>70.650000000000006</c:v>
                </c:pt>
                <c:pt idx="21">
                  <c:v>70.95</c:v>
                </c:pt>
                <c:pt idx="22">
                  <c:v>70.349999999999994</c:v>
                </c:pt>
                <c:pt idx="23">
                  <c:v>69.7</c:v>
                </c:pt>
                <c:pt idx="24">
                  <c:v>70.55</c:v>
                </c:pt>
                <c:pt idx="25">
                  <c:v>69.8</c:v>
                </c:pt>
                <c:pt idx="26">
                  <c:v>70.55</c:v>
                </c:pt>
                <c:pt idx="27">
                  <c:v>69.349999999999994</c:v>
                </c:pt>
                <c:pt idx="28">
                  <c:v>69.900000000000006</c:v>
                </c:pt>
                <c:pt idx="29">
                  <c:v>69.05</c:v>
                </c:pt>
                <c:pt idx="30">
                  <c:v>68.349999999999994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03392"/>
        <c:axId val="100605312"/>
      </c:lineChart>
      <c:catAx>
        <c:axId val="10060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0605312"/>
        <c:crosses val="autoZero"/>
        <c:auto val="1"/>
        <c:lblAlgn val="ctr"/>
        <c:lblOffset val="100"/>
        <c:noMultiLvlLbl val="0"/>
      </c:catAx>
      <c:valAx>
        <c:axId val="100605312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100603392"/>
        <c:crosses val="autoZero"/>
        <c:crossBetween val="between"/>
        <c:majorUnit val="10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pin" dx="16" fmlaLink="'Chart Data'!$C$37" max="31" min="1" page="10" val="31"/>
</file>

<file path=xl/ctrlProps/ctrlProp2.xml><?xml version="1.0" encoding="utf-8"?>
<formControlPr xmlns="http://schemas.microsoft.com/office/spreadsheetml/2009/9/main" objectType="Spin" dx="16" fmlaLink="'Chart Data'!$C$37" max="31" min="1" page="10" val="3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52917</xdr:colOff>
      <xdr:row>0</xdr:row>
      <xdr:rowOff>79377</xdr:rowOff>
    </xdr:from>
    <xdr:to>
      <xdr:col>3</xdr:col>
      <xdr:colOff>1071564</xdr:colOff>
      <xdr:row>2</xdr:row>
      <xdr:rowOff>218977</xdr:rowOff>
    </xdr:to>
    <xdr:pic>
      <xdr:nvPicPr>
        <xdr:cNvPr id="4" name="Picture 3" descr="LGE_RGB_PPL_tag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27500" y="79377"/>
          <a:ext cx="2222500" cy="701144"/>
        </a:xfrm>
        <a:prstGeom prst="rect">
          <a:avLst/>
        </a:prstGeom>
      </xdr:spPr>
    </xdr:pic>
    <xdr:clientData/>
  </xdr:twoCellAnchor>
  <xdr:twoCellAnchor editAs="oneCell">
    <xdr:from>
      <xdr:col>10</xdr:col>
      <xdr:colOff>39688</xdr:colOff>
      <xdr:row>0</xdr:row>
      <xdr:rowOff>105834</xdr:rowOff>
    </xdr:from>
    <xdr:to>
      <xdr:col>11</xdr:col>
      <xdr:colOff>873127</xdr:colOff>
      <xdr:row>2</xdr:row>
      <xdr:rowOff>246414</xdr:rowOff>
    </xdr:to>
    <xdr:pic>
      <xdr:nvPicPr>
        <xdr:cNvPr id="5" name="Picture 4" descr="KU_RGB_PPLtag.w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36563" y="105834"/>
          <a:ext cx="2037292" cy="7011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733425</xdr:colOff>
          <xdr:row>4</xdr:row>
          <xdr:rowOff>85725</xdr:rowOff>
        </xdr:from>
        <xdr:to>
          <xdr:col>3</xdr:col>
          <xdr:colOff>1171575</xdr:colOff>
          <xdr:row>6</xdr:row>
          <xdr:rowOff>19050</xdr:rowOff>
        </xdr:to>
        <xdr:sp macro="" textlink="">
          <xdr:nvSpPr>
            <xdr:cNvPr id="8197" name="Spinner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27476" y="28209"/>
    <xdr:ext cx="6105525" cy="5314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72567" y="27476"/>
    <xdr:ext cx="6010275" cy="5324474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0.84244</cdr:x>
      <cdr:y>0</cdr:y>
    </cdr:from>
    <cdr:to>
      <cdr:x>1</cdr:x>
      <cdr:y>0.08244</cdr:y>
    </cdr:to>
    <cdr:sp macro="" textlink="'Chart Data'!$B$53">
      <cdr:nvSpPr>
        <cdr:cNvPr id="4" name="TextBox 1"/>
        <cdr:cNvSpPr txBox="1"/>
      </cdr:nvSpPr>
      <cdr:spPr>
        <a:xfrm xmlns:a="http://schemas.openxmlformats.org/drawingml/2006/main">
          <a:off x="5143539" y="0"/>
          <a:ext cx="961986" cy="438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432D4B0-1347-4B82-9012-36EEBF077CF2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Jul-2014</a:t>
          </a:fld>
          <a:endParaRPr lang="en-US" sz="1100" i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0.83994</cdr:x>
      <cdr:y>0</cdr:y>
    </cdr:from>
    <cdr:to>
      <cdr:x>1</cdr:x>
      <cdr:y>0.08229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5048270" y="0"/>
          <a:ext cx="962005" cy="438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B1FFB6B-91D0-4E5D-8B0B-5C4D2C9CDFA9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Jul-2014</a:t>
          </a:fld>
          <a:endParaRPr lang="en-US" sz="1100" i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0</xdr:rowOff>
    </xdr:from>
    <xdr:to>
      <xdr:col>12</xdr:col>
      <xdr:colOff>0</xdr:colOff>
      <xdr:row>83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609600" y="14963775"/>
          <a:ext cx="145827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15</xdr:col>
      <xdr:colOff>0</xdr:colOff>
      <xdr:row>83</xdr:row>
      <xdr:rowOff>0</xdr:rowOff>
    </xdr:from>
    <xdr:to>
      <xdr:col>20</xdr:col>
      <xdr:colOff>0</xdr:colOff>
      <xdr:row>83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18516600" y="14963775"/>
          <a:ext cx="17535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911121" y="43792"/>
    <xdr:ext cx="7348715" cy="63171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3794" y="43793"/>
    <xdr:ext cx="7776882" cy="631715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285750</xdr:colOff>
          <xdr:row>0</xdr:row>
          <xdr:rowOff>133350</xdr:rowOff>
        </xdr:from>
        <xdr:to>
          <xdr:col>11</xdr:col>
          <xdr:colOff>28575</xdr:colOff>
          <xdr:row>4</xdr:row>
          <xdr:rowOff>0</xdr:rowOff>
        </xdr:to>
        <xdr:sp macro="" textlink="">
          <xdr:nvSpPr>
            <xdr:cNvPr id="21505" name="Spinner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absoluteAnchor>
    <xdr:pos x="15335251" y="47625"/>
    <xdr:ext cx="7348715" cy="6317156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0.86909</cdr:x>
      <cdr:y>0</cdr:y>
    </cdr:from>
    <cdr:to>
      <cdr:x>1</cdr:x>
      <cdr:y>0.06936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6386694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7A6B96C-3FA9-45D8-B750-2230949AB196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Jul-2014</a:t>
          </a:fld>
          <a:endParaRPr lang="en-US" sz="1100" i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0.01433</cdr:x>
      <cdr:y>0.95059</cdr:y>
    </cdr:from>
    <cdr:to>
      <cdr:x>0.95998</cdr:x>
      <cdr:y>0.99178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4239" y="5973832"/>
          <a:ext cx="8199783" cy="258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Note:</a:t>
          </a:r>
          <a:r>
            <a:rPr lang="en-US" sz="1100" i="1" baseline="0"/>
            <a:t> Hourly temperature data may not be immediately available for all hours on this daily report.</a:t>
          </a:r>
          <a:endParaRPr lang="en-US" sz="1100" i="1"/>
        </a:p>
      </cdr:txBody>
    </cdr:sp>
  </cdr:relSizeAnchor>
  <cdr:relSizeAnchor xmlns:cdr="http://schemas.openxmlformats.org/drawingml/2006/chartDrawing">
    <cdr:from>
      <cdr:x>0.8763</cdr:x>
      <cdr:y>0</cdr:y>
    </cdr:from>
    <cdr:to>
      <cdr:x>1</cdr:x>
      <cdr:y>0.06936</cdr:y>
    </cdr:to>
    <cdr:sp macro="" textlink="'Chart Data'!$E$37">
      <cdr:nvSpPr>
        <cdr:cNvPr id="3" name="TextBox 1"/>
        <cdr:cNvSpPr txBox="1"/>
      </cdr:nvSpPr>
      <cdr:spPr>
        <a:xfrm xmlns:a="http://schemas.openxmlformats.org/drawingml/2006/main">
          <a:off x="6814861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CC51E4-8998-41A6-A4EF-C722FB9E5747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Thursday</a:t>
          </a:fld>
          <a:endParaRPr lang="en-US" sz="1100" b="1" i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0.86909</cdr:x>
      <cdr:y>0</cdr:y>
    </cdr:from>
    <cdr:to>
      <cdr:x>1</cdr:x>
      <cdr:y>0.06936</cdr:y>
    </cdr:to>
    <cdr:sp macro="" textlink="'Chart Data'!$B$87">
      <cdr:nvSpPr>
        <cdr:cNvPr id="3" name="TextBox 1"/>
        <cdr:cNvSpPr txBox="1"/>
      </cdr:nvSpPr>
      <cdr:spPr>
        <a:xfrm xmlns:a="http://schemas.openxmlformats.org/drawingml/2006/main">
          <a:off x="6386694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6FE31A9-D754-45A3-BA64-5D5A13952243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2014</a:t>
          </a:fld>
          <a:endParaRPr lang="en-US" sz="1100" b="1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7475" y="36635"/>
    <xdr:ext cx="6115050" cy="5343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78536" y="36634"/>
    <xdr:ext cx="6014197" cy="533949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0.84268</cdr:x>
      <cdr:y>0</cdr:y>
    </cdr:from>
    <cdr:to>
      <cdr:x>1</cdr:x>
      <cdr:y>0.082</cdr:y>
    </cdr:to>
    <cdr:sp macro="" textlink="'Chart Data'!$B$53">
      <cdr:nvSpPr>
        <cdr:cNvPr id="2" name="TextBox 1"/>
        <cdr:cNvSpPr txBox="1"/>
      </cdr:nvSpPr>
      <cdr:spPr>
        <a:xfrm xmlns:a="http://schemas.openxmlformats.org/drawingml/2006/main">
          <a:off x="5153025" y="0"/>
          <a:ext cx="9620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BC4488A5-6A17-494F-86C1-FB6549B719D8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Jul-2014</a:t>
          </a:fld>
          <a:endParaRPr lang="en-US" sz="1100" i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0.84004</cdr:x>
      <cdr:y>0</cdr:y>
    </cdr:from>
    <cdr:to>
      <cdr:x>1</cdr:x>
      <cdr:y>0.08206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5052166" y="0"/>
          <a:ext cx="962031" cy="43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8A37C-239F-4D78-ABB3-7A8789E0DFCA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Jul-2014</a:t>
          </a:fld>
          <a:endParaRPr lang="en-US" sz="1100" i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82"/>
  <sheetViews>
    <sheetView tabSelected="1" zoomScale="90" zoomScaleNormal="90" workbookViewId="0">
      <pane xSplit="1" ySplit="5" topLeftCell="AC21" activePane="bottomRight" state="frozen"/>
      <selection activeCell="M28" sqref="M28"/>
      <selection pane="topRight" activeCell="M28" sqref="M28"/>
      <selection pane="bottomLeft" activeCell="M28" sqref="M28"/>
      <selection pane="bottomRight" sqref="A1:AR1048576"/>
    </sheetView>
  </sheetViews>
  <sheetFormatPr defaultRowHeight="12.75"/>
  <cols>
    <col min="1" max="1" width="12.5703125" style="62" customWidth="1"/>
    <col min="2" max="2" width="19.140625" style="40" customWidth="1"/>
    <col min="3" max="3" width="22.28515625" style="40" customWidth="1"/>
    <col min="4" max="4" width="24.85546875" style="40" customWidth="1"/>
    <col min="5" max="5" width="23.140625" style="40" customWidth="1"/>
    <col min="6" max="6" width="22.5703125" style="40" customWidth="1"/>
    <col min="7" max="7" width="23.85546875" style="40" customWidth="1"/>
    <col min="8" max="8" width="21.85546875" style="40" customWidth="1"/>
    <col min="9" max="9" width="26" style="40" customWidth="1"/>
    <col min="10" max="11" width="21.7109375" style="40" customWidth="1"/>
    <col min="12" max="12" width="29.28515625" style="40" customWidth="1"/>
    <col min="13" max="13" width="23.85546875" style="45" customWidth="1"/>
    <col min="14" max="14" width="23.5703125" style="45" customWidth="1"/>
    <col min="15" max="15" width="19.28515625" style="45" customWidth="1"/>
    <col min="16" max="16" width="19.140625" style="45" customWidth="1"/>
    <col min="17" max="17" width="17.140625" style="46" customWidth="1"/>
    <col min="18" max="18" width="17.140625" style="46" bestFit="1" customWidth="1"/>
    <col min="19" max="19" width="20.140625" style="46" customWidth="1"/>
    <col min="20" max="20" width="23.5703125" style="46" customWidth="1"/>
    <col min="21" max="22" width="18.7109375" style="46" customWidth="1"/>
    <col min="23" max="24" width="21.85546875" style="40" customWidth="1"/>
    <col min="25" max="25" width="22.28515625" style="40" bestFit="1" customWidth="1"/>
    <col min="26" max="26" width="19.7109375" style="40" customWidth="1"/>
    <col min="27" max="27" width="19.42578125" customWidth="1"/>
    <col min="28" max="28" width="23.7109375" customWidth="1"/>
    <col min="29" max="30" width="22.28515625" bestFit="1" customWidth="1"/>
    <col min="31" max="31" width="22.28515625" customWidth="1"/>
    <col min="32" max="32" width="13.5703125" bestFit="1" customWidth="1"/>
    <col min="33" max="33" width="22.85546875" bestFit="1" customWidth="1"/>
    <col min="34" max="34" width="8.7109375" bestFit="1" customWidth="1"/>
    <col min="39" max="39" width="10.5703125" bestFit="1" customWidth="1"/>
  </cols>
  <sheetData>
    <row r="1" spans="1:31">
      <c r="A1" s="33"/>
      <c r="F1" s="34"/>
      <c r="G1" s="34"/>
      <c r="H1" s="34"/>
      <c r="I1" s="34"/>
      <c r="J1" s="35"/>
      <c r="K1" s="30"/>
      <c r="L1" s="30"/>
      <c r="M1" s="30"/>
      <c r="N1" s="36"/>
      <c r="O1" s="36"/>
      <c r="P1" s="37"/>
      <c r="Q1" s="691" t="s">
        <v>56</v>
      </c>
      <c r="R1" s="692"/>
      <c r="S1" s="692"/>
      <c r="T1" s="38"/>
      <c r="U1" s="38"/>
      <c r="V1" s="38"/>
      <c r="W1" s="38"/>
      <c r="X1" s="38"/>
      <c r="Y1" s="38"/>
      <c r="Z1" s="38"/>
      <c r="AA1" s="39"/>
      <c r="AB1" s="40"/>
      <c r="AC1" s="40"/>
      <c r="AD1" s="40"/>
      <c r="AE1" s="40"/>
    </row>
    <row r="2" spans="1:31">
      <c r="A2" s="41"/>
      <c r="F2" s="42"/>
      <c r="G2" s="43"/>
      <c r="H2" s="43"/>
      <c r="I2" s="43"/>
      <c r="J2" s="31"/>
      <c r="K2" s="30"/>
      <c r="L2" s="30"/>
      <c r="M2" s="36"/>
      <c r="N2" s="36"/>
      <c r="O2" s="36"/>
      <c r="P2" s="36"/>
      <c r="Q2" s="36"/>
      <c r="R2" s="36"/>
      <c r="S2" s="38"/>
      <c r="T2" s="38"/>
      <c r="U2" s="38"/>
      <c r="V2" s="38"/>
      <c r="W2" s="38"/>
      <c r="X2" s="38"/>
      <c r="Y2" s="38"/>
      <c r="Z2" s="39"/>
      <c r="AA2" s="40"/>
      <c r="AB2" s="40"/>
    </row>
    <row r="3" spans="1:31" ht="16.5" customHeight="1">
      <c r="A3" s="44"/>
      <c r="B3" s="685" t="s">
        <v>101</v>
      </c>
      <c r="C3" s="685"/>
      <c r="D3" s="685"/>
      <c r="E3" s="685"/>
      <c r="F3" s="685"/>
      <c r="G3" s="31"/>
      <c r="H3" s="31"/>
      <c r="I3" s="31"/>
      <c r="J3" s="31"/>
      <c r="K3" s="46"/>
      <c r="L3" s="46"/>
      <c r="M3" s="46"/>
      <c r="N3" s="46"/>
      <c r="O3" s="46"/>
      <c r="P3" s="46"/>
      <c r="R3" s="39"/>
      <c r="S3" s="40"/>
      <c r="T3" s="40"/>
      <c r="U3"/>
      <c r="V3"/>
      <c r="W3"/>
      <c r="X3"/>
      <c r="Y3"/>
      <c r="Z3"/>
    </row>
    <row r="4" spans="1:31">
      <c r="A4" s="44"/>
      <c r="B4" s="689"/>
      <c r="C4" s="689"/>
      <c r="D4" s="689"/>
      <c r="E4" s="27"/>
      <c r="F4" s="27"/>
      <c r="G4" s="27" t="s">
        <v>45</v>
      </c>
      <c r="H4" s="27" t="s">
        <v>46</v>
      </c>
      <c r="I4" s="27" t="s">
        <v>182</v>
      </c>
      <c r="J4" s="27" t="s">
        <v>134</v>
      </c>
      <c r="K4" s="27" t="s">
        <v>154</v>
      </c>
      <c r="L4" s="27" t="s">
        <v>102</v>
      </c>
      <c r="M4" s="27" t="s">
        <v>137</v>
      </c>
      <c r="N4" s="27" t="s">
        <v>205</v>
      </c>
      <c r="O4" s="27" t="s">
        <v>203</v>
      </c>
      <c r="P4" s="48" t="s">
        <v>51</v>
      </c>
      <c r="Q4" s="48"/>
      <c r="R4" s="48"/>
      <c r="S4" s="48"/>
      <c r="T4" s="142" t="s">
        <v>58</v>
      </c>
      <c r="U4" s="27" t="s">
        <v>59</v>
      </c>
      <c r="V4" s="27" t="s">
        <v>59</v>
      </c>
      <c r="W4" s="48" t="s">
        <v>169</v>
      </c>
      <c r="X4" s="48" t="s">
        <v>135</v>
      </c>
      <c r="Y4" s="48" t="s">
        <v>60</v>
      </c>
      <c r="Z4" s="693" t="s">
        <v>151</v>
      </c>
      <c r="AA4" s="693"/>
      <c r="AB4" s="60"/>
      <c r="AC4" s="187" t="s">
        <v>116</v>
      </c>
      <c r="AD4" s="187" t="s">
        <v>116</v>
      </c>
      <c r="AE4" s="187"/>
    </row>
    <row r="5" spans="1:31">
      <c r="A5" s="44"/>
      <c r="B5" s="27" t="s">
        <v>103</v>
      </c>
      <c r="C5" s="27" t="s">
        <v>69</v>
      </c>
      <c r="D5" s="27" t="s">
        <v>149</v>
      </c>
      <c r="E5" s="27" t="s">
        <v>152</v>
      </c>
      <c r="F5" s="27" t="s">
        <v>136</v>
      </c>
      <c r="G5" s="27" t="s">
        <v>22</v>
      </c>
      <c r="H5" s="27" t="s">
        <v>54</v>
      </c>
      <c r="I5" s="27"/>
      <c r="J5" s="27" t="s">
        <v>55</v>
      </c>
      <c r="K5" s="27" t="s">
        <v>55</v>
      </c>
      <c r="L5" s="27" t="s">
        <v>24</v>
      </c>
      <c r="M5" s="27" t="s">
        <v>138</v>
      </c>
      <c r="N5" s="27" t="s">
        <v>206</v>
      </c>
      <c r="O5" s="27" t="s">
        <v>204</v>
      </c>
      <c r="P5" s="48" t="s">
        <v>183</v>
      </c>
      <c r="Q5" s="48" t="s">
        <v>129</v>
      </c>
      <c r="R5" s="48"/>
      <c r="S5" s="48"/>
      <c r="T5" s="47" t="s">
        <v>63</v>
      </c>
      <c r="U5" s="27" t="s">
        <v>64</v>
      </c>
      <c r="V5" s="27" t="s">
        <v>65</v>
      </c>
      <c r="W5" s="247" t="s">
        <v>170</v>
      </c>
      <c r="X5" s="247" t="s">
        <v>86</v>
      </c>
      <c r="Y5" s="140" t="s">
        <v>24</v>
      </c>
      <c r="Z5" s="48" t="s">
        <v>24</v>
      </c>
      <c r="AA5" s="48" t="s">
        <v>66</v>
      </c>
      <c r="AB5" s="48" t="s">
        <v>155</v>
      </c>
      <c r="AC5" s="188" t="s">
        <v>124</v>
      </c>
      <c r="AD5" s="188" t="s">
        <v>125</v>
      </c>
      <c r="AE5" s="620"/>
    </row>
    <row r="6" spans="1:31" s="66" customFormat="1">
      <c r="A6" s="44" t="s">
        <v>6</v>
      </c>
      <c r="B6" s="177">
        <v>87691</v>
      </c>
      <c r="C6" s="178">
        <f>B6-D6</f>
        <v>87691</v>
      </c>
      <c r="D6" s="177">
        <v>0</v>
      </c>
      <c r="E6" s="177"/>
      <c r="F6" s="177">
        <v>0</v>
      </c>
      <c r="G6" s="179">
        <v>9979556</v>
      </c>
      <c r="H6" s="180">
        <v>0</v>
      </c>
      <c r="I6" s="179">
        <v>807917</v>
      </c>
      <c r="J6" s="181"/>
      <c r="K6" s="181">
        <v>44.691605672461115</v>
      </c>
      <c r="L6" s="224"/>
      <c r="M6" s="224">
        <v>0</v>
      </c>
      <c r="N6" s="225">
        <v>0</v>
      </c>
      <c r="O6" s="225">
        <f>G6-H6-I6+N6-Q6-W6-X6-Y6-Z6+AB6</f>
        <v>4891421.7573339995</v>
      </c>
      <c r="P6" s="224">
        <v>320384</v>
      </c>
      <c r="Q6" s="226">
        <f t="shared" ref="Q6:Q17" si="0">L6+P6</f>
        <v>320384</v>
      </c>
      <c r="R6" s="52"/>
      <c r="S6" s="27" t="s">
        <v>6</v>
      </c>
      <c r="T6" s="238">
        <f t="shared" ref="T6:T17" si="1">B6</f>
        <v>87691</v>
      </c>
      <c r="U6" s="242">
        <f>C6-SUM(C27-G27)</f>
        <v>87440</v>
      </c>
      <c r="V6" s="239">
        <f t="shared" ref="V6:V17" si="2">B27-G27</f>
        <v>251</v>
      </c>
      <c r="W6" s="283">
        <v>31804</v>
      </c>
      <c r="X6" s="242">
        <f>(U6*K6)</f>
        <v>3907834</v>
      </c>
      <c r="Y6" s="240">
        <f>F27-H27</f>
        <v>20195.242666000966</v>
      </c>
      <c r="Z6" s="255">
        <v>0</v>
      </c>
      <c r="AA6" s="265">
        <v>0</v>
      </c>
      <c r="AB6" s="273">
        <v>0</v>
      </c>
      <c r="AC6" s="189">
        <f>(G6+AB6-I6-Z6-(P6+L6))/(U6+(V6-AA6))</f>
        <v>100.93686923401489</v>
      </c>
      <c r="AD6" s="190">
        <f>(G6-K6-M6)/(C6+E6)</f>
        <v>113.803141809243</v>
      </c>
      <c r="AE6" s="190"/>
    </row>
    <row r="7" spans="1:31" s="66" customFormat="1">
      <c r="A7" s="44" t="s">
        <v>7</v>
      </c>
      <c r="B7" s="177">
        <v>76849</v>
      </c>
      <c r="C7" s="178">
        <f>B7-D7</f>
        <v>76849</v>
      </c>
      <c r="D7" s="177"/>
      <c r="E7" s="177"/>
      <c r="F7" s="177"/>
      <c r="G7" s="179">
        <v>4932248</v>
      </c>
      <c r="H7" s="180"/>
      <c r="I7" s="179">
        <v>122651</v>
      </c>
      <c r="J7" s="181"/>
      <c r="K7" s="181">
        <v>37.694369169836882</v>
      </c>
      <c r="L7" s="224"/>
      <c r="M7" s="224"/>
      <c r="N7" s="225">
        <v>0</v>
      </c>
      <c r="O7" s="225">
        <f t="shared" ref="O7:O17" si="3">G7-H7-I7+N7-Q7-W7-X7-Y7-Z7+AB7</f>
        <v>1557374.0000000005</v>
      </c>
      <c r="P7" s="224">
        <v>280137</v>
      </c>
      <c r="Q7" s="226">
        <f t="shared" si="0"/>
        <v>280137</v>
      </c>
      <c r="R7" s="52"/>
      <c r="S7" s="154" t="s">
        <v>7</v>
      </c>
      <c r="T7" s="241">
        <f t="shared" si="1"/>
        <v>76849</v>
      </c>
      <c r="U7" s="242">
        <f t="shared" ref="U7:U17" si="4">C7-SUM(C28-G28)</f>
        <v>76756</v>
      </c>
      <c r="V7" s="242">
        <f t="shared" si="2"/>
        <v>93</v>
      </c>
      <c r="W7" s="321">
        <v>49705</v>
      </c>
      <c r="X7" s="242">
        <f t="shared" ref="X7:X17" si="5">(U7*K7)</f>
        <v>2893268.9999999995</v>
      </c>
      <c r="Y7" s="243">
        <f>F28-H28</f>
        <v>29112</v>
      </c>
      <c r="Z7" s="256">
        <v>0</v>
      </c>
      <c r="AA7" s="266">
        <f>D7</f>
        <v>0</v>
      </c>
      <c r="AB7" s="274"/>
      <c r="AC7" s="189">
        <f t="shared" ref="AC7:AC17" si="6">(G7+AB7-I7-Z7-(P7+L7))/(U7+(V7-AA7))</f>
        <v>58.939738968626784</v>
      </c>
      <c r="AD7" s="190">
        <f>(G7-K7-M7)/(C7+E7)</f>
        <v>64.180539833060024</v>
      </c>
      <c r="AE7" s="190"/>
    </row>
    <row r="8" spans="1:31" s="66" customFormat="1">
      <c r="A8" s="44" t="s">
        <v>8</v>
      </c>
      <c r="B8" s="177">
        <v>53421</v>
      </c>
      <c r="C8" s="178">
        <f t="shared" ref="C8:C17" si="7">B8-D8</f>
        <v>53421</v>
      </c>
      <c r="D8" s="177"/>
      <c r="E8" s="177"/>
      <c r="F8" s="177"/>
      <c r="G8" s="179">
        <v>4282422</v>
      </c>
      <c r="H8" s="180"/>
      <c r="I8" s="179">
        <v>345188</v>
      </c>
      <c r="J8" s="181"/>
      <c r="K8" s="181">
        <v>41.151899999999998</v>
      </c>
      <c r="L8" s="224"/>
      <c r="M8" s="224"/>
      <c r="N8" s="225">
        <v>0</v>
      </c>
      <c r="O8" s="225">
        <f t="shared" si="3"/>
        <v>1545740.8186000013</v>
      </c>
      <c r="P8" s="224">
        <v>193991</v>
      </c>
      <c r="Q8" s="226">
        <f t="shared" si="0"/>
        <v>193991</v>
      </c>
      <c r="R8" s="52"/>
      <c r="S8" s="27" t="s">
        <v>8</v>
      </c>
      <c r="T8" s="241">
        <f t="shared" si="1"/>
        <v>53421</v>
      </c>
      <c r="U8" s="242">
        <f t="shared" si="4"/>
        <v>53306</v>
      </c>
      <c r="V8" s="242">
        <f t="shared" si="2"/>
        <v>115</v>
      </c>
      <c r="W8" s="321">
        <v>25805</v>
      </c>
      <c r="X8" s="242">
        <f t="shared" si="5"/>
        <v>2193643.1813999997</v>
      </c>
      <c r="Y8" s="243">
        <f>F29-H29</f>
        <v>-21946.000000000931</v>
      </c>
      <c r="Z8" s="256">
        <v>0</v>
      </c>
      <c r="AA8" s="266">
        <f t="shared" ref="AA8:AA17" si="8">D8</f>
        <v>0</v>
      </c>
      <c r="AB8" s="373"/>
      <c r="AC8" s="189">
        <f t="shared" si="6"/>
        <v>70.070627655790787</v>
      </c>
      <c r="AD8" s="190">
        <f t="shared" ref="AD8:AD17" si="9">(G8-K8-M8)/(C8+E8)</f>
        <v>80.162873179086873</v>
      </c>
      <c r="AE8" s="190"/>
    </row>
    <row r="9" spans="1:31" s="66" customFormat="1">
      <c r="A9" s="44" t="s">
        <v>9</v>
      </c>
      <c r="B9" s="177">
        <v>1127</v>
      </c>
      <c r="C9" s="178">
        <f t="shared" si="7"/>
        <v>1127</v>
      </c>
      <c r="D9" s="177"/>
      <c r="E9" s="177"/>
      <c r="F9" s="177"/>
      <c r="G9" s="179">
        <v>71120</v>
      </c>
      <c r="H9" s="180"/>
      <c r="I9" s="179">
        <v>7025</v>
      </c>
      <c r="J9" s="181"/>
      <c r="K9" s="181">
        <v>48.127406049495875</v>
      </c>
      <c r="L9" s="224"/>
      <c r="M9" s="224"/>
      <c r="N9" s="225">
        <v>0</v>
      </c>
      <c r="O9" s="225">
        <f t="shared" si="3"/>
        <v>3362</v>
      </c>
      <c r="P9" s="224">
        <v>5717</v>
      </c>
      <c r="Q9" s="226">
        <f>L9+P9</f>
        <v>5717</v>
      </c>
      <c r="R9" s="52"/>
      <c r="S9" s="27" t="s">
        <v>9</v>
      </c>
      <c r="T9" s="241">
        <f t="shared" si="1"/>
        <v>1127</v>
      </c>
      <c r="U9" s="242">
        <f t="shared" si="4"/>
        <v>1091</v>
      </c>
      <c r="V9" s="242">
        <f>B30-G30</f>
        <v>36</v>
      </c>
      <c r="W9" s="283">
        <v>16</v>
      </c>
      <c r="X9" s="242">
        <f t="shared" si="5"/>
        <v>52507</v>
      </c>
      <c r="Y9" s="243">
        <f t="shared" ref="Y9:Y17" si="10">F30-H30</f>
        <v>2493</v>
      </c>
      <c r="Z9" s="256">
        <v>0</v>
      </c>
      <c r="AA9" s="266">
        <f t="shared" si="8"/>
        <v>0</v>
      </c>
      <c r="AB9" s="274"/>
      <c r="AC9" s="189">
        <f t="shared" si="6"/>
        <v>51.799467613132208</v>
      </c>
      <c r="AD9" s="190">
        <f t="shared" si="9"/>
        <v>63.062886063842512</v>
      </c>
      <c r="AE9" s="190"/>
    </row>
    <row r="10" spans="1:31" s="66" customFormat="1">
      <c r="A10" s="44" t="s">
        <v>10</v>
      </c>
      <c r="B10" s="177">
        <v>44055</v>
      </c>
      <c r="C10" s="178">
        <f t="shared" si="7"/>
        <v>44055</v>
      </c>
      <c r="D10" s="177"/>
      <c r="E10" s="177"/>
      <c r="F10" s="177"/>
      <c r="G10" s="179">
        <v>2790880</v>
      </c>
      <c r="H10" s="180"/>
      <c r="I10" s="179">
        <v>93178</v>
      </c>
      <c r="J10" s="181"/>
      <c r="K10" s="181">
        <v>35.544443939256162</v>
      </c>
      <c r="L10" s="224"/>
      <c r="M10" s="224"/>
      <c r="N10" s="225">
        <v>0</v>
      </c>
      <c r="O10" s="225">
        <f t="shared" si="3"/>
        <v>955176</v>
      </c>
      <c r="P10" s="224">
        <v>153983</v>
      </c>
      <c r="Q10" s="226">
        <f t="shared" si="0"/>
        <v>153983</v>
      </c>
      <c r="R10" s="52"/>
      <c r="S10" s="27" t="s">
        <v>10</v>
      </c>
      <c r="T10" s="241">
        <f t="shared" si="1"/>
        <v>44055</v>
      </c>
      <c r="U10" s="242">
        <f t="shared" si="4"/>
        <v>43988</v>
      </c>
      <c r="V10" s="242">
        <f t="shared" si="2"/>
        <v>67</v>
      </c>
      <c r="W10" s="283">
        <v>22077</v>
      </c>
      <c r="X10" s="242">
        <f t="shared" si="5"/>
        <v>1563529</v>
      </c>
      <c r="Y10" s="243">
        <f t="shared" si="10"/>
        <v>2937</v>
      </c>
      <c r="Z10" s="256">
        <v>0</v>
      </c>
      <c r="AA10" s="266">
        <f t="shared" si="8"/>
        <v>0</v>
      </c>
      <c r="AB10" s="274"/>
      <c r="AC10" s="189">
        <f t="shared" si="6"/>
        <v>57.739620928384973</v>
      </c>
      <c r="AD10" s="190">
        <f t="shared" si="9"/>
        <v>63.349096709932148</v>
      </c>
      <c r="AE10" s="190"/>
    </row>
    <row r="11" spans="1:31" s="66" customFormat="1">
      <c r="A11" s="44" t="s">
        <v>11</v>
      </c>
      <c r="B11" s="177">
        <v>45768</v>
      </c>
      <c r="C11" s="178">
        <f t="shared" si="7"/>
        <v>45768</v>
      </c>
      <c r="D11" s="177"/>
      <c r="E11" s="177"/>
      <c r="F11" s="177"/>
      <c r="G11" s="179">
        <v>2399662</v>
      </c>
      <c r="H11" s="180"/>
      <c r="I11" s="179">
        <v>45623</v>
      </c>
      <c r="J11" s="181"/>
      <c r="K11" s="181">
        <v>34.367484081344877</v>
      </c>
      <c r="L11" s="224"/>
      <c r="M11" s="224"/>
      <c r="N11" s="225">
        <v>0</v>
      </c>
      <c r="O11" s="225">
        <f t="shared" si="3"/>
        <v>583157.00000000047</v>
      </c>
      <c r="P11" s="224">
        <v>166314</v>
      </c>
      <c r="Q11" s="226">
        <f t="shared" si="0"/>
        <v>166314</v>
      </c>
      <c r="R11" s="52"/>
      <c r="S11" s="27" t="s">
        <v>11</v>
      </c>
      <c r="T11" s="241">
        <f t="shared" si="1"/>
        <v>45768</v>
      </c>
      <c r="U11" s="242">
        <f t="shared" si="4"/>
        <v>45387</v>
      </c>
      <c r="V11" s="242">
        <f t="shared" si="2"/>
        <v>381</v>
      </c>
      <c r="W11" s="283">
        <v>36790</v>
      </c>
      <c r="X11" s="242">
        <f t="shared" si="5"/>
        <v>1559837</v>
      </c>
      <c r="Y11" s="243">
        <f t="shared" si="10"/>
        <v>7940.9999999995343</v>
      </c>
      <c r="Z11" s="256">
        <v>0</v>
      </c>
      <c r="AA11" s="266">
        <f t="shared" si="8"/>
        <v>0</v>
      </c>
      <c r="AB11" s="274"/>
      <c r="AC11" s="189">
        <f t="shared" si="6"/>
        <v>47.800319000174795</v>
      </c>
      <c r="AD11" s="190">
        <f t="shared" si="9"/>
        <v>52.430248918806122</v>
      </c>
      <c r="AE11" s="190"/>
    </row>
    <row r="12" spans="1:31" s="66" customFormat="1">
      <c r="A12" s="44" t="s">
        <v>12</v>
      </c>
      <c r="B12" s="177"/>
      <c r="C12" s="178">
        <f t="shared" si="7"/>
        <v>0</v>
      </c>
      <c r="D12" s="177"/>
      <c r="E12" s="177"/>
      <c r="F12" s="177"/>
      <c r="G12" s="179"/>
      <c r="H12" s="180"/>
      <c r="I12" s="179"/>
      <c r="J12" s="181"/>
      <c r="K12" s="181"/>
      <c r="L12" s="224"/>
      <c r="M12" s="224"/>
      <c r="N12" s="225">
        <v>0</v>
      </c>
      <c r="O12" s="225">
        <f t="shared" si="3"/>
        <v>0</v>
      </c>
      <c r="P12" s="224"/>
      <c r="Q12" s="226">
        <f t="shared" si="0"/>
        <v>0</v>
      </c>
      <c r="R12" s="52"/>
      <c r="S12" s="27" t="s">
        <v>12</v>
      </c>
      <c r="T12" s="241">
        <f t="shared" si="1"/>
        <v>0</v>
      </c>
      <c r="U12" s="242">
        <f>C12-SUM(C33-G33)</f>
        <v>0</v>
      </c>
      <c r="V12" s="242">
        <f t="shared" si="2"/>
        <v>0</v>
      </c>
      <c r="W12" s="283"/>
      <c r="X12" s="242">
        <f t="shared" si="5"/>
        <v>0</v>
      </c>
      <c r="Y12" s="243">
        <f t="shared" si="10"/>
        <v>0</v>
      </c>
      <c r="Z12" s="256">
        <v>0</v>
      </c>
      <c r="AA12" s="266">
        <f t="shared" si="8"/>
        <v>0</v>
      </c>
      <c r="AB12" s="274"/>
      <c r="AC12" s="189" t="e">
        <f t="shared" si="6"/>
        <v>#DIV/0!</v>
      </c>
      <c r="AD12" s="190" t="e">
        <f t="shared" si="9"/>
        <v>#DIV/0!</v>
      </c>
      <c r="AE12" s="190"/>
    </row>
    <row r="13" spans="1:31" s="66" customFormat="1">
      <c r="A13" s="44" t="s">
        <v>13</v>
      </c>
      <c r="B13" s="177"/>
      <c r="C13" s="178">
        <f t="shared" si="7"/>
        <v>0</v>
      </c>
      <c r="D13" s="177"/>
      <c r="E13" s="177"/>
      <c r="F13" s="177"/>
      <c r="G13" s="179"/>
      <c r="H13" s="180"/>
      <c r="I13" s="179"/>
      <c r="J13" s="181"/>
      <c r="K13" s="181"/>
      <c r="L13" s="224"/>
      <c r="M13" s="224"/>
      <c r="N13" s="225">
        <v>0</v>
      </c>
      <c r="O13" s="225">
        <f t="shared" si="3"/>
        <v>0</v>
      </c>
      <c r="P13" s="224"/>
      <c r="Q13" s="226">
        <f t="shared" si="0"/>
        <v>0</v>
      </c>
      <c r="R13" s="52"/>
      <c r="S13" s="27" t="s">
        <v>13</v>
      </c>
      <c r="T13" s="241">
        <f t="shared" si="1"/>
        <v>0</v>
      </c>
      <c r="U13" s="242">
        <f t="shared" si="4"/>
        <v>0</v>
      </c>
      <c r="V13" s="242">
        <f t="shared" si="2"/>
        <v>0</v>
      </c>
      <c r="W13" s="283"/>
      <c r="X13" s="242">
        <f t="shared" si="5"/>
        <v>0</v>
      </c>
      <c r="Y13" s="243">
        <f t="shared" si="10"/>
        <v>0</v>
      </c>
      <c r="Z13" s="256">
        <v>0</v>
      </c>
      <c r="AA13" s="266">
        <f t="shared" si="8"/>
        <v>0</v>
      </c>
      <c r="AB13" s="274"/>
      <c r="AC13" s="189" t="e">
        <f t="shared" si="6"/>
        <v>#DIV/0!</v>
      </c>
      <c r="AD13" s="190" t="e">
        <f t="shared" si="9"/>
        <v>#DIV/0!</v>
      </c>
      <c r="AE13" s="190"/>
    </row>
    <row r="14" spans="1:31" s="66" customFormat="1">
      <c r="A14" s="44" t="s">
        <v>14</v>
      </c>
      <c r="B14" s="177"/>
      <c r="C14" s="178">
        <f t="shared" si="7"/>
        <v>0</v>
      </c>
      <c r="D14" s="177"/>
      <c r="E14" s="177"/>
      <c r="F14" s="177"/>
      <c r="G14" s="179"/>
      <c r="H14" s="180"/>
      <c r="I14" s="179"/>
      <c r="J14" s="181"/>
      <c r="K14" s="181"/>
      <c r="L14" s="224"/>
      <c r="M14" s="224"/>
      <c r="N14" s="225">
        <v>0</v>
      </c>
      <c r="O14" s="225">
        <f t="shared" si="3"/>
        <v>0</v>
      </c>
      <c r="P14" s="224"/>
      <c r="Q14" s="226">
        <f t="shared" si="0"/>
        <v>0</v>
      </c>
      <c r="R14" s="52"/>
      <c r="S14" s="27" t="s">
        <v>14</v>
      </c>
      <c r="T14" s="241">
        <f t="shared" si="1"/>
        <v>0</v>
      </c>
      <c r="U14" s="242">
        <f t="shared" si="4"/>
        <v>0</v>
      </c>
      <c r="V14" s="242">
        <f t="shared" si="2"/>
        <v>0</v>
      </c>
      <c r="W14" s="283"/>
      <c r="X14" s="242">
        <f t="shared" si="5"/>
        <v>0</v>
      </c>
      <c r="Y14" s="243">
        <f t="shared" si="10"/>
        <v>0</v>
      </c>
      <c r="Z14" s="256">
        <v>0</v>
      </c>
      <c r="AA14" s="266">
        <f t="shared" si="8"/>
        <v>0</v>
      </c>
      <c r="AB14" s="274"/>
      <c r="AC14" s="189" t="e">
        <f t="shared" si="6"/>
        <v>#DIV/0!</v>
      </c>
      <c r="AD14" s="190" t="e">
        <f t="shared" si="9"/>
        <v>#DIV/0!</v>
      </c>
      <c r="AE14" s="190"/>
    </row>
    <row r="15" spans="1:31" s="66" customFormat="1">
      <c r="A15" s="44" t="s">
        <v>15</v>
      </c>
      <c r="B15" s="177"/>
      <c r="C15" s="178">
        <f t="shared" si="7"/>
        <v>0</v>
      </c>
      <c r="D15" s="177"/>
      <c r="E15" s="177"/>
      <c r="F15" s="177"/>
      <c r="G15" s="179"/>
      <c r="H15" s="180"/>
      <c r="I15" s="179"/>
      <c r="J15" s="181"/>
      <c r="K15" s="181"/>
      <c r="L15" s="224"/>
      <c r="M15" s="224"/>
      <c r="N15" s="225">
        <v>0</v>
      </c>
      <c r="O15" s="225">
        <f t="shared" si="3"/>
        <v>0</v>
      </c>
      <c r="P15" s="224"/>
      <c r="Q15" s="226">
        <f t="shared" si="0"/>
        <v>0</v>
      </c>
      <c r="R15" s="52"/>
      <c r="S15" s="27" t="s">
        <v>15</v>
      </c>
      <c r="T15" s="241">
        <f t="shared" si="1"/>
        <v>0</v>
      </c>
      <c r="U15" s="242">
        <f t="shared" si="4"/>
        <v>0</v>
      </c>
      <c r="V15" s="242">
        <f t="shared" si="2"/>
        <v>0</v>
      </c>
      <c r="W15" s="283"/>
      <c r="X15" s="242">
        <f t="shared" si="5"/>
        <v>0</v>
      </c>
      <c r="Y15" s="243">
        <f t="shared" si="10"/>
        <v>0</v>
      </c>
      <c r="Z15" s="256">
        <v>0</v>
      </c>
      <c r="AA15" s="266">
        <v>0</v>
      </c>
      <c r="AB15" s="274"/>
      <c r="AC15" s="189" t="e">
        <f t="shared" si="6"/>
        <v>#DIV/0!</v>
      </c>
      <c r="AD15" s="190" t="e">
        <f t="shared" si="9"/>
        <v>#DIV/0!</v>
      </c>
      <c r="AE15" s="190"/>
    </row>
    <row r="16" spans="1:31" s="66" customFormat="1">
      <c r="A16" s="44" t="s">
        <v>16</v>
      </c>
      <c r="B16" s="177"/>
      <c r="C16" s="178">
        <f t="shared" si="7"/>
        <v>0</v>
      </c>
      <c r="D16" s="177"/>
      <c r="E16" s="177"/>
      <c r="F16" s="177"/>
      <c r="G16" s="179"/>
      <c r="H16" s="180"/>
      <c r="I16" s="179"/>
      <c r="J16" s="181"/>
      <c r="K16" s="181"/>
      <c r="L16" s="224"/>
      <c r="M16" s="224"/>
      <c r="N16" s="225">
        <v>0</v>
      </c>
      <c r="O16" s="225">
        <f t="shared" si="3"/>
        <v>0</v>
      </c>
      <c r="P16" s="224"/>
      <c r="Q16" s="226">
        <f t="shared" si="0"/>
        <v>0</v>
      </c>
      <c r="R16" s="52"/>
      <c r="S16" s="27" t="s">
        <v>16</v>
      </c>
      <c r="T16" s="241">
        <f t="shared" si="1"/>
        <v>0</v>
      </c>
      <c r="U16" s="242">
        <f t="shared" si="4"/>
        <v>0</v>
      </c>
      <c r="V16" s="242">
        <f t="shared" si="2"/>
        <v>0</v>
      </c>
      <c r="W16" s="283"/>
      <c r="X16" s="242">
        <f t="shared" si="5"/>
        <v>0</v>
      </c>
      <c r="Y16" s="243">
        <f t="shared" si="10"/>
        <v>0</v>
      </c>
      <c r="Z16" s="256">
        <v>0</v>
      </c>
      <c r="AA16" s="266">
        <f t="shared" si="8"/>
        <v>0</v>
      </c>
      <c r="AB16" s="274"/>
      <c r="AC16" s="189" t="e">
        <f t="shared" si="6"/>
        <v>#DIV/0!</v>
      </c>
      <c r="AD16" s="190" t="e">
        <f t="shared" si="9"/>
        <v>#DIV/0!</v>
      </c>
      <c r="AE16" s="190"/>
    </row>
    <row r="17" spans="1:44" s="66" customFormat="1">
      <c r="A17" s="44" t="s">
        <v>17</v>
      </c>
      <c r="B17" s="177"/>
      <c r="C17" s="178">
        <f t="shared" si="7"/>
        <v>0</v>
      </c>
      <c r="D17" s="177"/>
      <c r="E17" s="177"/>
      <c r="F17" s="177"/>
      <c r="G17" s="179"/>
      <c r="H17" s="180"/>
      <c r="I17" s="179"/>
      <c r="J17" s="181"/>
      <c r="K17" s="181"/>
      <c r="L17" s="224"/>
      <c r="M17" s="224"/>
      <c r="N17" s="225">
        <v>0</v>
      </c>
      <c r="O17" s="225">
        <f t="shared" si="3"/>
        <v>0</v>
      </c>
      <c r="P17" s="224"/>
      <c r="Q17" s="226">
        <f t="shared" si="0"/>
        <v>0</v>
      </c>
      <c r="R17" s="52"/>
      <c r="S17" s="27" t="s">
        <v>17</v>
      </c>
      <c r="T17" s="244">
        <f t="shared" si="1"/>
        <v>0</v>
      </c>
      <c r="U17" s="245">
        <f t="shared" si="4"/>
        <v>0</v>
      </c>
      <c r="V17" s="245">
        <f t="shared" si="2"/>
        <v>0</v>
      </c>
      <c r="W17" s="284"/>
      <c r="X17" s="245">
        <f t="shared" si="5"/>
        <v>0</v>
      </c>
      <c r="Y17" s="246">
        <f t="shared" si="10"/>
        <v>0</v>
      </c>
      <c r="Z17" s="257">
        <v>0</v>
      </c>
      <c r="AA17" s="267">
        <f t="shared" si="8"/>
        <v>0</v>
      </c>
      <c r="AB17" s="275"/>
      <c r="AC17" s="189" t="e">
        <f t="shared" si="6"/>
        <v>#DIV/0!</v>
      </c>
      <c r="AD17" s="190" t="e">
        <f t="shared" si="9"/>
        <v>#DIV/0!</v>
      </c>
      <c r="AE17" s="190"/>
    </row>
    <row r="18" spans="1:44" s="66" customFormat="1">
      <c r="A18" s="44"/>
      <c r="B18" s="148"/>
      <c r="C18" s="148"/>
      <c r="D18" s="149"/>
      <c r="E18" s="149"/>
      <c r="F18" s="149"/>
      <c r="G18" s="89"/>
      <c r="H18" s="54"/>
      <c r="I18" s="54"/>
      <c r="J18" s="27"/>
      <c r="K18" s="27"/>
      <c r="L18" s="27"/>
      <c r="M18" s="27"/>
      <c r="N18" s="50"/>
      <c r="O18" s="50"/>
      <c r="P18" s="48"/>
      <c r="Q18" s="56"/>
      <c r="R18" s="56"/>
      <c r="S18" s="56"/>
      <c r="T18" s="146"/>
      <c r="U18" s="140"/>
      <c r="V18" s="146"/>
      <c r="W18" s="141"/>
      <c r="X18" s="141"/>
      <c r="Y18" s="141"/>
      <c r="Z18" s="141"/>
      <c r="AA18" s="141"/>
      <c r="AB18" s="147"/>
      <c r="AC18" s="143"/>
      <c r="AD18" s="144"/>
      <c r="AE18" s="144"/>
      <c r="AF18" s="151"/>
    </row>
    <row r="19" spans="1:44" s="151" customFormat="1">
      <c r="A19" s="88"/>
      <c r="B19" s="148"/>
      <c r="C19" s="148"/>
      <c r="D19" s="149"/>
      <c r="E19" s="149"/>
      <c r="F19" s="149"/>
      <c r="G19" s="89"/>
      <c r="H19" s="90"/>
      <c r="I19" s="90"/>
      <c r="J19" s="91"/>
      <c r="K19" s="91"/>
      <c r="L19" s="91"/>
      <c r="M19" s="91"/>
      <c r="N19" s="150"/>
      <c r="O19" s="150"/>
      <c r="P19" s="58"/>
      <c r="Q19" s="92"/>
      <c r="R19" s="92"/>
      <c r="S19" s="92"/>
      <c r="T19" s="140"/>
      <c r="U19" s="70"/>
      <c r="V19" s="68"/>
      <c r="W19" s="56"/>
      <c r="X19" s="56"/>
      <c r="Y19" s="56"/>
      <c r="Z19" s="56"/>
      <c r="AA19" s="69"/>
      <c r="AB19" s="39"/>
      <c r="AC19" s="71"/>
      <c r="AD19" s="63"/>
      <c r="AE19" s="63"/>
    </row>
    <row r="20" spans="1:44" s="40" customFormat="1">
      <c r="A20" s="44" t="s">
        <v>18</v>
      </c>
      <c r="B20" s="145">
        <f t="shared" ref="B20:I20" si="11">SUM(B6:B17)</f>
        <v>308911</v>
      </c>
      <c r="C20" s="58">
        <f t="shared" si="11"/>
        <v>308911</v>
      </c>
      <c r="D20" s="145">
        <f t="shared" si="11"/>
        <v>0</v>
      </c>
      <c r="E20" s="145">
        <f t="shared" si="11"/>
        <v>0</v>
      </c>
      <c r="F20" s="145">
        <f t="shared" si="11"/>
        <v>0</v>
      </c>
      <c r="G20" s="145">
        <f t="shared" si="11"/>
        <v>24455888</v>
      </c>
      <c r="H20" s="50">
        <f t="shared" si="11"/>
        <v>0</v>
      </c>
      <c r="I20" s="50">
        <f t="shared" si="11"/>
        <v>1421582</v>
      </c>
      <c r="J20" s="59">
        <f>W20/U20</f>
        <v>0.53965671758104738</v>
      </c>
      <c r="K20" s="59">
        <f>X20/U20</f>
        <v>39.519103223062132</v>
      </c>
      <c r="L20" s="50">
        <f t="shared" ref="L20:Q20" si="12">SUM(L6:L17)</f>
        <v>0</v>
      </c>
      <c r="M20" s="50">
        <f t="shared" si="12"/>
        <v>0</v>
      </c>
      <c r="N20" s="50">
        <f t="shared" si="12"/>
        <v>0</v>
      </c>
      <c r="O20" s="50">
        <f t="shared" si="12"/>
        <v>9536231.5759340003</v>
      </c>
      <c r="P20" s="56">
        <f t="shared" si="12"/>
        <v>1120526</v>
      </c>
      <c r="Q20" s="56">
        <f t="shared" si="12"/>
        <v>1120526</v>
      </c>
      <c r="R20" s="56"/>
      <c r="S20" s="56"/>
      <c r="T20" s="140">
        <f t="shared" ref="T20:Y20" si="13">SUM(T6:T17)</f>
        <v>308911</v>
      </c>
      <c r="U20" s="48">
        <f t="shared" si="13"/>
        <v>307968</v>
      </c>
      <c r="V20" s="48">
        <f t="shared" si="13"/>
        <v>943</v>
      </c>
      <c r="W20" s="56">
        <f t="shared" si="13"/>
        <v>166197</v>
      </c>
      <c r="X20" s="56">
        <f t="shared" si="13"/>
        <v>12170619.181399999</v>
      </c>
      <c r="Y20" s="56">
        <f t="shared" si="13"/>
        <v>40732.242665999569</v>
      </c>
      <c r="Z20" s="53">
        <f>SUM(Z6:Z17)</f>
        <v>0</v>
      </c>
      <c r="AA20" s="63">
        <f>SUM(AA6:AA17)</f>
        <v>0</v>
      </c>
      <c r="AB20" s="63">
        <f>SUM(AB6:AB17)</f>
        <v>0</v>
      </c>
      <c r="AC20" s="189">
        <f>(G20+AB20-I20-Z20-(P20+L20))/(U20+(V20-AA20))</f>
        <v>70.938814092084769</v>
      </c>
      <c r="AD20" s="190">
        <f>(G59-K59-M59)/(C59+E59)</f>
        <v>36.911790775343967</v>
      </c>
      <c r="AE20" s="190"/>
    </row>
    <row r="21" spans="1:44">
      <c r="A21" s="44"/>
      <c r="B21" s="57"/>
      <c r="C21" s="58"/>
      <c r="D21" s="57"/>
      <c r="E21" s="57"/>
      <c r="F21" s="48"/>
      <c r="G21" s="50"/>
      <c r="H21" s="59"/>
      <c r="I21" s="59"/>
      <c r="J21" s="59"/>
      <c r="K21" s="50"/>
      <c r="L21" s="50"/>
      <c r="M21" s="56"/>
      <c r="N21" s="56"/>
      <c r="O21" s="56"/>
      <c r="P21" s="56"/>
      <c r="Q21" s="45"/>
      <c r="R21" s="45"/>
      <c r="S21" s="45"/>
      <c r="W21" s="46"/>
      <c r="X21" s="46"/>
      <c r="Y21" s="46"/>
      <c r="Z21" s="46"/>
      <c r="AA21" s="39"/>
      <c r="AB21" s="40"/>
    </row>
    <row r="22" spans="1:44">
      <c r="A22" s="44"/>
      <c r="B22" s="60"/>
      <c r="C22" s="48"/>
      <c r="D22" s="48"/>
      <c r="E22" s="48"/>
      <c r="F22" s="50"/>
      <c r="G22" s="50"/>
      <c r="H22" s="51"/>
      <c r="I22" s="51"/>
      <c r="J22" s="50"/>
      <c r="K22" s="50"/>
      <c r="L22" s="50"/>
      <c r="M22" s="51"/>
      <c r="N22" s="61"/>
      <c r="O22" s="61">
        <f>O20-N59</f>
        <v>7937383.5119340001</v>
      </c>
      <c r="P22" s="56">
        <f>5667+295</f>
        <v>5962</v>
      </c>
      <c r="Q22" s="163">
        <f>15450-P22</f>
        <v>9488</v>
      </c>
      <c r="V22" s="45"/>
      <c r="W22" s="45"/>
      <c r="X22" s="249"/>
      <c r="AA22" s="45"/>
      <c r="AB22" s="40"/>
    </row>
    <row r="23" spans="1:44">
      <c r="A23" s="26"/>
      <c r="G23" s="79"/>
      <c r="H23" s="79"/>
      <c r="I23" s="79"/>
      <c r="J23" s="27"/>
      <c r="K23" s="27"/>
      <c r="L23" s="80"/>
      <c r="M23"/>
      <c r="N23" s="61"/>
      <c r="O23" s="61"/>
      <c r="Q23" s="45"/>
      <c r="W23" s="50"/>
      <c r="X23" s="46"/>
      <c r="Y23" s="49"/>
      <c r="Z23" s="49"/>
      <c r="AA23" s="50"/>
      <c r="AB23" s="56"/>
      <c r="AC23" s="27"/>
      <c r="AD23" s="682"/>
      <c r="AE23" s="682"/>
      <c r="AF23" s="682"/>
      <c r="AG23" s="683"/>
      <c r="AH23" s="683"/>
      <c r="AI23" s="683"/>
      <c r="AJ23" s="682"/>
      <c r="AK23" s="682"/>
      <c r="AL23" s="682"/>
      <c r="AM23" s="71"/>
      <c r="AN23" s="27"/>
      <c r="AO23" s="27"/>
      <c r="AP23" s="685"/>
      <c r="AQ23" s="685"/>
      <c r="AR23" s="685"/>
    </row>
    <row r="24" spans="1:44" ht="15">
      <c r="A24" s="29"/>
      <c r="B24" s="686" t="s">
        <v>114</v>
      </c>
      <c r="C24" s="686"/>
      <c r="D24" s="686"/>
      <c r="E24" s="686"/>
      <c r="F24" s="686"/>
      <c r="H24" s="32"/>
      <c r="I24" s="32"/>
      <c r="J24" s="253"/>
      <c r="K24" s="253"/>
      <c r="M24" s="40"/>
      <c r="N24" s="83"/>
      <c r="O24" s="527"/>
      <c r="P24"/>
      <c r="Q24" s="81"/>
      <c r="S24" s="688" t="s">
        <v>312</v>
      </c>
      <c r="T24" s="688"/>
      <c r="U24" s="688"/>
      <c r="W24" s="50"/>
      <c r="X24" s="375"/>
      <c r="Y24" s="27"/>
      <c r="Z24" s="27"/>
      <c r="AA24" s="50"/>
      <c r="AB24" s="27"/>
      <c r="AC24" s="27"/>
      <c r="AD24" s="683"/>
      <c r="AE24" s="683"/>
      <c r="AF24" s="683"/>
      <c r="AG24" s="683"/>
      <c r="AH24" s="683"/>
      <c r="AI24" s="683"/>
      <c r="AJ24" s="683"/>
    </row>
    <row r="25" spans="1:44" s="155" customFormat="1" ht="15.75" customHeight="1">
      <c r="A25" s="29"/>
      <c r="D25" s="82"/>
      <c r="E25" s="82"/>
      <c r="F25" s="27" t="s">
        <v>45</v>
      </c>
      <c r="G25" s="71"/>
      <c r="H25" s="71"/>
      <c r="I25" s="71"/>
      <c r="J25" s="252"/>
      <c r="K25" s="252"/>
      <c r="L25" s="690" t="s">
        <v>215</v>
      </c>
      <c r="M25" s="690"/>
      <c r="N25" s="690" t="s">
        <v>208</v>
      </c>
      <c r="O25" s="690"/>
      <c r="P25" s="689" t="s">
        <v>213</v>
      </c>
      <c r="Q25" s="689"/>
      <c r="S25" s="380" t="s">
        <v>313</v>
      </c>
      <c r="T25" s="380" t="s">
        <v>314</v>
      </c>
      <c r="U25" s="27" t="s">
        <v>315</v>
      </c>
      <c r="V25" s="46"/>
      <c r="W25" s="50"/>
      <c r="X25" s="85"/>
      <c r="Y25" s="85"/>
      <c r="Z25" s="85"/>
      <c r="AA25" s="50"/>
      <c r="AB25" s="27"/>
      <c r="AC25" s="27"/>
      <c r="AD25" s="85"/>
      <c r="AE25" s="85"/>
      <c r="AF25" s="85"/>
    </row>
    <row r="26" spans="1:44" s="40" customFormat="1">
      <c r="A26" s="29"/>
      <c r="B26" s="27" t="s">
        <v>103</v>
      </c>
      <c r="C26" s="27" t="s">
        <v>69</v>
      </c>
      <c r="D26" s="27" t="s">
        <v>149</v>
      </c>
      <c r="E26" s="27" t="s">
        <v>153</v>
      </c>
      <c r="F26" s="27" t="s">
        <v>24</v>
      </c>
      <c r="G26" s="27" t="s">
        <v>123</v>
      </c>
      <c r="H26" s="27" t="s">
        <v>3</v>
      </c>
      <c r="I26" s="27"/>
      <c r="J26" s="27" t="s">
        <v>174</v>
      </c>
      <c r="K26" s="27" t="s">
        <v>175</v>
      </c>
      <c r="L26" s="360" t="s">
        <v>211</v>
      </c>
      <c r="M26" s="360" t="s">
        <v>212</v>
      </c>
      <c r="N26" s="360" t="s">
        <v>209</v>
      </c>
      <c r="O26" s="360" t="s">
        <v>210</v>
      </c>
      <c r="P26" s="360" t="s">
        <v>50</v>
      </c>
      <c r="Q26" s="360" t="s">
        <v>67</v>
      </c>
      <c r="S26" s="542" t="s">
        <v>311</v>
      </c>
      <c r="T26" s="529" t="s">
        <v>309</v>
      </c>
      <c r="U26" s="529" t="s">
        <v>309</v>
      </c>
      <c r="X26" s="290" t="s">
        <v>173</v>
      </c>
      <c r="Y26" s="27"/>
      <c r="Z26" s="291" t="s">
        <v>172</v>
      </c>
      <c r="AA26" s="291" t="s">
        <v>171</v>
      </c>
      <c r="AB26" s="49"/>
      <c r="AC26" s="71"/>
      <c r="AD26" s="683"/>
      <c r="AE26" s="683"/>
      <c r="AF26" s="49"/>
      <c r="AG26" s="49"/>
      <c r="AH26" s="49"/>
    </row>
    <row r="27" spans="1:44" s="40" customFormat="1">
      <c r="A27" s="44" t="s">
        <v>6</v>
      </c>
      <c r="B27" s="248">
        <v>96398</v>
      </c>
      <c r="C27" s="178">
        <f>B27-D27</f>
        <v>96398</v>
      </c>
      <c r="D27" s="248">
        <v>0</v>
      </c>
      <c r="E27" s="248"/>
      <c r="F27" s="224">
        <v>3891601.4966660012</v>
      </c>
      <c r="G27" s="248">
        <f>96219-72</f>
        <v>96147</v>
      </c>
      <c r="H27" s="224">
        <f>3841973.254+29433</f>
        <v>3871406.2540000002</v>
      </c>
      <c r="I27" s="250"/>
      <c r="J27" s="271">
        <v>0</v>
      </c>
      <c r="K27" s="271">
        <v>0</v>
      </c>
      <c r="L27" s="251">
        <v>3631675.2310791016</v>
      </c>
      <c r="M27" s="251">
        <v>3204054.0259429999</v>
      </c>
      <c r="N27" s="251">
        <f>102155515.53317+4306000</f>
        <v>106461515.53317</v>
      </c>
      <c r="O27" s="251">
        <f>90126944.1758648-158000</f>
        <v>89968944.175864801</v>
      </c>
      <c r="P27" s="251">
        <f>53591093.813403+3073000</f>
        <v>56664093.813403003</v>
      </c>
      <c r="Q27" s="251">
        <f>53591093.813403+269000</f>
        <v>53860093.813403003</v>
      </c>
      <c r="S27" s="251">
        <v>3631675.2310791016</v>
      </c>
      <c r="T27" s="251">
        <v>89968944.175864801</v>
      </c>
      <c r="U27" s="251">
        <v>53860093.813403003</v>
      </c>
      <c r="V27" s="566"/>
      <c r="X27" s="46">
        <f t="shared" ref="X27:X38" si="14">T6-D6</f>
        <v>87691</v>
      </c>
      <c r="Y27" s="49">
        <f>X27+Z27</f>
        <v>87942</v>
      </c>
      <c r="Z27" s="46">
        <f t="shared" ref="Z27:Z38" si="15">V6-AA6</f>
        <v>251</v>
      </c>
      <c r="AA27" s="50">
        <f t="shared" ref="AA27:AA38" si="16">Y6-Z6</f>
        <v>20195.242666000966</v>
      </c>
      <c r="AB27" s="49">
        <f>Y27-B6</f>
        <v>251</v>
      </c>
      <c r="AC27" s="27"/>
      <c r="AD27" s="49"/>
      <c r="AE27" s="49"/>
      <c r="AF27" s="49"/>
    </row>
    <row r="28" spans="1:44" s="40" customFormat="1">
      <c r="A28" s="44" t="s">
        <v>7</v>
      </c>
      <c r="B28" s="248">
        <v>86010</v>
      </c>
      <c r="C28" s="178">
        <f>B28-D28</f>
        <v>86010</v>
      </c>
      <c r="D28" s="248">
        <f>D7</f>
        <v>0</v>
      </c>
      <c r="E28" s="248"/>
      <c r="F28" s="224">
        <v>2437692.48147</v>
      </c>
      <c r="G28" s="248">
        <f>86010-66-27</f>
        <v>85917</v>
      </c>
      <c r="H28" s="224">
        <f>2437692.48147-2884-26228</f>
        <v>2408580.48147</v>
      </c>
      <c r="I28" s="250"/>
      <c r="J28" s="271">
        <v>0</v>
      </c>
      <c r="K28" s="271">
        <v>0</v>
      </c>
      <c r="L28" s="251">
        <v>3023658.1121826172</v>
      </c>
      <c r="M28" s="251">
        <v>2859365.5968515184</v>
      </c>
      <c r="N28" s="251">
        <f>85356746.4240717-773000</f>
        <v>84583746.424071699</v>
      </c>
      <c r="O28" s="251">
        <f>80718829.6854076-384000</f>
        <v>80334829.685407594</v>
      </c>
      <c r="P28" s="251">
        <f>54321315.4464994+4401000</f>
        <v>58722315.4464994</v>
      </c>
      <c r="Q28" s="251">
        <f>54321315.4464994+52000</f>
        <v>54373315.4464994</v>
      </c>
      <c r="S28" s="251">
        <v>3023658.1121826172</v>
      </c>
      <c r="T28" s="251">
        <v>80334829.685407594</v>
      </c>
      <c r="U28" s="251">
        <v>54373315.4464994</v>
      </c>
      <c r="V28" s="566"/>
      <c r="X28" s="46">
        <f t="shared" si="14"/>
        <v>76849</v>
      </c>
      <c r="Y28" s="49">
        <f t="shared" ref="Y28:Y35" si="17">X28+Z28</f>
        <v>76942</v>
      </c>
      <c r="Z28" s="46">
        <f t="shared" si="15"/>
        <v>93</v>
      </c>
      <c r="AA28" s="50">
        <f t="shared" si="16"/>
        <v>29112</v>
      </c>
      <c r="AB28" s="49">
        <f t="shared" ref="AB28:AB35" si="18">Y28-B7</f>
        <v>93</v>
      </c>
      <c r="AC28" s="27"/>
      <c r="AD28" s="49"/>
      <c r="AE28" s="49"/>
      <c r="AF28" s="49"/>
    </row>
    <row r="29" spans="1:44" s="40" customFormat="1">
      <c r="A29" s="44" t="s">
        <v>8</v>
      </c>
      <c r="B29" s="248">
        <v>91213</v>
      </c>
      <c r="C29" s="178">
        <f t="shared" ref="C29:C38" si="19">B29-D29</f>
        <v>91213</v>
      </c>
      <c r="D29" s="248">
        <f t="shared" ref="D29:D35" si="20">D8</f>
        <v>0</v>
      </c>
      <c r="E29" s="248"/>
      <c r="F29" s="224">
        <v>2649855.8303199993</v>
      </c>
      <c r="G29" s="251">
        <f>91213-115</f>
        <v>91098</v>
      </c>
      <c r="H29" s="224">
        <f>2649855.83032+21946</f>
        <v>2671801.8303200002</v>
      </c>
      <c r="I29" s="250"/>
      <c r="J29" s="271">
        <v>0</v>
      </c>
      <c r="K29" s="271">
        <v>0</v>
      </c>
      <c r="L29" s="251">
        <v>2935623</v>
      </c>
      <c r="M29" s="251">
        <v>2811469.8371906104</v>
      </c>
      <c r="N29" s="251">
        <f>80262045.3603375-1511000</f>
        <v>78751045.360337496</v>
      </c>
      <c r="O29" s="251">
        <f>76867608.5457205+387000</f>
        <v>77254608.545720503</v>
      </c>
      <c r="P29" s="251">
        <f>54913071.17173+234000</f>
        <v>55147071.171729997</v>
      </c>
      <c r="Q29" s="251">
        <f>54913071.1717292-384000</f>
        <v>54529071.1717292</v>
      </c>
      <c r="S29" s="251">
        <v>2935623</v>
      </c>
      <c r="T29" s="251">
        <v>77254608.545720503</v>
      </c>
      <c r="U29" s="251">
        <v>54529071.1717292</v>
      </c>
      <c r="V29" s="566"/>
      <c r="X29" s="46">
        <f t="shared" si="14"/>
        <v>53421</v>
      </c>
      <c r="Y29" s="49">
        <f t="shared" si="17"/>
        <v>53536</v>
      </c>
      <c r="Z29" s="46">
        <f t="shared" si="15"/>
        <v>115</v>
      </c>
      <c r="AA29" s="50">
        <f t="shared" si="16"/>
        <v>-21946.000000000931</v>
      </c>
      <c r="AB29" s="49">
        <f t="shared" si="18"/>
        <v>115</v>
      </c>
      <c r="AC29" s="27"/>
      <c r="AD29" s="49"/>
      <c r="AE29" s="49"/>
      <c r="AF29" s="49"/>
    </row>
    <row r="30" spans="1:44" s="40" customFormat="1">
      <c r="A30" s="44" t="s">
        <v>9</v>
      </c>
      <c r="B30" s="248">
        <v>106599</v>
      </c>
      <c r="C30" s="178">
        <f t="shared" si="19"/>
        <v>106599</v>
      </c>
      <c r="D30" s="248">
        <f t="shared" si="20"/>
        <v>0</v>
      </c>
      <c r="E30" s="177"/>
      <c r="F30" s="250">
        <v>3342095</v>
      </c>
      <c r="G30" s="251">
        <v>106563</v>
      </c>
      <c r="H30" s="250">
        <v>3339602</v>
      </c>
      <c r="I30" s="250"/>
      <c r="J30" s="271">
        <v>0</v>
      </c>
      <c r="K30" s="271">
        <v>0</v>
      </c>
      <c r="L30" s="251">
        <v>2468114.3041381836</v>
      </c>
      <c r="M30" s="251">
        <v>2517254.3277377076</v>
      </c>
      <c r="N30" s="251">
        <f>63546206.0905972-4022000</f>
        <v>59524206.090597197</v>
      </c>
      <c r="O30" s="251">
        <f>64811407.6502318+783000</f>
        <v>65594407.650231801</v>
      </c>
      <c r="P30" s="251">
        <f>55945847.9164651+2890000</f>
        <v>58835847.916465104</v>
      </c>
      <c r="Q30" s="251">
        <f>55945847.9164651+388000</f>
        <v>56333847.916465104</v>
      </c>
      <c r="S30" s="251">
        <v>2468114.3041381836</v>
      </c>
      <c r="T30" s="251">
        <v>65594407.650231801</v>
      </c>
      <c r="U30" s="251">
        <v>56333847.916465104</v>
      </c>
      <c r="V30" s="566"/>
      <c r="X30" s="46">
        <f t="shared" si="14"/>
        <v>1127</v>
      </c>
      <c r="Y30" s="49">
        <f t="shared" si="17"/>
        <v>1163</v>
      </c>
      <c r="Z30" s="46">
        <f t="shared" si="15"/>
        <v>36</v>
      </c>
      <c r="AA30" s="50">
        <f t="shared" si="16"/>
        <v>2493</v>
      </c>
      <c r="AB30" s="49">
        <f t="shared" si="18"/>
        <v>36</v>
      </c>
      <c r="AC30" s="27"/>
      <c r="AD30" s="49"/>
      <c r="AE30" s="49"/>
      <c r="AF30" s="49"/>
    </row>
    <row r="31" spans="1:44" s="40" customFormat="1">
      <c r="A31" s="44" t="s">
        <v>10</v>
      </c>
      <c r="B31" s="248">
        <v>57472</v>
      </c>
      <c r="C31" s="178">
        <f t="shared" si="19"/>
        <v>57472</v>
      </c>
      <c r="D31" s="248">
        <f t="shared" si="20"/>
        <v>0</v>
      </c>
      <c r="E31" s="177"/>
      <c r="F31" s="250">
        <v>1614877.13</v>
      </c>
      <c r="G31" s="251">
        <f>57472-67</f>
        <v>57405</v>
      </c>
      <c r="H31" s="250">
        <f>1614877.13-2898-39</f>
        <v>1611940.13</v>
      </c>
      <c r="I31" s="250"/>
      <c r="J31" s="271">
        <v>0</v>
      </c>
      <c r="K31" s="271">
        <v>0</v>
      </c>
      <c r="L31" s="251">
        <v>2783226.9130859375</v>
      </c>
      <c r="M31" s="251">
        <v>2701843.5499626058</v>
      </c>
      <c r="N31" s="251">
        <f>68107065.9418361+1942000</f>
        <v>70049065.941836104</v>
      </c>
      <c r="O31" s="251">
        <f>66115571.0864405+1076000</f>
        <v>67191571.086440504</v>
      </c>
      <c r="P31" s="251">
        <f>58406290.2432429+4488000</f>
        <v>62894290.243242897</v>
      </c>
      <c r="Q31" s="251">
        <f>58406290.2432429+213000</f>
        <v>58619290.243242897</v>
      </c>
      <c r="S31" s="251">
        <v>2783226.9130859375</v>
      </c>
      <c r="T31" s="251">
        <v>67191571.086440504</v>
      </c>
      <c r="U31" s="251">
        <v>58619290.243242897</v>
      </c>
      <c r="V31" s="566"/>
      <c r="X31" s="46">
        <f t="shared" si="14"/>
        <v>44055</v>
      </c>
      <c r="Y31" s="49">
        <f t="shared" si="17"/>
        <v>44122</v>
      </c>
      <c r="Z31" s="46">
        <f t="shared" si="15"/>
        <v>67</v>
      </c>
      <c r="AA31" s="50">
        <f t="shared" si="16"/>
        <v>2937</v>
      </c>
      <c r="AB31" s="49">
        <f t="shared" si="18"/>
        <v>67</v>
      </c>
      <c r="AC31" s="27"/>
      <c r="AD31" s="49"/>
      <c r="AE31" s="49"/>
      <c r="AF31" s="49"/>
    </row>
    <row r="32" spans="1:44" s="40" customFormat="1">
      <c r="A32" s="44" t="s">
        <v>11</v>
      </c>
      <c r="B32" s="248">
        <v>77349</v>
      </c>
      <c r="C32" s="178">
        <f t="shared" si="19"/>
        <v>77349</v>
      </c>
      <c r="D32" s="248">
        <f t="shared" si="20"/>
        <v>0</v>
      </c>
      <c r="E32" s="248"/>
      <c r="F32" s="250">
        <v>2175295.3201399995</v>
      </c>
      <c r="G32" s="251">
        <f>77349-381</f>
        <v>76968</v>
      </c>
      <c r="H32" s="250">
        <f>2175295.32014-7941</f>
        <v>2167354.32014</v>
      </c>
      <c r="I32" s="250"/>
      <c r="J32" s="271">
        <v>0</v>
      </c>
      <c r="K32" s="271">
        <v>0</v>
      </c>
      <c r="L32" s="251">
        <v>3108632.9465332031</v>
      </c>
      <c r="M32" s="251">
        <v>3153619.9342092038</v>
      </c>
      <c r="N32" s="251">
        <f>82175017.6341466-1555000</f>
        <v>80620017.634146601</v>
      </c>
      <c r="O32" s="251">
        <f>83364224.13397-6364000</f>
        <v>77000224.133970007</v>
      </c>
      <c r="P32" s="251">
        <f>62230746.4904573+3923000</f>
        <v>66153746.490457296</v>
      </c>
      <c r="Q32" s="251">
        <f>62230746.4904573+7049000</f>
        <v>69279746.490457296</v>
      </c>
      <c r="S32" s="251">
        <v>3108632.9465332031</v>
      </c>
      <c r="T32" s="251">
        <v>77000224.133970007</v>
      </c>
      <c r="U32" s="251">
        <v>69279746.490457296</v>
      </c>
      <c r="V32" s="566"/>
      <c r="X32" s="46">
        <f t="shared" si="14"/>
        <v>45768</v>
      </c>
      <c r="Y32" s="49">
        <f t="shared" si="17"/>
        <v>46149</v>
      </c>
      <c r="Z32" s="46">
        <f t="shared" si="15"/>
        <v>381</v>
      </c>
      <c r="AA32" s="50">
        <f t="shared" si="16"/>
        <v>7940.9999999995343</v>
      </c>
      <c r="AB32" s="49">
        <f t="shared" si="18"/>
        <v>381</v>
      </c>
      <c r="AC32" s="27"/>
      <c r="AD32" s="49"/>
      <c r="AE32" s="49"/>
      <c r="AF32" s="49"/>
    </row>
    <row r="33" spans="1:40" s="40" customFormat="1">
      <c r="A33" s="44" t="s">
        <v>12</v>
      </c>
      <c r="B33" s="248"/>
      <c r="C33" s="178">
        <f t="shared" si="19"/>
        <v>0</v>
      </c>
      <c r="D33" s="248">
        <f t="shared" si="20"/>
        <v>0</v>
      </c>
      <c r="E33" s="248"/>
      <c r="F33" s="250"/>
      <c r="G33" s="251"/>
      <c r="H33" s="250"/>
      <c r="I33" s="250"/>
      <c r="J33" s="271">
        <v>0</v>
      </c>
      <c r="K33" s="271">
        <v>0</v>
      </c>
      <c r="L33" s="251"/>
      <c r="M33" s="251"/>
      <c r="N33" s="251"/>
      <c r="O33" s="251"/>
      <c r="P33" s="251"/>
      <c r="Q33" s="251"/>
      <c r="S33" s="251"/>
      <c r="T33" s="251"/>
      <c r="U33" s="251"/>
      <c r="V33" s="566"/>
      <c r="X33" s="46">
        <f t="shared" si="14"/>
        <v>0</v>
      </c>
      <c r="Y33" s="49">
        <f t="shared" si="17"/>
        <v>0</v>
      </c>
      <c r="Z33" s="46">
        <f t="shared" si="15"/>
        <v>0</v>
      </c>
      <c r="AA33" s="50">
        <f t="shared" si="16"/>
        <v>0</v>
      </c>
      <c r="AB33" s="49">
        <f t="shared" si="18"/>
        <v>0</v>
      </c>
      <c r="AC33" s="27"/>
      <c r="AD33" s="49"/>
      <c r="AE33" s="49"/>
      <c r="AF33" s="49"/>
    </row>
    <row r="34" spans="1:40" s="40" customFormat="1">
      <c r="A34" s="44" t="s">
        <v>13</v>
      </c>
      <c r="B34" s="248"/>
      <c r="C34" s="178">
        <f t="shared" si="19"/>
        <v>0</v>
      </c>
      <c r="D34" s="248">
        <f t="shared" si="20"/>
        <v>0</v>
      </c>
      <c r="E34" s="248"/>
      <c r="F34" s="250"/>
      <c r="G34" s="251"/>
      <c r="H34" s="250"/>
      <c r="I34" s="250"/>
      <c r="J34" s="271">
        <v>0</v>
      </c>
      <c r="K34" s="271">
        <v>0</v>
      </c>
      <c r="L34" s="251"/>
      <c r="M34" s="251"/>
      <c r="N34" s="251"/>
      <c r="O34" s="251"/>
      <c r="P34" s="251"/>
      <c r="Q34" s="251"/>
      <c r="S34" s="251"/>
      <c r="T34" s="251"/>
      <c r="U34" s="251"/>
      <c r="V34" s="566"/>
      <c r="X34" s="46">
        <f t="shared" si="14"/>
        <v>0</v>
      </c>
      <c r="Y34" s="49">
        <f t="shared" si="17"/>
        <v>0</v>
      </c>
      <c r="Z34" s="46">
        <f t="shared" si="15"/>
        <v>0</v>
      </c>
      <c r="AA34" s="50">
        <f t="shared" si="16"/>
        <v>0</v>
      </c>
      <c r="AB34" s="49">
        <f t="shared" si="18"/>
        <v>0</v>
      </c>
      <c r="AC34" s="27"/>
      <c r="AD34" s="49"/>
      <c r="AE34" s="49"/>
      <c r="AF34" s="49"/>
    </row>
    <row r="35" spans="1:40" s="40" customFormat="1">
      <c r="A35" s="44" t="s">
        <v>14</v>
      </c>
      <c r="B35" s="248"/>
      <c r="C35" s="178">
        <f t="shared" si="19"/>
        <v>0</v>
      </c>
      <c r="D35" s="248">
        <f t="shared" si="20"/>
        <v>0</v>
      </c>
      <c r="E35" s="248"/>
      <c r="F35" s="250"/>
      <c r="G35" s="251"/>
      <c r="H35" s="250"/>
      <c r="I35" s="250"/>
      <c r="J35" s="271">
        <v>0</v>
      </c>
      <c r="K35" s="271">
        <v>0</v>
      </c>
      <c r="L35" s="251"/>
      <c r="M35" s="251"/>
      <c r="N35" s="251"/>
      <c r="O35" s="251"/>
      <c r="P35" s="251"/>
      <c r="Q35" s="251"/>
      <c r="S35" s="251"/>
      <c r="T35" s="251"/>
      <c r="U35" s="251"/>
      <c r="V35" s="566"/>
      <c r="X35" s="46">
        <f t="shared" si="14"/>
        <v>0</v>
      </c>
      <c r="Y35" s="49">
        <f t="shared" si="17"/>
        <v>0</v>
      </c>
      <c r="Z35" s="46">
        <f t="shared" si="15"/>
        <v>0</v>
      </c>
      <c r="AA35" s="50">
        <f t="shared" si="16"/>
        <v>0</v>
      </c>
      <c r="AB35" s="49">
        <f t="shared" si="18"/>
        <v>0</v>
      </c>
      <c r="AC35" s="27"/>
      <c r="AD35" s="49"/>
      <c r="AE35" s="49"/>
      <c r="AF35" s="49"/>
    </row>
    <row r="36" spans="1:40" s="40" customFormat="1">
      <c r="A36" s="44" t="s">
        <v>15</v>
      </c>
      <c r="B36" s="248"/>
      <c r="C36" s="178">
        <f t="shared" si="19"/>
        <v>0</v>
      </c>
      <c r="D36" s="248">
        <v>0</v>
      </c>
      <c r="E36" s="248"/>
      <c r="F36" s="250"/>
      <c r="G36" s="251"/>
      <c r="H36" s="250"/>
      <c r="I36" s="250"/>
      <c r="J36" s="271">
        <v>0</v>
      </c>
      <c r="K36" s="271">
        <v>0</v>
      </c>
      <c r="L36" s="251"/>
      <c r="M36" s="251"/>
      <c r="N36" s="251"/>
      <c r="O36" s="251"/>
      <c r="P36" s="251"/>
      <c r="Q36" s="251"/>
      <c r="S36" s="251"/>
      <c r="T36" s="251"/>
      <c r="U36" s="251"/>
      <c r="V36" s="566"/>
      <c r="X36" s="46">
        <f t="shared" si="14"/>
        <v>0</v>
      </c>
      <c r="Y36" s="49"/>
      <c r="Z36" s="46">
        <f t="shared" si="15"/>
        <v>0</v>
      </c>
      <c r="AA36" s="50">
        <f t="shared" si="16"/>
        <v>0</v>
      </c>
      <c r="AB36" s="27"/>
      <c r="AC36" s="27"/>
      <c r="AD36" s="49"/>
      <c r="AE36" s="49"/>
      <c r="AF36" s="49"/>
    </row>
    <row r="37" spans="1:40" s="40" customFormat="1">
      <c r="A37" s="44" t="s">
        <v>16</v>
      </c>
      <c r="B37" s="248"/>
      <c r="C37" s="178">
        <f t="shared" si="19"/>
        <v>0</v>
      </c>
      <c r="D37" s="248">
        <f>D16</f>
        <v>0</v>
      </c>
      <c r="E37" s="248"/>
      <c r="F37" s="250"/>
      <c r="G37" s="251"/>
      <c r="H37" s="250"/>
      <c r="I37" s="250"/>
      <c r="J37" s="271">
        <v>0</v>
      </c>
      <c r="K37" s="271">
        <v>0</v>
      </c>
      <c r="L37" s="251"/>
      <c r="M37" s="251"/>
      <c r="N37" s="251"/>
      <c r="O37" s="251"/>
      <c r="P37" s="251"/>
      <c r="Q37" s="251"/>
      <c r="S37" s="251"/>
      <c r="T37" s="251"/>
      <c r="U37" s="251"/>
      <c r="X37" s="46">
        <f t="shared" si="14"/>
        <v>0</v>
      </c>
      <c r="Y37" s="49"/>
      <c r="Z37" s="46">
        <f t="shared" si="15"/>
        <v>0</v>
      </c>
      <c r="AA37" s="50">
        <f t="shared" si="16"/>
        <v>0</v>
      </c>
      <c r="AB37" s="27"/>
      <c r="AC37" s="27"/>
      <c r="AD37" s="49"/>
      <c r="AE37" s="49"/>
      <c r="AF37" s="49"/>
    </row>
    <row r="38" spans="1:40" s="40" customFormat="1">
      <c r="A38" s="44" t="s">
        <v>17</v>
      </c>
      <c r="B38" s="248"/>
      <c r="C38" s="178">
        <f t="shared" si="19"/>
        <v>0</v>
      </c>
      <c r="D38" s="248">
        <f>D17</f>
        <v>0</v>
      </c>
      <c r="E38" s="248"/>
      <c r="F38" s="250"/>
      <c r="G38" s="251"/>
      <c r="H38" s="250"/>
      <c r="I38" s="250"/>
      <c r="J38" s="271">
        <v>0</v>
      </c>
      <c r="K38" s="271">
        <v>0</v>
      </c>
      <c r="L38" s="251"/>
      <c r="M38" s="251"/>
      <c r="N38" s="251"/>
      <c r="O38" s="251"/>
      <c r="P38" s="251"/>
      <c r="Q38" s="251"/>
      <c r="S38" s="251"/>
      <c r="T38" s="251"/>
      <c r="U38" s="251"/>
      <c r="X38" s="46">
        <f t="shared" si="14"/>
        <v>0</v>
      </c>
      <c r="Y38" s="49"/>
      <c r="Z38" s="46">
        <f t="shared" si="15"/>
        <v>0</v>
      </c>
      <c r="AA38" s="50">
        <f t="shared" si="16"/>
        <v>0</v>
      </c>
      <c r="AB38" s="27"/>
      <c r="AC38" s="27"/>
      <c r="AD38" s="49"/>
      <c r="AE38" s="49"/>
      <c r="AF38" s="49"/>
    </row>
    <row r="39" spans="1:40" s="176" customFormat="1">
      <c r="A39" s="227"/>
      <c r="B39" s="228"/>
      <c r="C39" s="228"/>
      <c r="D39" s="228"/>
      <c r="E39" s="228"/>
      <c r="F39" s="229"/>
      <c r="G39" s="229"/>
      <c r="H39" s="229"/>
      <c r="I39" s="229"/>
      <c r="J39" s="230"/>
      <c r="K39" s="231"/>
      <c r="L39" s="115"/>
      <c r="M39" s="58"/>
      <c r="N39" s="232"/>
      <c r="O39" s="232"/>
      <c r="T39" s="232"/>
      <c r="U39" s="232"/>
      <c r="V39" s="46"/>
      <c r="W39" s="50"/>
      <c r="X39" s="232"/>
      <c r="Y39" s="232"/>
      <c r="Z39" s="232"/>
      <c r="AA39" s="233"/>
      <c r="AB39" s="91"/>
      <c r="AC39" s="91"/>
      <c r="AD39" s="232"/>
      <c r="AE39" s="232"/>
      <c r="AF39" s="232"/>
    </row>
    <row r="40" spans="1:40" s="234" customFormat="1" ht="15.75">
      <c r="A40" s="91" t="s">
        <v>18</v>
      </c>
      <c r="B40" s="58">
        <f t="shared" ref="B40:H40" si="21">SUM(B27:B38)</f>
        <v>515041</v>
      </c>
      <c r="C40" s="58">
        <f t="shared" si="21"/>
        <v>515041</v>
      </c>
      <c r="D40" s="58">
        <f t="shared" si="21"/>
        <v>0</v>
      </c>
      <c r="E40" s="58">
        <f t="shared" si="21"/>
        <v>0</v>
      </c>
      <c r="F40" s="58">
        <f t="shared" si="21"/>
        <v>16111417.258595999</v>
      </c>
      <c r="G40" s="58">
        <f t="shared" si="21"/>
        <v>514098</v>
      </c>
      <c r="H40" s="58">
        <f t="shared" si="21"/>
        <v>16070685.015930001</v>
      </c>
      <c r="I40" s="58"/>
      <c r="J40" s="254">
        <f t="shared" ref="J40:Q40" si="22">SUM(J27:J39)</f>
        <v>0</v>
      </c>
      <c r="K40" s="254">
        <f t="shared" si="22"/>
        <v>0</v>
      </c>
      <c r="L40" s="254">
        <f t="shared" si="22"/>
        <v>17950930.507019043</v>
      </c>
      <c r="M40" s="254">
        <f t="shared" si="22"/>
        <v>17247607.271894649</v>
      </c>
      <c r="N40" s="232">
        <f>SUM(N27:N39)</f>
        <v>479989596.98415911</v>
      </c>
      <c r="O40" s="232">
        <f t="shared" si="22"/>
        <v>457344585.27763522</v>
      </c>
      <c r="P40" s="232">
        <f t="shared" si="22"/>
        <v>358417365.08179772</v>
      </c>
      <c r="Q40" s="232">
        <f t="shared" si="22"/>
        <v>346995365.08179688</v>
      </c>
      <c r="S40" s="232">
        <f>SUM(S27:S39)</f>
        <v>17950930.507019043</v>
      </c>
      <c r="T40" s="232">
        <f>SUM(T27:T39)</f>
        <v>457344585.27763522</v>
      </c>
      <c r="U40" s="232">
        <f>SUM(U27:U39)</f>
        <v>346995365.08179688</v>
      </c>
      <c r="V40" s="232"/>
      <c r="W40" s="232"/>
      <c r="X40" s="232"/>
      <c r="Y40" s="232"/>
      <c r="Z40" s="232"/>
      <c r="AA40" s="233"/>
      <c r="AB40" s="91"/>
      <c r="AC40" s="91"/>
      <c r="AD40" s="232"/>
      <c r="AE40" s="232"/>
      <c r="AF40" s="232"/>
    </row>
    <row r="41" spans="1:40">
      <c r="A41" s="44"/>
      <c r="B41" s="60"/>
      <c r="C41" s="48"/>
      <c r="D41" s="48"/>
      <c r="E41" s="50"/>
      <c r="F41" s="50"/>
      <c r="G41" s="51"/>
      <c r="H41" s="50"/>
      <c r="I41" s="50"/>
      <c r="J41" s="50"/>
      <c r="K41" s="51"/>
      <c r="L41" s="270"/>
      <c r="M41" s="27"/>
      <c r="N41" s="49">
        <f>N40-O40</f>
        <v>22645011.706523895</v>
      </c>
      <c r="O41" s="49"/>
      <c r="P41" s="49">
        <f>P40-Q40</f>
        <v>11422000.000000834</v>
      </c>
      <c r="Q41" s="49"/>
      <c r="R41" s="49"/>
      <c r="S41" s="49"/>
      <c r="T41" s="39"/>
      <c r="U41" s="39"/>
      <c r="V41" s="39"/>
      <c r="Z41"/>
      <c r="AF41" s="100"/>
      <c r="AG41" s="100"/>
      <c r="AH41" s="100"/>
      <c r="AI41" s="100"/>
    </row>
    <row r="42" spans="1:40">
      <c r="L42" s="45"/>
      <c r="N42" s="408">
        <f>N40/1000</f>
        <v>479989.59698415908</v>
      </c>
      <c r="O42" s="408">
        <f>O40/1000</f>
        <v>457344.5852776352</v>
      </c>
      <c r="P42" s="408">
        <f>P40/1000</f>
        <v>358417.3650817977</v>
      </c>
      <c r="Q42" s="408">
        <f>Q40/1000</f>
        <v>346995.36508179689</v>
      </c>
      <c r="T42" s="408">
        <f>T40/1000</f>
        <v>457344.5852776352</v>
      </c>
      <c r="U42" s="408">
        <f>U40/1000</f>
        <v>346995.36508179689</v>
      </c>
      <c r="V42" s="39"/>
      <c r="W42" s="39"/>
      <c r="AI42" s="100"/>
    </row>
    <row r="43" spans="1:40">
      <c r="B43" s="687" t="s">
        <v>150</v>
      </c>
      <c r="C43" s="687"/>
      <c r="D43" s="687"/>
      <c r="E43" s="687"/>
      <c r="F43" s="687"/>
      <c r="G43" s="687"/>
      <c r="H43" s="687"/>
      <c r="I43" s="45"/>
      <c r="J43" s="45"/>
      <c r="K43" s="45"/>
      <c r="L43" s="45"/>
      <c r="N43" s="513">
        <f>479990-N42</f>
        <v>0.40301584091503173</v>
      </c>
      <c r="O43" s="513">
        <f>457345-O42</f>
        <v>0.41472236480331048</v>
      </c>
      <c r="P43" s="46">
        <f>358417-P42</f>
        <v>-0.36508179770316929</v>
      </c>
      <c r="Q43" s="46">
        <f>346995-Q42</f>
        <v>-0.36508179688826203</v>
      </c>
      <c r="T43" s="513">
        <f>700685-T42</f>
        <v>243340.4147223648</v>
      </c>
      <c r="U43" s="46">
        <f>502322-U42</f>
        <v>155326.63491820311</v>
      </c>
      <c r="V43" s="40"/>
      <c r="Z43"/>
      <c r="AE43" s="679" t="s">
        <v>354</v>
      </c>
      <c r="AF43" s="679"/>
      <c r="AG43" s="679"/>
      <c r="AH43" s="679"/>
      <c r="AI43" s="679"/>
      <c r="AJ43" s="679"/>
      <c r="AK43" s="679"/>
    </row>
    <row r="44" spans="1:40">
      <c r="A44" s="44"/>
      <c r="B44" s="27" t="s">
        <v>43</v>
      </c>
      <c r="C44" s="27" t="s">
        <v>44</v>
      </c>
      <c r="D44" s="27" t="s">
        <v>130</v>
      </c>
      <c r="E44" s="27" t="s">
        <v>130</v>
      </c>
      <c r="F44" s="27" t="s">
        <v>139</v>
      </c>
      <c r="G44" s="27" t="s">
        <v>22</v>
      </c>
      <c r="H44" s="27" t="s">
        <v>47</v>
      </c>
      <c r="I44" s="27" t="s">
        <v>48</v>
      </c>
      <c r="J44" s="27" t="s">
        <v>49</v>
      </c>
      <c r="K44" s="27" t="s">
        <v>166</v>
      </c>
      <c r="L44" s="27" t="s">
        <v>46</v>
      </c>
      <c r="M44" s="27" t="s">
        <v>181</v>
      </c>
      <c r="N44" s="27" t="s">
        <v>57</v>
      </c>
      <c r="O44" s="27" t="s">
        <v>105</v>
      </c>
      <c r="P44" s="27" t="s">
        <v>108</v>
      </c>
      <c r="Q44" s="27" t="s">
        <v>108</v>
      </c>
      <c r="R44" s="165" t="s">
        <v>112</v>
      </c>
      <c r="S44" s="288" t="s">
        <v>126</v>
      </c>
      <c r="W44" s="39"/>
      <c r="X44" s="39"/>
      <c r="AA44" s="40"/>
      <c r="AH44" s="680" t="s">
        <v>50</v>
      </c>
      <c r="AI44" s="680"/>
      <c r="AJ44" s="678" t="s">
        <v>355</v>
      </c>
      <c r="AK44" s="678"/>
    </row>
    <row r="45" spans="1:40">
      <c r="A45" s="44"/>
      <c r="B45" s="27" t="s">
        <v>52</v>
      </c>
      <c r="C45" s="27" t="s">
        <v>53</v>
      </c>
      <c r="D45" s="27" t="s">
        <v>53</v>
      </c>
      <c r="E45" s="27" t="s">
        <v>131</v>
      </c>
      <c r="F45" s="27" t="s">
        <v>131</v>
      </c>
      <c r="G45" s="27" t="s">
        <v>61</v>
      </c>
      <c r="H45" s="27" t="s">
        <v>55</v>
      </c>
      <c r="I45" s="27" t="s">
        <v>24</v>
      </c>
      <c r="J45" s="27" t="s">
        <v>24</v>
      </c>
      <c r="K45" s="27" t="s">
        <v>167</v>
      </c>
      <c r="L45" s="27" t="s">
        <v>54</v>
      </c>
      <c r="M45" s="27" t="s">
        <v>24</v>
      </c>
      <c r="N45" s="27" t="s">
        <v>62</v>
      </c>
      <c r="O45" s="27" t="s">
        <v>107</v>
      </c>
      <c r="P45" s="27" t="s">
        <v>109</v>
      </c>
      <c r="Q45" s="27" t="s">
        <v>110</v>
      </c>
      <c r="R45" s="165" t="s">
        <v>24</v>
      </c>
      <c r="S45" s="289" t="s">
        <v>158</v>
      </c>
      <c r="U45" s="46" t="s">
        <v>188</v>
      </c>
      <c r="V45" s="46" t="s">
        <v>189</v>
      </c>
      <c r="W45" s="46" t="s">
        <v>190</v>
      </c>
      <c r="X45" s="407" t="s">
        <v>191</v>
      </c>
      <c r="Y45" s="46" t="s">
        <v>192</v>
      </c>
      <c r="Z45" s="46" t="s">
        <v>193</v>
      </c>
      <c r="AA45" s="46" t="s">
        <v>194</v>
      </c>
      <c r="AB45" s="46" t="s">
        <v>195</v>
      </c>
      <c r="AC45" s="379" t="s">
        <v>217</v>
      </c>
      <c r="AD45" s="379" t="s">
        <v>218</v>
      </c>
      <c r="AE45" s="678" t="s">
        <v>334</v>
      </c>
      <c r="AF45" s="678" t="s">
        <v>350</v>
      </c>
      <c r="AG45" s="678" t="s">
        <v>351</v>
      </c>
      <c r="AH45" s="678" t="s">
        <v>346</v>
      </c>
      <c r="AI45" s="678" t="s">
        <v>347</v>
      </c>
      <c r="AJ45" s="678" t="s">
        <v>346</v>
      </c>
      <c r="AK45" s="678" t="s">
        <v>347</v>
      </c>
    </row>
    <row r="46" spans="1:40">
      <c r="A46" s="44" t="s">
        <v>6</v>
      </c>
      <c r="B46" s="358">
        <f t="shared" ref="B46:B51" si="23">C46+D46</f>
        <v>83395.999999999985</v>
      </c>
      <c r="C46" s="358">
        <f>HLOOKUP($A46,'2014 Budget'!$D$6:$P$111,26,0)</f>
        <v>82910.799999999988</v>
      </c>
      <c r="D46" s="358">
        <f>HLOOKUP($A46,'2014 Budget'!$D$6:$P$111,11,0)</f>
        <v>485.20000000000005</v>
      </c>
      <c r="E46" s="358">
        <f>HLOOKUP($A46,'2014 Budget'!$D$6:$P$111,77,0)</f>
        <v>485.20000000000005</v>
      </c>
      <c r="F46" s="358">
        <f t="shared" ref="F46:F51" si="24">J46</f>
        <v>26655.3</v>
      </c>
      <c r="G46" s="358">
        <f>HLOOKUP($A46,'2014 Budget'!$D$6:$P$111,8,0)</f>
        <v>3329005.5</v>
      </c>
      <c r="H46" s="64">
        <f t="shared" ref="H46:H51" si="25">(I46/C46)</f>
        <v>28.174814378826404</v>
      </c>
      <c r="I46" s="358">
        <f>HLOOKUP($A46,'2014 Budget'!$D$6:$P$111,28,0)</f>
        <v>2335996.4</v>
      </c>
      <c r="J46" s="358">
        <f>HLOOKUP($A46,'2014 Budget'!$D$6:$P$111,13,0)</f>
        <v>26655.3</v>
      </c>
      <c r="K46" s="358">
        <f>HLOOKUP($A46,'2014 Budget'!$D$6:$P$111,21,0)</f>
        <v>126096.90000000001</v>
      </c>
      <c r="L46" s="358">
        <f>HLOOKUP($A46,'2014 Budget'!$D$6:$P$111,17,0)</f>
        <v>0</v>
      </c>
      <c r="M46" s="358">
        <f>HLOOKUP($A46,'2014 Budget'!$D$6:$P$111,23,0)</f>
        <v>258016.24049999999</v>
      </c>
      <c r="N46" s="65">
        <f t="shared" ref="N46:N51" si="26">G46-I46-J46-K46-L46-M46</f>
        <v>582240.65950000007</v>
      </c>
      <c r="O46" s="63">
        <v>0</v>
      </c>
      <c r="P46" s="46">
        <f t="shared" ref="P46:P52" si="27">V6-AA6</f>
        <v>251</v>
      </c>
      <c r="Q46" s="163">
        <f t="shared" ref="Q46:Q57" si="28">Y6-Z6</f>
        <v>20195.242666000966</v>
      </c>
      <c r="R46" s="165">
        <f t="shared" ref="R46:R51" si="29">M6</f>
        <v>0</v>
      </c>
      <c r="S46" s="287">
        <f>HLOOKUP($A46,'2014 Budget'!$D$6:$P$111,6,0)</f>
        <v>3329005.5</v>
      </c>
      <c r="U46" s="367">
        <v>1176</v>
      </c>
      <c r="V46" s="367">
        <v>0</v>
      </c>
      <c r="W46" s="367">
        <v>1146</v>
      </c>
      <c r="X46" s="367">
        <v>0</v>
      </c>
      <c r="Y46" s="367">
        <v>1013</v>
      </c>
      <c r="Z46" s="367">
        <v>0</v>
      </c>
      <c r="AA46" s="367">
        <v>962</v>
      </c>
      <c r="AB46" s="367">
        <v>0</v>
      </c>
      <c r="AC46" s="377"/>
      <c r="AD46" s="681"/>
      <c r="AE46" s="681">
        <v>1</v>
      </c>
      <c r="AF46" s="621">
        <f>DAY(EOMONTH(DATE(YEAR('Input Data'!$A$4),AE46,1),0))</f>
        <v>31</v>
      </c>
      <c r="AG46" s="684" t="s">
        <v>352</v>
      </c>
      <c r="AH46" s="367">
        <v>27</v>
      </c>
      <c r="AI46" s="367">
        <v>27.6</v>
      </c>
      <c r="AJ46" s="618">
        <f>AH46*$AF46</f>
        <v>837</v>
      </c>
      <c r="AK46" s="618">
        <f>AI46*$AF46</f>
        <v>855.6</v>
      </c>
      <c r="AM46" s="618"/>
      <c r="AN46" s="618"/>
    </row>
    <row r="47" spans="1:40">
      <c r="A47" s="44" t="s">
        <v>7</v>
      </c>
      <c r="B47" s="648">
        <f t="shared" si="23"/>
        <v>23253.1</v>
      </c>
      <c r="C47" s="648">
        <f>HLOOKUP($A47,'2014 Budget'!$D$6:$P$111,26,0)</f>
        <v>23253.1</v>
      </c>
      <c r="D47" s="648">
        <f>HLOOKUP($A47,'2014 Budget'!$D$6:$P$111,11,0)</f>
        <v>0</v>
      </c>
      <c r="E47" s="648">
        <f>HLOOKUP($A47,'2014 Budget'!$D$6:$P$111,77,0)</f>
        <v>0</v>
      </c>
      <c r="F47" s="648">
        <f t="shared" si="24"/>
        <v>0</v>
      </c>
      <c r="G47" s="648">
        <f>HLOOKUP($A47,'2014 Budget'!$D$6:$P$111,8,0)</f>
        <v>904067.9</v>
      </c>
      <c r="H47" s="64">
        <f t="shared" si="25"/>
        <v>29.346345218487006</v>
      </c>
      <c r="I47" s="648">
        <f>HLOOKUP($A47,'2014 Budget'!$D$6:$P$111,28,0)</f>
        <v>682393.50000000012</v>
      </c>
      <c r="J47" s="648">
        <f>HLOOKUP($A47,'2014 Budget'!$D$6:$P$111,13,0)</f>
        <v>0</v>
      </c>
      <c r="K47" s="648">
        <f>HLOOKUP($A47,'2014 Budget'!$D$6:$P$111,21,0)</f>
        <v>27597</v>
      </c>
      <c r="L47" s="648">
        <f>HLOOKUP($A47,'2014 Budget'!$D$6:$P$111,17,0)</f>
        <v>0</v>
      </c>
      <c r="M47" s="648">
        <f>HLOOKUP($A47,'2014 Budget'!$D$6:$P$111,23,0)</f>
        <v>62306.246500000001</v>
      </c>
      <c r="N47" s="65">
        <f t="shared" si="26"/>
        <v>131771.1534999999</v>
      </c>
      <c r="O47" s="63">
        <v>0</v>
      </c>
      <c r="P47" s="46">
        <f t="shared" ref="P47:P48" si="30">V7-AA7</f>
        <v>93</v>
      </c>
      <c r="Q47" s="163">
        <f t="shared" ref="Q47:Q48" si="31">Y7-Z7</f>
        <v>29112</v>
      </c>
      <c r="R47" s="165">
        <f t="shared" ref="R47:R48" si="32">M7</f>
        <v>0</v>
      </c>
      <c r="S47" s="287">
        <f>HLOOKUP($A47,'2014 Budget'!$D$6:$P$111,6,0)</f>
        <v>904067.9</v>
      </c>
      <c r="U47" s="367">
        <v>909</v>
      </c>
      <c r="V47" s="367">
        <v>0</v>
      </c>
      <c r="W47" s="367">
        <v>916</v>
      </c>
      <c r="X47" s="367">
        <v>0</v>
      </c>
      <c r="Y47" s="367">
        <v>803</v>
      </c>
      <c r="Z47" s="367">
        <v>0</v>
      </c>
      <c r="AA47" s="367">
        <v>756</v>
      </c>
      <c r="AB47" s="367">
        <v>0</v>
      </c>
      <c r="AE47" s="684">
        <v>2</v>
      </c>
      <c r="AF47" s="621">
        <f>DAY(EOMONTH(DATE(YEAR('Input Data'!$A$4),AE47,1),0))</f>
        <v>28</v>
      </c>
      <c r="AG47" s="684" t="s">
        <v>352</v>
      </c>
      <c r="AH47" s="367">
        <v>29</v>
      </c>
      <c r="AI47" s="367">
        <v>30</v>
      </c>
      <c r="AJ47" s="618">
        <f t="shared" ref="AJ47:AJ57" si="33">AH47*$AF47</f>
        <v>812</v>
      </c>
      <c r="AK47" s="618">
        <f t="shared" ref="AK47:AK57" si="34">AI47*$AF47</f>
        <v>840</v>
      </c>
      <c r="AM47" s="618"/>
      <c r="AN47" s="618"/>
    </row>
    <row r="48" spans="1:40">
      <c r="A48" s="44" t="s">
        <v>8</v>
      </c>
      <c r="B48" s="658">
        <f t="shared" si="23"/>
        <v>1387.3999999999999</v>
      </c>
      <c r="C48" s="658">
        <f>HLOOKUP($A48,'2014 Budget'!$D$6:$P$111,26,0)</f>
        <v>1387.3999999999999</v>
      </c>
      <c r="D48" s="658">
        <f>HLOOKUP($A48,'2014 Budget'!$D$6:$P$111,11,0)</f>
        <v>0</v>
      </c>
      <c r="E48" s="658">
        <f>HLOOKUP($A48,'2014 Budget'!$D$6:$P$111,77,0)</f>
        <v>0</v>
      </c>
      <c r="F48" s="658">
        <f t="shared" si="24"/>
        <v>0</v>
      </c>
      <c r="G48" s="658">
        <f>HLOOKUP($A48,'2014 Budget'!$D$6:$P$111,8,0)</f>
        <v>58401.799999999996</v>
      </c>
      <c r="H48" s="64">
        <f t="shared" si="25"/>
        <v>32.664192013838843</v>
      </c>
      <c r="I48" s="658">
        <f>HLOOKUP($A48,'2014 Budget'!$D$6:$P$111,28,0)</f>
        <v>45318.3</v>
      </c>
      <c r="J48" s="658">
        <f>HLOOKUP($A48,'2014 Budget'!$D$6:$P$111,13,0)</f>
        <v>0</v>
      </c>
      <c r="K48" s="658">
        <f>HLOOKUP($A48,'2014 Budget'!$D$6:$P$111,21,0)</f>
        <v>1623.8</v>
      </c>
      <c r="L48" s="658">
        <f>HLOOKUP($A48,'2014 Budget'!$D$6:$P$111,17,0)</f>
        <v>0</v>
      </c>
      <c r="M48" s="658">
        <f>HLOOKUP($A48,'2014 Budget'!$D$6:$P$111,23,0)</f>
        <v>4374.4549999999999</v>
      </c>
      <c r="N48" s="65">
        <f t="shared" si="26"/>
        <v>7085.2449999999935</v>
      </c>
      <c r="O48" s="63">
        <v>0</v>
      </c>
      <c r="P48" s="46">
        <f t="shared" si="30"/>
        <v>115</v>
      </c>
      <c r="Q48" s="163">
        <f t="shared" si="31"/>
        <v>-21946.000000000931</v>
      </c>
      <c r="R48" s="165">
        <f t="shared" si="32"/>
        <v>0</v>
      </c>
      <c r="S48" s="287">
        <f>HLOOKUP($A48,'2014 Budget'!$D$6:$P$111,6,0)</f>
        <v>58401.799999999996</v>
      </c>
      <c r="U48" s="374">
        <v>716</v>
      </c>
      <c r="V48" s="374">
        <v>0</v>
      </c>
      <c r="W48" s="374">
        <v>678</v>
      </c>
      <c r="X48" s="374">
        <v>0</v>
      </c>
      <c r="Y48" s="367">
        <v>611</v>
      </c>
      <c r="Z48" s="367">
        <v>4</v>
      </c>
      <c r="AA48" s="367">
        <v>558</v>
      </c>
      <c r="AB48" s="367">
        <v>8</v>
      </c>
      <c r="AE48" s="684">
        <v>3</v>
      </c>
      <c r="AF48" s="621">
        <f>DAY(EOMONTH(DATE(YEAR('Input Data'!$A$4),AE48,1),0))</f>
        <v>31</v>
      </c>
      <c r="AG48" s="684" t="s">
        <v>352</v>
      </c>
      <c r="AH48" s="367">
        <v>42</v>
      </c>
      <c r="AI48" s="367">
        <v>43</v>
      </c>
      <c r="AJ48" s="618">
        <f t="shared" si="33"/>
        <v>1302</v>
      </c>
      <c r="AK48" s="618">
        <f t="shared" si="34"/>
        <v>1333</v>
      </c>
      <c r="AM48" s="618"/>
      <c r="AN48" s="618"/>
    </row>
    <row r="49" spans="1:40">
      <c r="A49" s="44" t="s">
        <v>9</v>
      </c>
      <c r="B49" s="663">
        <f t="shared" si="23"/>
        <v>0</v>
      </c>
      <c r="C49" s="663">
        <f>HLOOKUP($A49,'2014 Budget'!$D$6:$P$111,26,0)</f>
        <v>0</v>
      </c>
      <c r="D49" s="663">
        <f>HLOOKUP($A49,'2014 Budget'!$D$6:$P$111,11,0)</f>
        <v>0</v>
      </c>
      <c r="E49" s="663">
        <f>HLOOKUP($A49,'2014 Budget'!$D$6:$P$111,77,0)</f>
        <v>0</v>
      </c>
      <c r="F49" s="663">
        <f t="shared" si="24"/>
        <v>0</v>
      </c>
      <c r="G49" s="663">
        <f>HLOOKUP($A49,'2014 Budget'!$D$6:$P$111,8,0)</f>
        <v>0</v>
      </c>
      <c r="H49" s="64" t="e">
        <f t="shared" si="25"/>
        <v>#DIV/0!</v>
      </c>
      <c r="I49" s="663">
        <f>HLOOKUP($A49,'2014 Budget'!$D$6:$P$111,28,0)</f>
        <v>0</v>
      </c>
      <c r="J49" s="663">
        <f>HLOOKUP($A49,'2014 Budget'!$D$6:$P$111,13,0)</f>
        <v>0</v>
      </c>
      <c r="K49" s="663">
        <f>HLOOKUP($A49,'2014 Budget'!$D$6:$P$111,21,0)</f>
        <v>0</v>
      </c>
      <c r="L49" s="663">
        <f>HLOOKUP($A49,'2014 Budget'!$D$6:$P$111,17,0)</f>
        <v>0</v>
      </c>
      <c r="M49" s="663">
        <f>HLOOKUP($A49,'2014 Budget'!$D$6:$P$111,23,0)</f>
        <v>0</v>
      </c>
      <c r="N49" s="65">
        <f t="shared" si="26"/>
        <v>0</v>
      </c>
      <c r="O49" s="63">
        <v>0</v>
      </c>
      <c r="P49" s="46">
        <f t="shared" si="27"/>
        <v>36</v>
      </c>
      <c r="Q49" s="163">
        <f t="shared" si="28"/>
        <v>2493</v>
      </c>
      <c r="R49" s="165">
        <f t="shared" si="29"/>
        <v>0</v>
      </c>
      <c r="S49" s="287">
        <f>HLOOKUP($A49,'2014 Budget'!$D$6:$P$111,6,0)</f>
        <v>0</v>
      </c>
      <c r="U49" s="367">
        <v>206</v>
      </c>
      <c r="V49" s="367">
        <v>15</v>
      </c>
      <c r="W49" s="367">
        <v>155</v>
      </c>
      <c r="X49" s="367">
        <v>34</v>
      </c>
      <c r="Y49" s="367">
        <v>296</v>
      </c>
      <c r="Z49" s="367">
        <v>21</v>
      </c>
      <c r="AA49" s="367">
        <v>251</v>
      </c>
      <c r="AB49" s="367">
        <v>33</v>
      </c>
      <c r="AE49" s="610">
        <v>4</v>
      </c>
      <c r="AF49" s="621">
        <f>DAY(EOMONTH(DATE(YEAR('Input Data'!$A$4),AE49,1),0))</f>
        <v>30</v>
      </c>
      <c r="AG49" s="609" t="s">
        <v>352</v>
      </c>
      <c r="AH49" s="367">
        <v>59</v>
      </c>
      <c r="AI49" s="367">
        <v>61</v>
      </c>
      <c r="AJ49" s="618">
        <f t="shared" si="33"/>
        <v>1770</v>
      </c>
      <c r="AK49" s="618">
        <f t="shared" si="34"/>
        <v>1830</v>
      </c>
      <c r="AM49" s="618"/>
      <c r="AN49" s="618"/>
    </row>
    <row r="50" spans="1:40">
      <c r="A50" s="44" t="s">
        <v>10</v>
      </c>
      <c r="B50" s="664">
        <f t="shared" si="23"/>
        <v>65482.500000000015</v>
      </c>
      <c r="C50" s="664">
        <f>HLOOKUP($A50,'2014 Budget'!$D$6:$P$111,26,0)</f>
        <v>65482.500000000015</v>
      </c>
      <c r="D50" s="664">
        <f>HLOOKUP($A50,'2014 Budget'!$D$6:$P$111,11,0)</f>
        <v>0</v>
      </c>
      <c r="E50" s="664">
        <f>HLOOKUP($A50,'2014 Budget'!$D$6:$P$111,77,0)</f>
        <v>0</v>
      </c>
      <c r="F50" s="664">
        <f t="shared" si="24"/>
        <v>0</v>
      </c>
      <c r="G50" s="664">
        <f>HLOOKUP($A50,'2014 Budget'!$D$6:$P$111,8,0)</f>
        <v>2927675.4</v>
      </c>
      <c r="H50" s="64">
        <f t="shared" si="25"/>
        <v>28.774032756843425</v>
      </c>
      <c r="I50" s="664">
        <f>HLOOKUP($A50,'2014 Budget'!$D$6:$P$111,28,0)</f>
        <v>1884195.6</v>
      </c>
      <c r="J50" s="664">
        <f>HLOOKUP($A50,'2014 Budget'!$D$6:$P$111,13,0)</f>
        <v>0</v>
      </c>
      <c r="K50" s="664">
        <f>HLOOKUP($A50,'2014 Budget'!$D$6:$P$111,21,0)</f>
        <v>118634.1</v>
      </c>
      <c r="L50" s="664">
        <f>HLOOKUP($A50,'2014 Budget'!$D$6:$P$111,17,0)</f>
        <v>0</v>
      </c>
      <c r="M50" s="664">
        <f>HLOOKUP($A50,'2014 Budget'!$D$6:$P$111,23,0)</f>
        <v>213932.35249999998</v>
      </c>
      <c r="N50" s="65">
        <f t="shared" si="26"/>
        <v>710913.34749999992</v>
      </c>
      <c r="O50" s="63">
        <v>0</v>
      </c>
      <c r="P50" s="46">
        <f>V10-AA10</f>
        <v>67</v>
      </c>
      <c r="Q50" s="163">
        <f t="shared" si="28"/>
        <v>2937</v>
      </c>
      <c r="R50" s="165">
        <f t="shared" si="29"/>
        <v>0</v>
      </c>
      <c r="S50" s="287">
        <f>HLOOKUP($A50,'2014 Budget'!$D$6:$P$111,6,0)</f>
        <v>2927675.4</v>
      </c>
      <c r="U50" s="367">
        <v>90</v>
      </c>
      <c r="V50" s="367">
        <v>146</v>
      </c>
      <c r="W50" s="367">
        <v>65</v>
      </c>
      <c r="X50" s="367">
        <v>221</v>
      </c>
      <c r="Y50" s="367">
        <v>111</v>
      </c>
      <c r="Z50" s="367">
        <v>86</v>
      </c>
      <c r="AA50" s="367">
        <v>81</v>
      </c>
      <c r="AB50" s="367">
        <v>115</v>
      </c>
      <c r="AE50" s="609">
        <v>5</v>
      </c>
      <c r="AF50" s="621">
        <f>DAY(EOMONTH(DATE(YEAR('Input Data'!$A$4),AE50,1),0))</f>
        <v>31</v>
      </c>
      <c r="AG50" s="609" t="s">
        <v>353</v>
      </c>
      <c r="AH50" s="367">
        <v>67</v>
      </c>
      <c r="AI50" s="367">
        <v>70</v>
      </c>
      <c r="AJ50" s="618">
        <f t="shared" si="33"/>
        <v>2077</v>
      </c>
      <c r="AK50" s="618">
        <f t="shared" si="34"/>
        <v>2170</v>
      </c>
      <c r="AM50" s="618"/>
      <c r="AN50" s="618"/>
    </row>
    <row r="51" spans="1:40">
      <c r="A51" s="44" t="s">
        <v>11</v>
      </c>
      <c r="B51" s="676">
        <f t="shared" si="23"/>
        <v>21972.3</v>
      </c>
      <c r="C51" s="676">
        <f>HLOOKUP($A51,'2014 Budget'!$D$6:$P$111,26,0)</f>
        <v>21972.3</v>
      </c>
      <c r="D51" s="676">
        <f>HLOOKUP($A51,'2014 Budget'!$D$6:$P$111,11,0)</f>
        <v>0</v>
      </c>
      <c r="E51" s="676">
        <f>HLOOKUP($A51,'2014 Budget'!$D$6:$P$111,77,0)</f>
        <v>0</v>
      </c>
      <c r="F51" s="676">
        <f t="shared" si="24"/>
        <v>0</v>
      </c>
      <c r="G51" s="676">
        <f>HLOOKUP($A51,'2014 Budget'!$D$6:$P$111,8,0)</f>
        <v>909595.1</v>
      </c>
      <c r="H51" s="64">
        <f t="shared" si="25"/>
        <v>29.24258270640761</v>
      </c>
      <c r="I51" s="676">
        <f>HLOOKUP($A51,'2014 Budget'!$D$6:$P$111,28,0)</f>
        <v>642526.79999999993</v>
      </c>
      <c r="J51" s="676">
        <f>HLOOKUP($A51,'2014 Budget'!$D$6:$P$111,13,0)</f>
        <v>0</v>
      </c>
      <c r="K51" s="676">
        <f>HLOOKUP($A51,'2014 Budget'!$D$6:$P$111,21,0)</f>
        <v>40817</v>
      </c>
      <c r="L51" s="676">
        <f>HLOOKUP($A51,'2014 Budget'!$D$6:$P$111,17,0)</f>
        <v>0</v>
      </c>
      <c r="M51" s="676">
        <f>HLOOKUP($A51,'2014 Budget'!$D$6:$P$111,23,0)</f>
        <v>59413.641499999998</v>
      </c>
      <c r="N51" s="65">
        <f t="shared" si="26"/>
        <v>166837.65850000005</v>
      </c>
      <c r="O51" s="63">
        <v>0</v>
      </c>
      <c r="P51" s="46">
        <f t="shared" ref="P51" si="35">V11-AA11</f>
        <v>381</v>
      </c>
      <c r="Q51" s="163">
        <f t="shared" si="28"/>
        <v>7940.9999999995343</v>
      </c>
      <c r="R51" s="165">
        <f t="shared" si="29"/>
        <v>0</v>
      </c>
      <c r="S51" s="287">
        <f>HLOOKUP($A51,'2014 Budget'!$D$6:$P$111,6,0)</f>
        <v>909595.1</v>
      </c>
      <c r="U51" s="367">
        <v>0</v>
      </c>
      <c r="V51" s="367">
        <v>305</v>
      </c>
      <c r="W51" s="367">
        <v>0</v>
      </c>
      <c r="X51" s="367">
        <v>384</v>
      </c>
      <c r="Y51" s="367">
        <v>11</v>
      </c>
      <c r="Z51" s="367">
        <v>239</v>
      </c>
      <c r="AA51" s="367">
        <v>6</v>
      </c>
      <c r="AB51" s="367">
        <v>307</v>
      </c>
      <c r="AE51" s="609">
        <v>6</v>
      </c>
      <c r="AF51" s="621">
        <f>DAY(EOMONTH(DATE(YEAR('Input Data'!$A$4),AE51,1),0))</f>
        <v>30</v>
      </c>
      <c r="AG51" s="609" t="s">
        <v>353</v>
      </c>
      <c r="AH51" s="367">
        <v>75</v>
      </c>
      <c r="AI51" s="367">
        <v>77</v>
      </c>
      <c r="AJ51" s="618">
        <f t="shared" si="33"/>
        <v>2250</v>
      </c>
      <c r="AK51" s="618">
        <f t="shared" si="34"/>
        <v>2310</v>
      </c>
      <c r="AM51" s="618"/>
      <c r="AN51" s="618"/>
    </row>
    <row r="52" spans="1:40">
      <c r="A52" s="44" t="s">
        <v>12</v>
      </c>
      <c r="B52" s="543"/>
      <c r="C52" s="543"/>
      <c r="D52" s="543"/>
      <c r="E52" s="543"/>
      <c r="F52" s="543"/>
      <c r="G52" s="543"/>
      <c r="H52" s="64"/>
      <c r="I52" s="543"/>
      <c r="J52" s="543"/>
      <c r="K52" s="543"/>
      <c r="L52" s="543"/>
      <c r="M52" s="543"/>
      <c r="N52" s="65"/>
      <c r="O52" s="63">
        <v>0</v>
      </c>
      <c r="P52" s="46">
        <f t="shared" si="27"/>
        <v>0</v>
      </c>
      <c r="Q52" s="163">
        <f t="shared" si="28"/>
        <v>0</v>
      </c>
      <c r="R52" s="165">
        <f t="shared" ref="R52:R57" si="36">M12</f>
        <v>0</v>
      </c>
      <c r="S52" s="287"/>
      <c r="U52" s="367"/>
      <c r="V52" s="367"/>
      <c r="W52" s="367"/>
      <c r="X52" s="367"/>
      <c r="Y52" s="367"/>
      <c r="Z52" s="367"/>
      <c r="AA52" s="367"/>
      <c r="AB52" s="367"/>
      <c r="AE52" s="610">
        <v>7</v>
      </c>
      <c r="AF52" s="621">
        <f>DAY(EOMONTH(DATE(YEAR('Input Data'!$A$4),AE52,1),0))</f>
        <v>31</v>
      </c>
      <c r="AG52" s="609" t="s">
        <v>353</v>
      </c>
      <c r="AH52" s="367"/>
      <c r="AI52" s="367"/>
      <c r="AJ52" s="618">
        <f t="shared" si="33"/>
        <v>0</v>
      </c>
      <c r="AK52" s="618">
        <f t="shared" si="34"/>
        <v>0</v>
      </c>
      <c r="AM52" s="618"/>
      <c r="AN52" s="618"/>
    </row>
    <row r="53" spans="1:40">
      <c r="A53" s="44" t="s">
        <v>13</v>
      </c>
      <c r="B53" s="551"/>
      <c r="C53" s="551"/>
      <c r="D53" s="551"/>
      <c r="E53" s="551"/>
      <c r="F53" s="551"/>
      <c r="G53" s="551"/>
      <c r="H53" s="64"/>
      <c r="I53" s="551"/>
      <c r="J53" s="551"/>
      <c r="K53" s="551"/>
      <c r="L53" s="551"/>
      <c r="M53" s="551"/>
      <c r="N53" s="65"/>
      <c r="O53" s="63">
        <v>0</v>
      </c>
      <c r="P53" s="46">
        <f>V13-AA13</f>
        <v>0</v>
      </c>
      <c r="Q53" s="163">
        <f t="shared" si="28"/>
        <v>0</v>
      </c>
      <c r="R53" s="165">
        <f t="shared" si="36"/>
        <v>0</v>
      </c>
      <c r="S53" s="287"/>
      <c r="U53" s="367"/>
      <c r="V53" s="367"/>
      <c r="W53" s="367"/>
      <c r="X53" s="367"/>
      <c r="Y53" s="367"/>
      <c r="Z53" s="367"/>
      <c r="AA53" s="367"/>
      <c r="AB53" s="367"/>
      <c r="AE53" s="609">
        <v>8</v>
      </c>
      <c r="AF53" s="621">
        <f>DAY(EOMONTH(DATE(YEAR('Input Data'!$A$4),AE53,1),0))</f>
        <v>31</v>
      </c>
      <c r="AG53" s="609" t="s">
        <v>353</v>
      </c>
      <c r="AH53" s="367"/>
      <c r="AI53" s="367"/>
      <c r="AJ53" s="618">
        <f t="shared" si="33"/>
        <v>0</v>
      </c>
      <c r="AK53" s="618">
        <f t="shared" si="34"/>
        <v>0</v>
      </c>
      <c r="AM53" s="618"/>
      <c r="AN53" s="618"/>
    </row>
    <row r="54" spans="1:40">
      <c r="A54" s="44" t="s">
        <v>14</v>
      </c>
      <c r="B54" s="554"/>
      <c r="C54" s="554"/>
      <c r="D54" s="554"/>
      <c r="E54" s="554"/>
      <c r="F54" s="554"/>
      <c r="G54" s="554"/>
      <c r="H54" s="64"/>
      <c r="I54" s="554"/>
      <c r="J54" s="554"/>
      <c r="K54" s="554"/>
      <c r="L54" s="554"/>
      <c r="M54" s="554"/>
      <c r="N54" s="65"/>
      <c r="O54" s="63">
        <v>0</v>
      </c>
      <c r="P54" s="46">
        <f>V14-AA14</f>
        <v>0</v>
      </c>
      <c r="Q54" s="163">
        <f t="shared" si="28"/>
        <v>0</v>
      </c>
      <c r="R54" s="165">
        <f>M14</f>
        <v>0</v>
      </c>
      <c r="S54" s="287"/>
      <c r="U54" s="367"/>
      <c r="V54" s="367"/>
      <c r="W54" s="367"/>
      <c r="X54" s="367"/>
      <c r="Y54" s="367"/>
      <c r="Z54" s="367"/>
      <c r="AA54" s="367"/>
      <c r="AB54" s="367"/>
      <c r="AE54" s="609">
        <v>9</v>
      </c>
      <c r="AF54" s="621">
        <f>DAY(EOMONTH(DATE(YEAR('Input Data'!$A$4),AE54,1),0))</f>
        <v>30</v>
      </c>
      <c r="AG54" s="609" t="s">
        <v>353</v>
      </c>
      <c r="AH54" s="367"/>
      <c r="AI54" s="367"/>
      <c r="AJ54" s="618">
        <f t="shared" si="33"/>
        <v>0</v>
      </c>
      <c r="AK54" s="618">
        <f t="shared" si="34"/>
        <v>0</v>
      </c>
      <c r="AM54" s="618"/>
      <c r="AN54" s="618"/>
    </row>
    <row r="55" spans="1:40">
      <c r="A55" s="44" t="s">
        <v>15</v>
      </c>
      <c r="B55" s="563"/>
      <c r="C55" s="563"/>
      <c r="D55" s="563"/>
      <c r="E55" s="563"/>
      <c r="F55" s="563"/>
      <c r="G55" s="563"/>
      <c r="H55" s="64"/>
      <c r="I55" s="563"/>
      <c r="J55" s="563"/>
      <c r="K55" s="563"/>
      <c r="L55" s="563"/>
      <c r="M55" s="563"/>
      <c r="N55" s="65"/>
      <c r="O55" s="63">
        <v>0</v>
      </c>
      <c r="P55" s="46">
        <f>V15-AA15</f>
        <v>0</v>
      </c>
      <c r="Q55" s="163">
        <f t="shared" si="28"/>
        <v>0</v>
      </c>
      <c r="R55" s="165">
        <f t="shared" si="36"/>
        <v>0</v>
      </c>
      <c r="S55" s="287"/>
      <c r="U55" s="367"/>
      <c r="V55" s="367"/>
      <c r="W55" s="367"/>
      <c r="X55" s="367"/>
      <c r="Y55" s="367"/>
      <c r="Z55" s="367"/>
      <c r="AA55" s="367"/>
      <c r="AB55" s="367"/>
      <c r="AE55" s="610">
        <v>10</v>
      </c>
      <c r="AF55" s="621">
        <f>DAY(EOMONTH(DATE(YEAR('Input Data'!$A$4),AE55,1),0))</f>
        <v>31</v>
      </c>
      <c r="AG55" s="609" t="s">
        <v>353</v>
      </c>
      <c r="AH55" s="367"/>
      <c r="AI55" s="367"/>
      <c r="AJ55" s="618">
        <f t="shared" si="33"/>
        <v>0</v>
      </c>
      <c r="AK55" s="618">
        <f t="shared" si="34"/>
        <v>0</v>
      </c>
      <c r="AM55" s="618"/>
      <c r="AN55" s="618"/>
    </row>
    <row r="56" spans="1:40">
      <c r="A56" s="44" t="s">
        <v>16</v>
      </c>
      <c r="B56" s="370"/>
      <c r="C56" s="370"/>
      <c r="D56" s="370"/>
      <c r="E56" s="370"/>
      <c r="F56" s="370"/>
      <c r="G56" s="370"/>
      <c r="H56" s="64"/>
      <c r="I56" s="370"/>
      <c r="J56" s="370"/>
      <c r="K56" s="370"/>
      <c r="L56" s="370"/>
      <c r="M56" s="370"/>
      <c r="N56" s="65"/>
      <c r="O56" s="63">
        <v>0</v>
      </c>
      <c r="P56" s="46">
        <f>V16-AA16</f>
        <v>0</v>
      </c>
      <c r="Q56" s="163">
        <f t="shared" si="28"/>
        <v>0</v>
      </c>
      <c r="R56" s="165">
        <f>M16</f>
        <v>0</v>
      </c>
      <c r="S56" s="287"/>
      <c r="U56" s="367"/>
      <c r="V56" s="367"/>
      <c r="W56" s="367"/>
      <c r="X56" s="367"/>
      <c r="Y56" s="367"/>
      <c r="Z56" s="367"/>
      <c r="AA56" s="367"/>
      <c r="AB56" s="367"/>
      <c r="AE56" s="609">
        <v>11</v>
      </c>
      <c r="AF56" s="621">
        <f>DAY(EOMONTH(DATE(YEAR('Input Data'!$A$4),AE56,1),0))</f>
        <v>30</v>
      </c>
      <c r="AG56" s="609" t="s">
        <v>352</v>
      </c>
      <c r="AH56" s="367"/>
      <c r="AI56" s="367"/>
      <c r="AJ56" s="618">
        <f t="shared" si="33"/>
        <v>0</v>
      </c>
      <c r="AK56" s="618">
        <f t="shared" si="34"/>
        <v>0</v>
      </c>
      <c r="AM56" s="618"/>
      <c r="AN56" s="618"/>
    </row>
    <row r="57" spans="1:40">
      <c r="A57" s="44" t="s">
        <v>17</v>
      </c>
      <c r="B57" s="63"/>
      <c r="C57" s="63"/>
      <c r="D57" s="63"/>
      <c r="E57" s="63"/>
      <c r="F57" s="63"/>
      <c r="G57" s="63"/>
      <c r="H57" s="64"/>
      <c r="I57" s="63"/>
      <c r="J57" s="63"/>
      <c r="K57" s="63"/>
      <c r="L57" s="63"/>
      <c r="M57" s="63"/>
      <c r="N57" s="65"/>
      <c r="O57" s="63">
        <v>0</v>
      </c>
      <c r="P57" s="46">
        <f>V17-AA17</f>
        <v>0</v>
      </c>
      <c r="Q57" s="163">
        <f t="shared" si="28"/>
        <v>0</v>
      </c>
      <c r="R57" s="165">
        <f t="shared" si="36"/>
        <v>0</v>
      </c>
      <c r="S57" s="287"/>
      <c r="U57" s="367"/>
      <c r="V57" s="367"/>
      <c r="W57" s="367"/>
      <c r="X57" s="367"/>
      <c r="Y57" s="367"/>
      <c r="Z57" s="367"/>
      <c r="AA57" s="367"/>
      <c r="AB57" s="367"/>
      <c r="AE57" s="609">
        <v>12</v>
      </c>
      <c r="AF57" s="621">
        <f>DAY(EOMONTH(DATE(YEAR('Input Data'!$A$4),AE57,1),0))</f>
        <v>31</v>
      </c>
      <c r="AG57" s="609" t="s">
        <v>352</v>
      </c>
      <c r="AH57" s="367"/>
      <c r="AI57" s="367"/>
      <c r="AJ57" s="618">
        <f t="shared" si="33"/>
        <v>0</v>
      </c>
      <c r="AK57" s="618">
        <f t="shared" si="34"/>
        <v>0</v>
      </c>
      <c r="AM57" s="618"/>
      <c r="AN57" s="618"/>
    </row>
    <row r="58" spans="1:40">
      <c r="A58" s="44"/>
      <c r="B58" s="67"/>
      <c r="C58" s="68"/>
      <c r="D58" s="48"/>
      <c r="E58" s="48"/>
      <c r="F58" s="48"/>
      <c r="G58" s="69"/>
      <c r="H58" s="56"/>
      <c r="I58" s="69"/>
      <c r="J58" s="69"/>
      <c r="K58" s="69"/>
      <c r="L58" s="69"/>
      <c r="M58" s="69"/>
      <c r="N58" s="65"/>
      <c r="Q58" s="45"/>
      <c r="R58" s="165"/>
      <c r="W58" s="46"/>
      <c r="X58" s="46"/>
      <c r="Y58" s="46"/>
      <c r="Z58" s="46"/>
      <c r="AA58" s="46"/>
      <c r="AB58" s="46"/>
      <c r="AE58" s="609"/>
      <c r="AF58" s="609"/>
      <c r="AG58" s="609"/>
      <c r="AH58" s="609"/>
      <c r="AI58" s="609"/>
    </row>
    <row r="59" spans="1:40">
      <c r="A59" s="44" t="s">
        <v>18</v>
      </c>
      <c r="B59" s="72">
        <f t="shared" ref="B59:G59" si="37">SUM(B46:B57)</f>
        <v>195491.3</v>
      </c>
      <c r="C59" s="72">
        <f t="shared" si="37"/>
        <v>195006.09999999998</v>
      </c>
      <c r="D59" s="72">
        <f t="shared" si="37"/>
        <v>485.20000000000005</v>
      </c>
      <c r="E59" s="72">
        <f t="shared" si="37"/>
        <v>485.20000000000005</v>
      </c>
      <c r="F59" s="56">
        <f t="shared" si="37"/>
        <v>26655.3</v>
      </c>
      <c r="G59" s="56">
        <f t="shared" si="37"/>
        <v>8128745.6999999993</v>
      </c>
      <c r="H59" s="53">
        <f>I59/C59</f>
        <v>28.667978078634466</v>
      </c>
      <c r="I59" s="56">
        <f>SUM(I46:I57)</f>
        <v>5590430.5999999996</v>
      </c>
      <c r="J59" s="56">
        <f t="shared" ref="J59:AB59" si="38">SUM(J46:J57)</f>
        <v>26655.3</v>
      </c>
      <c r="K59" s="56">
        <f t="shared" si="38"/>
        <v>314768.80000000005</v>
      </c>
      <c r="L59" s="56">
        <f t="shared" si="38"/>
        <v>0</v>
      </c>
      <c r="M59" s="56">
        <f t="shared" si="38"/>
        <v>598042.93599999999</v>
      </c>
      <c r="N59" s="56">
        <f t="shared" si="38"/>
        <v>1598848.064</v>
      </c>
      <c r="O59" s="48">
        <f t="shared" si="38"/>
        <v>0</v>
      </c>
      <c r="P59" s="48">
        <f t="shared" si="38"/>
        <v>943</v>
      </c>
      <c r="Q59" s="56">
        <f t="shared" si="38"/>
        <v>40732.242665999569</v>
      </c>
      <c r="R59" s="56">
        <f t="shared" si="38"/>
        <v>0</v>
      </c>
      <c r="S59" s="236">
        <f t="shared" si="38"/>
        <v>8128745.6999999993</v>
      </c>
      <c r="U59" s="236">
        <f t="shared" si="38"/>
        <v>3097</v>
      </c>
      <c r="V59" s="236">
        <f t="shared" si="38"/>
        <v>466</v>
      </c>
      <c r="W59" s="236">
        <f t="shared" si="38"/>
        <v>2960</v>
      </c>
      <c r="X59" s="236">
        <f t="shared" si="38"/>
        <v>639</v>
      </c>
      <c r="Y59" s="236">
        <f t="shared" si="38"/>
        <v>2845</v>
      </c>
      <c r="Z59" s="236">
        <f t="shared" si="38"/>
        <v>350</v>
      </c>
      <c r="AA59" s="236">
        <f t="shared" si="38"/>
        <v>2614</v>
      </c>
      <c r="AB59" s="236">
        <f t="shared" si="38"/>
        <v>463</v>
      </c>
      <c r="AC59" s="380">
        <f>SUM(AC46:AC57)</f>
        <v>0</v>
      </c>
      <c r="AD59" s="380">
        <f>SUM(AD46:AD57)</f>
        <v>0</v>
      </c>
      <c r="AE59" s="380"/>
      <c r="AF59" s="621"/>
      <c r="AG59" s="609"/>
      <c r="AH59" s="609"/>
      <c r="AI59" s="609"/>
    </row>
    <row r="60" spans="1:40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P60" s="46"/>
      <c r="T60" s="39"/>
      <c r="U60" s="39"/>
      <c r="V60" s="39"/>
      <c r="Z60"/>
      <c r="AE60" s="396" t="s">
        <v>382</v>
      </c>
      <c r="AF60" s="621">
        <f>SUMIFS($AF$46:$AF$57,$AE$46:$AE$57,"&lt;"&amp;MONTH('Input Data'!$A$4),$AG$46:$AG$57,"H")</f>
        <v>120</v>
      </c>
      <c r="AH60" s="623">
        <f>SUMIFS($AJ$46:$AJ$57,$AG$46:$AG$57,"H",$AE$46:$AE$57,"&lt;"&amp;MONTH('Input Data'!$A$4))/SUMIF('Year to Date'!$AE$46:$AE$57,"&lt;"&amp;MONTH('Input Data'!$A$4),'Year to Date'!$AF$46:$AF$57)</f>
        <v>26.082872928176794</v>
      </c>
      <c r="AI60" s="623">
        <f>SUMIFS($AK$46:$AK$57,$AG$46:$AG$57,"H",$AE$46:$AE$57,"&lt;"&amp;MONTH('Input Data'!$A$4))/SUMIF('Year to Date'!$AE$46:$AE$57,"&lt;"&amp;MONTH('Input Data'!$A$4),'Year to Date'!$AF$46:$AF$57)</f>
        <v>26.843093922651935</v>
      </c>
      <c r="AJ60" s="618">
        <f>SUMIFS('Year to Date'!$AJ$46:$AJ$57,$AE$46:$AE$57,"&lt;"&amp;MONTH('Input Data'!$A$4),'Year to Date'!$AG$46:$AG$57,"H")</f>
        <v>4721</v>
      </c>
      <c r="AK60" s="618">
        <f>SUMIFS('Year to Date'!$AK$46:$AK$57,$AE$46:$AE$57,"&lt;"&amp;MONTH('Input Data'!$A$4),'Year to Date'!$AG$46:$AG$57,"H")</f>
        <v>4858.6000000000004</v>
      </c>
      <c r="AM60" s="619"/>
      <c r="AN60" s="619"/>
    </row>
    <row r="61" spans="1:40">
      <c r="L61" s="45"/>
      <c r="P61" s="46"/>
      <c r="U61" s="39"/>
      <c r="V61" s="39"/>
      <c r="W61" s="39"/>
      <c r="AE61" s="396" t="s">
        <v>383</v>
      </c>
      <c r="AF61" s="621">
        <f>SUMIFS($AF$46:$AF$57,$AE$46:$AE$57,"&lt;"&amp;MONTH('Input Data'!$A$4),$AG$46:$AG$57,"C")</f>
        <v>61</v>
      </c>
      <c r="AH61" s="623">
        <f>SUMIFS($AJ$46:$AJ$57,$AG$46:$AG$57,"C",$AE$46:$AE$57,"&lt;"&amp;MONTH('Input Data'!$A$4))/SUMIF('Year to Date'!$AE$46:$AE$57,"&lt;"&amp;MONTH('Input Data'!$A$4),'Year to Date'!$AF$46:$AF$57)</f>
        <v>23.906077348066297</v>
      </c>
      <c r="AI61" s="623">
        <f>SUMIFS($AK$46:$AK$57,$AG$46:$AG$57,"C",$AE$46:$AE$57,"&lt;"&amp;MONTH('Input Data'!$A$4))/SUMIF('Year to Date'!$AE$46:$AE$57,"&lt;"&amp;MONTH('Input Data'!$A$4),'Year to Date'!$AF$46:$AF$57)</f>
        <v>24.751381215469614</v>
      </c>
      <c r="AJ61" s="618">
        <f>SUMIFS('Year to Date'!$AJ$46:$AJ$57,$AE$46:$AE$57,"&lt;"&amp;MONTH('Input Data'!$A$4),'Year to Date'!$AG$46:$AG$57,"C")</f>
        <v>4327</v>
      </c>
      <c r="AK61" s="618">
        <f>SUMIFS('Year to Date'!$AK$46:$AK$57,$AE$46:$AE$57,"&lt;"&amp;MONTH('Input Data'!$A$4),'Year to Date'!$AG$46:$AG$57,"C")</f>
        <v>4480</v>
      </c>
    </row>
    <row r="62" spans="1:40" ht="15.75">
      <c r="A62" s="26"/>
      <c r="B62" s="4">
        <f>B20-B59</f>
        <v>113419.70000000001</v>
      </c>
      <c r="C62"/>
      <c r="D62" s="78"/>
      <c r="E62" s="55"/>
      <c r="F62" s="55"/>
      <c r="G62" s="55"/>
      <c r="H62" s="55"/>
      <c r="I62" s="75"/>
      <c r="J62" s="75"/>
      <c r="K62"/>
      <c r="L62"/>
      <c r="P62" s="46"/>
      <c r="U62" s="1"/>
      <c r="V62" s="1"/>
      <c r="W62" s="1"/>
      <c r="X62" s="28"/>
      <c r="Y62" s="28"/>
      <c r="Z62" s="77"/>
      <c r="AM62" s="622"/>
    </row>
    <row r="63" spans="1:40">
      <c r="L63" s="45"/>
      <c r="M63"/>
      <c r="N63"/>
      <c r="O63" s="152"/>
      <c r="P63" s="153"/>
      <c r="Q63" s="41"/>
      <c r="R63" s="41"/>
      <c r="S63" s="76"/>
      <c r="T63" s="39"/>
      <c r="U63" s="39"/>
      <c r="V63" s="39"/>
      <c r="Z63"/>
    </row>
    <row r="64" spans="1:40">
      <c r="L64" s="45"/>
      <c r="N64" s="408"/>
      <c r="O64" s="408"/>
      <c r="P64" s="46"/>
      <c r="T64" s="39"/>
      <c r="U64" s="39"/>
      <c r="V64" s="39"/>
      <c r="Z64"/>
    </row>
    <row r="65" spans="12:26">
      <c r="L65" s="45"/>
      <c r="P65" s="46"/>
      <c r="T65" s="39"/>
      <c r="U65" s="39"/>
      <c r="V65" s="39"/>
      <c r="Z65"/>
    </row>
    <row r="66" spans="12:26">
      <c r="L66" s="45"/>
      <c r="P66" s="46"/>
      <c r="T66" s="39"/>
      <c r="U66" s="39"/>
      <c r="V66" s="39"/>
      <c r="Z66"/>
    </row>
    <row r="67" spans="12:26">
      <c r="L67" s="45"/>
      <c r="P67" s="46"/>
      <c r="T67" s="39"/>
      <c r="U67" s="39"/>
      <c r="V67" s="39"/>
      <c r="Z67"/>
    </row>
    <row r="68" spans="12:26">
      <c r="L68" s="45"/>
      <c r="P68" s="46"/>
      <c r="T68" s="39"/>
      <c r="U68" s="39"/>
      <c r="V68" s="39"/>
      <c r="Z68"/>
    </row>
    <row r="69" spans="12:26">
      <c r="L69" s="45"/>
      <c r="P69" s="46"/>
      <c r="T69" s="39"/>
      <c r="U69" s="39"/>
      <c r="V69" s="39"/>
      <c r="Z69"/>
    </row>
    <row r="70" spans="12:26">
      <c r="L70" s="45"/>
      <c r="P70" s="46"/>
      <c r="T70" s="39"/>
      <c r="U70" s="39"/>
      <c r="V70" s="39"/>
      <c r="Z70"/>
    </row>
    <row r="71" spans="12:26">
      <c r="L71" s="45"/>
      <c r="P71" s="46"/>
      <c r="T71" s="39"/>
      <c r="U71" s="39"/>
      <c r="V71" s="39"/>
      <c r="Z71"/>
    </row>
    <row r="72" spans="12:26">
      <c r="L72" s="45"/>
      <c r="P72" s="46"/>
      <c r="T72" s="39"/>
      <c r="U72" s="39"/>
      <c r="V72" s="39"/>
      <c r="Z72"/>
    </row>
    <row r="73" spans="12:26">
      <c r="L73" s="45"/>
      <c r="P73" s="46"/>
      <c r="T73" s="39"/>
      <c r="U73" s="39"/>
      <c r="V73" s="39"/>
      <c r="Z73"/>
    </row>
    <row r="74" spans="12:26">
      <c r="L74" s="45"/>
      <c r="P74" s="46"/>
      <c r="T74" s="39"/>
      <c r="U74" s="39"/>
      <c r="V74" s="39"/>
      <c r="Z74"/>
    </row>
    <row r="75" spans="12:26">
      <c r="L75" s="45"/>
      <c r="P75" s="46"/>
      <c r="T75" s="39"/>
      <c r="U75" s="39"/>
      <c r="V75" s="39"/>
      <c r="Z75"/>
    </row>
    <row r="76" spans="12:26">
      <c r="L76" s="45"/>
      <c r="P76" s="46"/>
      <c r="T76" s="39"/>
      <c r="U76" s="39"/>
      <c r="V76" s="39"/>
      <c r="Z76"/>
    </row>
    <row r="77" spans="12:26">
      <c r="L77" s="45"/>
      <c r="P77" s="46"/>
      <c r="T77" s="39"/>
      <c r="U77" s="39"/>
      <c r="V77" s="39"/>
      <c r="Z77"/>
    </row>
    <row r="78" spans="12:26">
      <c r="L78" s="45"/>
      <c r="P78" s="46"/>
      <c r="T78" s="39"/>
      <c r="U78" s="39"/>
      <c r="V78" s="39"/>
      <c r="Z78"/>
    </row>
    <row r="79" spans="12:26">
      <c r="L79" s="45"/>
      <c r="P79" s="46"/>
      <c r="T79" s="39"/>
      <c r="U79" s="39"/>
      <c r="V79" s="39"/>
      <c r="Z79"/>
    </row>
    <row r="80" spans="12:26">
      <c r="L80" s="45"/>
      <c r="P80" s="46"/>
      <c r="T80" s="39"/>
      <c r="U80" s="39"/>
      <c r="V80" s="39"/>
      <c r="Z80"/>
    </row>
    <row r="81" spans="1:41">
      <c r="A81"/>
      <c r="B81"/>
      <c r="C81"/>
      <c r="D81"/>
      <c r="E81"/>
      <c r="F81"/>
      <c r="G81"/>
      <c r="H81"/>
      <c r="I81" s="75"/>
      <c r="J81" s="75"/>
      <c r="K81"/>
      <c r="L81"/>
      <c r="P81" s="46"/>
      <c r="T81"/>
      <c r="U81"/>
      <c r="V81"/>
      <c r="W81" s="28"/>
      <c r="X81" s="28"/>
      <c r="Y81" s="27"/>
      <c r="Z81" s="27"/>
      <c r="AA81" s="49"/>
      <c r="AB81" s="49"/>
      <c r="AC81" s="49"/>
      <c r="AD81" s="49"/>
      <c r="AE81" s="49"/>
      <c r="AF81" s="49"/>
      <c r="AG81" s="49"/>
      <c r="AH81" s="49"/>
      <c r="AI81" s="49"/>
      <c r="AJ81" s="71"/>
      <c r="AK81" s="27"/>
      <c r="AL81" s="27"/>
      <c r="AM81" s="49"/>
      <c r="AN81" s="49"/>
      <c r="AO81" s="49"/>
    </row>
    <row r="82" spans="1:41" ht="15.75">
      <c r="N82"/>
      <c r="O82"/>
      <c r="P82" s="84"/>
      <c r="Q82" s="87"/>
      <c r="R82"/>
      <c r="S82" s="1"/>
      <c r="T82" s="76"/>
      <c r="U82" s="76"/>
      <c r="V82" s="76"/>
    </row>
  </sheetData>
  <mergeCells count="11">
    <mergeCell ref="Q1:S1"/>
    <mergeCell ref="Z4:AA4"/>
    <mergeCell ref="B3:F3"/>
    <mergeCell ref="B24:F24"/>
    <mergeCell ref="B43:H43"/>
    <mergeCell ref="S24:U24"/>
    <mergeCell ref="AP23:AR23"/>
    <mergeCell ref="B4:D4"/>
    <mergeCell ref="P25:Q25"/>
    <mergeCell ref="N25:O25"/>
    <mergeCell ref="L25:M25"/>
  </mergeCells>
  <phoneticPr fontId="0" type="noConversion"/>
  <pageMargins left="0.75" right="0.75" top="1" bottom="1" header="0.5" footer="0.5"/>
  <pageSetup scale="32" orientation="landscape" horizontalDpi="300" verticalDpi="300" r:id="rId1"/>
  <headerFooter alignWithMargins="0"/>
  <ignoredErrors>
    <ignoredError sqref="H58" evalError="1"/>
    <ignoredError sqref="H59" evalError="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J369"/>
  <sheetViews>
    <sheetView workbookViewId="0">
      <pane xSplit="3" ySplit="4" topLeftCell="D5" activePane="bottomRight" state="frozen"/>
      <selection activeCell="D4" sqref="D4:D38"/>
      <selection pane="topRight" activeCell="D4" sqref="D4:D38"/>
      <selection pane="bottomLeft" activeCell="D4" sqref="D4:D38"/>
      <selection pane="bottomRight" activeCell="D5" sqref="D5"/>
    </sheetView>
  </sheetViews>
  <sheetFormatPr defaultRowHeight="15"/>
  <cols>
    <col min="1" max="1" width="10.7109375" style="611" bestFit="1" customWidth="1"/>
    <col min="2" max="5" width="9.42578125" style="611" bestFit="1" customWidth="1"/>
    <col min="6" max="9" width="9.42578125" style="611" customWidth="1"/>
    <col min="10" max="10" width="15.7109375" style="611" bestFit="1" customWidth="1"/>
    <col min="11" max="16384" width="9.140625" style="611"/>
  </cols>
  <sheetData>
    <row r="1" spans="1:10">
      <c r="B1" s="612" t="s">
        <v>348</v>
      </c>
      <c r="F1" s="666" t="s">
        <v>398</v>
      </c>
    </row>
    <row r="2" spans="1:10">
      <c r="A2"/>
      <c r="B2"/>
      <c r="C2"/>
      <c r="D2" s="753" t="s">
        <v>358</v>
      </c>
      <c r="E2" s="753"/>
      <c r="F2" s="753" t="s">
        <v>359</v>
      </c>
      <c r="G2" s="753"/>
      <c r="H2" s="753" t="s">
        <v>360</v>
      </c>
      <c r="I2" s="753"/>
    </row>
    <row r="3" spans="1:10">
      <c r="A3"/>
      <c r="B3" s="633" t="s">
        <v>334</v>
      </c>
      <c r="C3" s="633" t="s">
        <v>345</v>
      </c>
      <c r="D3" s="634" t="s">
        <v>346</v>
      </c>
      <c r="E3" s="634" t="s">
        <v>347</v>
      </c>
      <c r="F3" s="634" t="s">
        <v>346</v>
      </c>
      <c r="G3" s="634" t="s">
        <v>347</v>
      </c>
      <c r="H3" s="634" t="s">
        <v>346</v>
      </c>
      <c r="I3" s="634" t="s">
        <v>347</v>
      </c>
      <c r="J3" s="613" t="s">
        <v>349</v>
      </c>
    </row>
    <row r="4" spans="1:10">
      <c r="A4" s="635">
        <v>41640</v>
      </c>
      <c r="B4" s="617">
        <v>1</v>
      </c>
      <c r="C4" s="617">
        <v>1</v>
      </c>
      <c r="D4" s="636">
        <v>44.3</v>
      </c>
      <c r="E4" s="636">
        <v>44.45</v>
      </c>
      <c r="F4" s="636">
        <v>35.4</v>
      </c>
      <c r="G4" s="636">
        <v>36.25</v>
      </c>
      <c r="H4" s="636">
        <v>26.35</v>
      </c>
      <c r="I4" s="636">
        <v>27.85</v>
      </c>
      <c r="J4" s="617" t="str">
        <f>IF(OR(B4&lt;=4,B4&gt;=11),"H","C")</f>
        <v>H</v>
      </c>
    </row>
    <row r="5" spans="1:10">
      <c r="A5" s="614">
        <v>41641</v>
      </c>
      <c r="B5" s="617">
        <v>1</v>
      </c>
      <c r="C5" s="617">
        <v>2</v>
      </c>
      <c r="D5" s="636">
        <v>41.15</v>
      </c>
      <c r="E5" s="636">
        <v>43.4</v>
      </c>
      <c r="F5" s="636">
        <v>35</v>
      </c>
      <c r="G5" s="636">
        <v>36.799999999999997</v>
      </c>
      <c r="H5" s="636">
        <v>29</v>
      </c>
      <c r="I5" s="636">
        <v>30.05</v>
      </c>
      <c r="J5" s="617" t="str">
        <f t="shared" ref="J5:J68" si="0">IF(OR(B5&lt;=4,B5&gt;=11),"H","C")</f>
        <v>H</v>
      </c>
    </row>
    <row r="6" spans="1:10">
      <c r="A6" s="614">
        <v>41642</v>
      </c>
      <c r="B6" s="617">
        <v>1</v>
      </c>
      <c r="C6" s="617">
        <v>3</v>
      </c>
      <c r="D6" s="636">
        <v>41.95</v>
      </c>
      <c r="E6" s="636">
        <v>43.25</v>
      </c>
      <c r="F6" s="636">
        <v>35.6</v>
      </c>
      <c r="G6" s="636">
        <v>37.1</v>
      </c>
      <c r="H6" s="636">
        <v>28.95</v>
      </c>
      <c r="I6" s="636">
        <v>30.85</v>
      </c>
      <c r="J6" s="617" t="str">
        <f t="shared" si="0"/>
        <v>H</v>
      </c>
    </row>
    <row r="7" spans="1:10">
      <c r="A7" s="614">
        <v>41643</v>
      </c>
      <c r="B7" s="617">
        <v>1</v>
      </c>
      <c r="C7" s="617">
        <v>4</v>
      </c>
      <c r="D7" s="636">
        <v>45.1</v>
      </c>
      <c r="E7" s="636">
        <v>46.6</v>
      </c>
      <c r="F7" s="636">
        <v>38</v>
      </c>
      <c r="G7" s="636">
        <v>39.450000000000003</v>
      </c>
      <c r="H7" s="636">
        <v>30.5</v>
      </c>
      <c r="I7" s="636">
        <v>31.95</v>
      </c>
      <c r="J7" s="617" t="str">
        <f t="shared" si="0"/>
        <v>H</v>
      </c>
    </row>
    <row r="8" spans="1:10">
      <c r="A8" s="614">
        <v>41644</v>
      </c>
      <c r="B8" s="617">
        <v>1</v>
      </c>
      <c r="C8" s="617">
        <v>5</v>
      </c>
      <c r="D8" s="636">
        <v>42.05</v>
      </c>
      <c r="E8" s="636">
        <v>43.1</v>
      </c>
      <c r="F8" s="636">
        <v>35.85</v>
      </c>
      <c r="G8" s="636">
        <v>36.950000000000003</v>
      </c>
      <c r="H8" s="636">
        <v>29.15</v>
      </c>
      <c r="I8" s="636">
        <v>30.6</v>
      </c>
      <c r="J8" s="617" t="str">
        <f t="shared" si="0"/>
        <v>H</v>
      </c>
    </row>
    <row r="9" spans="1:10">
      <c r="A9" s="614">
        <v>41645</v>
      </c>
      <c r="B9" s="617">
        <v>1</v>
      </c>
      <c r="C9" s="617">
        <v>6</v>
      </c>
      <c r="D9" s="636">
        <v>41.85</v>
      </c>
      <c r="E9" s="636">
        <v>42.95</v>
      </c>
      <c r="F9" s="636">
        <v>35.5</v>
      </c>
      <c r="G9" s="636">
        <v>36.85</v>
      </c>
      <c r="H9" s="636">
        <v>28.6</v>
      </c>
      <c r="I9" s="636">
        <v>30.35</v>
      </c>
      <c r="J9" s="617" t="str">
        <f t="shared" si="0"/>
        <v>H</v>
      </c>
    </row>
    <row r="10" spans="1:10">
      <c r="A10" s="614">
        <v>41646</v>
      </c>
      <c r="B10" s="617">
        <v>1</v>
      </c>
      <c r="C10" s="617">
        <v>7</v>
      </c>
      <c r="D10" s="636">
        <v>41.05</v>
      </c>
      <c r="E10" s="636">
        <v>42.15</v>
      </c>
      <c r="F10" s="636">
        <v>34.4</v>
      </c>
      <c r="G10" s="636">
        <v>35.299999999999997</v>
      </c>
      <c r="H10" s="636">
        <v>27.45</v>
      </c>
      <c r="I10" s="636">
        <v>28.45</v>
      </c>
      <c r="J10" s="617" t="str">
        <f t="shared" si="0"/>
        <v>H</v>
      </c>
    </row>
    <row r="11" spans="1:10">
      <c r="A11" s="614">
        <v>41647</v>
      </c>
      <c r="B11" s="617">
        <v>1</v>
      </c>
      <c r="C11" s="617">
        <v>8</v>
      </c>
      <c r="D11" s="636">
        <v>39.5</v>
      </c>
      <c r="E11" s="636">
        <v>41.6</v>
      </c>
      <c r="F11" s="636">
        <v>32.35</v>
      </c>
      <c r="G11" s="636">
        <v>34.450000000000003</v>
      </c>
      <c r="H11" s="636">
        <v>24.95</v>
      </c>
      <c r="I11" s="636">
        <v>27.4</v>
      </c>
      <c r="J11" s="617" t="str">
        <f t="shared" si="0"/>
        <v>H</v>
      </c>
    </row>
    <row r="12" spans="1:10">
      <c r="A12" s="614">
        <v>41648</v>
      </c>
      <c r="B12" s="617">
        <v>1</v>
      </c>
      <c r="C12" s="617">
        <v>9</v>
      </c>
      <c r="D12" s="636">
        <v>40.9</v>
      </c>
      <c r="E12" s="636">
        <v>42.45</v>
      </c>
      <c r="F12" s="636">
        <v>33.15</v>
      </c>
      <c r="G12" s="636">
        <v>35.35</v>
      </c>
      <c r="H12" s="636">
        <v>25.15</v>
      </c>
      <c r="I12" s="636">
        <v>27.4</v>
      </c>
      <c r="J12" s="617" t="str">
        <f t="shared" si="0"/>
        <v>H</v>
      </c>
    </row>
    <row r="13" spans="1:10">
      <c r="A13" s="614">
        <v>41649</v>
      </c>
      <c r="B13" s="617">
        <v>1</v>
      </c>
      <c r="C13" s="617">
        <v>10</v>
      </c>
      <c r="D13" s="636">
        <v>39.85</v>
      </c>
      <c r="E13" s="636">
        <v>41.4</v>
      </c>
      <c r="F13" s="636">
        <v>32.450000000000003</v>
      </c>
      <c r="G13" s="636">
        <v>34.049999999999997</v>
      </c>
      <c r="H13" s="636">
        <v>24.45</v>
      </c>
      <c r="I13" s="636">
        <v>26.65</v>
      </c>
      <c r="J13" s="617" t="str">
        <f t="shared" si="0"/>
        <v>H</v>
      </c>
    </row>
    <row r="14" spans="1:10">
      <c r="A14" s="614">
        <v>41650</v>
      </c>
      <c r="B14" s="617">
        <v>1</v>
      </c>
      <c r="C14" s="617">
        <v>11</v>
      </c>
      <c r="D14" s="636">
        <v>40.9</v>
      </c>
      <c r="E14" s="636">
        <v>42.1</v>
      </c>
      <c r="F14" s="636">
        <v>33.9</v>
      </c>
      <c r="G14" s="636">
        <v>35.6</v>
      </c>
      <c r="H14" s="636">
        <v>26.7</v>
      </c>
      <c r="I14" s="636">
        <v>28.8</v>
      </c>
      <c r="J14" s="617" t="str">
        <f t="shared" si="0"/>
        <v>H</v>
      </c>
    </row>
    <row r="15" spans="1:10">
      <c r="A15" s="614">
        <v>41651</v>
      </c>
      <c r="B15" s="617">
        <v>1</v>
      </c>
      <c r="C15" s="617">
        <v>12</v>
      </c>
      <c r="D15" s="636">
        <v>44.35</v>
      </c>
      <c r="E15" s="636">
        <v>46.1</v>
      </c>
      <c r="F15" s="636">
        <v>37.549999999999997</v>
      </c>
      <c r="G15" s="636">
        <v>38.950000000000003</v>
      </c>
      <c r="H15" s="636">
        <v>30.2</v>
      </c>
      <c r="I15" s="636">
        <v>31.6</v>
      </c>
      <c r="J15" s="617" t="str">
        <f t="shared" si="0"/>
        <v>H</v>
      </c>
    </row>
    <row r="16" spans="1:10">
      <c r="A16" s="614">
        <v>41652</v>
      </c>
      <c r="B16" s="617">
        <v>1</v>
      </c>
      <c r="C16" s="617">
        <v>13</v>
      </c>
      <c r="D16" s="636">
        <v>43.95</v>
      </c>
      <c r="E16" s="636">
        <v>45.9</v>
      </c>
      <c r="F16" s="636">
        <v>35.950000000000003</v>
      </c>
      <c r="G16" s="636">
        <v>37.799999999999997</v>
      </c>
      <c r="H16" s="636">
        <v>27.65</v>
      </c>
      <c r="I16" s="636">
        <v>29.3</v>
      </c>
      <c r="J16" s="617" t="str">
        <f t="shared" si="0"/>
        <v>H</v>
      </c>
    </row>
    <row r="17" spans="1:10">
      <c r="A17" s="614">
        <v>41653</v>
      </c>
      <c r="B17" s="617">
        <v>1</v>
      </c>
      <c r="C17" s="617">
        <v>14</v>
      </c>
      <c r="D17" s="636">
        <v>40.5</v>
      </c>
      <c r="E17" s="636">
        <v>42.45</v>
      </c>
      <c r="F17" s="636">
        <v>32.85</v>
      </c>
      <c r="G17" s="636">
        <v>34.4</v>
      </c>
      <c r="H17" s="636">
        <v>25.05</v>
      </c>
      <c r="I17" s="636">
        <v>26.05</v>
      </c>
      <c r="J17" s="617" t="str">
        <f t="shared" si="0"/>
        <v>H</v>
      </c>
    </row>
    <row r="18" spans="1:10">
      <c r="A18" s="614">
        <v>41654</v>
      </c>
      <c r="B18" s="617">
        <v>1</v>
      </c>
      <c r="C18" s="617">
        <v>15</v>
      </c>
      <c r="D18" s="636">
        <v>38.1</v>
      </c>
      <c r="E18" s="636">
        <v>38.4</v>
      </c>
      <c r="F18" s="636">
        <v>30.6</v>
      </c>
      <c r="G18" s="636">
        <v>31.65</v>
      </c>
      <c r="H18" s="636">
        <v>22.65</v>
      </c>
      <c r="I18" s="636">
        <v>24.15</v>
      </c>
      <c r="J18" s="617" t="str">
        <f t="shared" si="0"/>
        <v>H</v>
      </c>
    </row>
    <row r="19" spans="1:10">
      <c r="A19" s="614">
        <v>41655</v>
      </c>
      <c r="B19" s="617">
        <v>1</v>
      </c>
      <c r="C19" s="617">
        <v>16</v>
      </c>
      <c r="D19" s="636">
        <v>37.450000000000003</v>
      </c>
      <c r="E19" s="636">
        <v>40.35</v>
      </c>
      <c r="F19" s="636">
        <v>29.2</v>
      </c>
      <c r="G19" s="636">
        <v>31.85</v>
      </c>
      <c r="H19" s="636">
        <v>20.85</v>
      </c>
      <c r="I19" s="636">
        <v>23.25</v>
      </c>
      <c r="J19" s="617" t="str">
        <f t="shared" si="0"/>
        <v>H</v>
      </c>
    </row>
    <row r="20" spans="1:10">
      <c r="A20" s="614">
        <v>41656</v>
      </c>
      <c r="B20" s="617">
        <v>1</v>
      </c>
      <c r="C20" s="617">
        <v>17</v>
      </c>
      <c r="D20" s="636">
        <v>40.299999999999997</v>
      </c>
      <c r="E20" s="636">
        <v>42.8</v>
      </c>
      <c r="F20" s="636">
        <v>32.450000000000003</v>
      </c>
      <c r="G20" s="636">
        <v>34.65</v>
      </c>
      <c r="H20" s="636">
        <v>24.25</v>
      </c>
      <c r="I20" s="636">
        <v>25.95</v>
      </c>
      <c r="J20" s="617" t="str">
        <f t="shared" si="0"/>
        <v>H</v>
      </c>
    </row>
    <row r="21" spans="1:10">
      <c r="A21" s="614">
        <v>41657</v>
      </c>
      <c r="B21" s="617">
        <v>1</v>
      </c>
      <c r="C21" s="617">
        <v>18</v>
      </c>
      <c r="D21" s="636">
        <v>36</v>
      </c>
      <c r="E21" s="636">
        <v>37.700000000000003</v>
      </c>
      <c r="F21" s="636">
        <v>29.6</v>
      </c>
      <c r="G21" s="636">
        <v>31.3</v>
      </c>
      <c r="H21" s="636">
        <v>22.65</v>
      </c>
      <c r="I21" s="636">
        <v>23.85</v>
      </c>
      <c r="J21" s="617" t="str">
        <f t="shared" si="0"/>
        <v>H</v>
      </c>
    </row>
    <row r="22" spans="1:10">
      <c r="A22" s="614">
        <v>41658</v>
      </c>
      <c r="B22" s="617">
        <v>1</v>
      </c>
      <c r="C22" s="617">
        <v>19</v>
      </c>
      <c r="D22" s="636">
        <v>36.15</v>
      </c>
      <c r="E22" s="636">
        <v>37.049999999999997</v>
      </c>
      <c r="F22" s="636">
        <v>28.45</v>
      </c>
      <c r="G22" s="636">
        <v>29.1</v>
      </c>
      <c r="H22" s="636">
        <v>20.3</v>
      </c>
      <c r="I22" s="636">
        <v>21.2</v>
      </c>
      <c r="J22" s="617" t="str">
        <f t="shared" si="0"/>
        <v>H</v>
      </c>
    </row>
    <row r="23" spans="1:10">
      <c r="A23" s="614">
        <v>41659</v>
      </c>
      <c r="B23" s="617">
        <v>1</v>
      </c>
      <c r="C23" s="617">
        <v>20</v>
      </c>
      <c r="D23" s="636">
        <v>36.85</v>
      </c>
      <c r="E23" s="636">
        <v>38.15</v>
      </c>
      <c r="F23" s="636">
        <v>29.9</v>
      </c>
      <c r="G23" s="636">
        <v>31.55</v>
      </c>
      <c r="H23" s="636">
        <v>22.65</v>
      </c>
      <c r="I23" s="636">
        <v>25</v>
      </c>
      <c r="J23" s="617" t="str">
        <f t="shared" si="0"/>
        <v>H</v>
      </c>
    </row>
    <row r="24" spans="1:10">
      <c r="A24" s="614">
        <v>41660</v>
      </c>
      <c r="B24" s="617">
        <v>1</v>
      </c>
      <c r="C24" s="617">
        <v>21</v>
      </c>
      <c r="D24" s="636">
        <v>39.9</v>
      </c>
      <c r="E24" s="636">
        <v>41.15</v>
      </c>
      <c r="F24" s="636">
        <v>31.55</v>
      </c>
      <c r="G24" s="636">
        <v>33.200000000000003</v>
      </c>
      <c r="H24" s="636">
        <v>23.05</v>
      </c>
      <c r="I24" s="636">
        <v>25.05</v>
      </c>
      <c r="J24" s="617" t="str">
        <f t="shared" si="0"/>
        <v>H</v>
      </c>
    </row>
    <row r="25" spans="1:10">
      <c r="A25" s="614">
        <v>41661</v>
      </c>
      <c r="B25" s="617">
        <v>1</v>
      </c>
      <c r="C25" s="617">
        <v>22</v>
      </c>
      <c r="D25" s="636">
        <v>43.35</v>
      </c>
      <c r="E25" s="636">
        <v>45.2</v>
      </c>
      <c r="F25" s="636">
        <v>35.15</v>
      </c>
      <c r="G25" s="636">
        <v>36.950000000000003</v>
      </c>
      <c r="H25" s="636">
        <v>26.4</v>
      </c>
      <c r="I25" s="636">
        <v>28.05</v>
      </c>
      <c r="J25" s="617" t="str">
        <f t="shared" si="0"/>
        <v>H</v>
      </c>
    </row>
    <row r="26" spans="1:10">
      <c r="A26" s="614">
        <v>41662</v>
      </c>
      <c r="B26" s="617">
        <v>1</v>
      </c>
      <c r="C26" s="617">
        <v>23</v>
      </c>
      <c r="D26" s="636">
        <v>42.4</v>
      </c>
      <c r="E26" s="636">
        <v>44.65</v>
      </c>
      <c r="F26" s="636">
        <v>34.9</v>
      </c>
      <c r="G26" s="636">
        <v>36.85</v>
      </c>
      <c r="H26" s="636">
        <v>26.95</v>
      </c>
      <c r="I26" s="636">
        <v>28.9</v>
      </c>
      <c r="J26" s="617" t="str">
        <f t="shared" si="0"/>
        <v>H</v>
      </c>
    </row>
    <row r="27" spans="1:10">
      <c r="A27" s="614">
        <v>41663</v>
      </c>
      <c r="B27" s="617">
        <v>1</v>
      </c>
      <c r="C27" s="617">
        <v>24</v>
      </c>
      <c r="D27" s="636">
        <v>40.9</v>
      </c>
      <c r="E27" s="636">
        <v>42</v>
      </c>
      <c r="F27" s="636">
        <v>32.700000000000003</v>
      </c>
      <c r="G27" s="636">
        <v>34.299999999999997</v>
      </c>
      <c r="H27" s="636">
        <v>24</v>
      </c>
      <c r="I27" s="636">
        <v>26.35</v>
      </c>
      <c r="J27" s="617" t="str">
        <f t="shared" si="0"/>
        <v>H</v>
      </c>
    </row>
    <row r="28" spans="1:10">
      <c r="A28" s="614">
        <v>41664</v>
      </c>
      <c r="B28" s="617">
        <v>1</v>
      </c>
      <c r="C28" s="617">
        <v>25</v>
      </c>
      <c r="D28" s="636">
        <v>38.25</v>
      </c>
      <c r="E28" s="636">
        <v>39.6</v>
      </c>
      <c r="F28" s="636">
        <v>30.6</v>
      </c>
      <c r="G28" s="636">
        <v>32.1</v>
      </c>
      <c r="H28" s="636">
        <v>22.55</v>
      </c>
      <c r="I28" s="636">
        <v>24.25</v>
      </c>
      <c r="J28" s="617" t="str">
        <f t="shared" si="0"/>
        <v>H</v>
      </c>
    </row>
    <row r="29" spans="1:10">
      <c r="A29" s="614">
        <v>41665</v>
      </c>
      <c r="B29" s="617">
        <v>1</v>
      </c>
      <c r="C29" s="617">
        <v>26</v>
      </c>
      <c r="D29" s="636">
        <v>41.1</v>
      </c>
      <c r="E29" s="636">
        <v>43.2</v>
      </c>
      <c r="F29" s="636">
        <v>32.950000000000003</v>
      </c>
      <c r="G29" s="636">
        <v>34.5</v>
      </c>
      <c r="H29" s="636">
        <v>24.8</v>
      </c>
      <c r="I29" s="636">
        <v>25.85</v>
      </c>
      <c r="J29" s="617" t="str">
        <f t="shared" si="0"/>
        <v>H</v>
      </c>
    </row>
    <row r="30" spans="1:10">
      <c r="A30" s="614">
        <v>41666</v>
      </c>
      <c r="B30" s="617">
        <v>1</v>
      </c>
      <c r="C30" s="617">
        <v>27</v>
      </c>
      <c r="D30" s="636">
        <v>44.15</v>
      </c>
      <c r="E30" s="636">
        <v>45.5</v>
      </c>
      <c r="F30" s="636">
        <v>35.4</v>
      </c>
      <c r="G30" s="636">
        <v>36.75</v>
      </c>
      <c r="H30" s="636">
        <v>26.2</v>
      </c>
      <c r="I30" s="636">
        <v>27.6</v>
      </c>
      <c r="J30" s="617" t="str">
        <f t="shared" si="0"/>
        <v>H</v>
      </c>
    </row>
    <row r="31" spans="1:10">
      <c r="A31" s="614">
        <v>41667</v>
      </c>
      <c r="B31" s="617">
        <v>1</v>
      </c>
      <c r="C31" s="617">
        <v>28</v>
      </c>
      <c r="D31" s="636">
        <v>43.65</v>
      </c>
      <c r="E31" s="636">
        <v>44.5</v>
      </c>
      <c r="F31" s="636">
        <v>34.4</v>
      </c>
      <c r="G31" s="636">
        <v>35.65</v>
      </c>
      <c r="H31" s="636">
        <v>25</v>
      </c>
      <c r="I31" s="636">
        <v>26.4</v>
      </c>
      <c r="J31" s="617" t="str">
        <f t="shared" si="0"/>
        <v>H</v>
      </c>
    </row>
    <row r="32" spans="1:10">
      <c r="A32" s="614">
        <v>41668</v>
      </c>
      <c r="B32" s="617">
        <v>1</v>
      </c>
      <c r="C32" s="617">
        <v>29</v>
      </c>
      <c r="D32" s="636">
        <v>42.45</v>
      </c>
      <c r="E32" s="636">
        <v>43.6</v>
      </c>
      <c r="F32" s="636">
        <v>35.450000000000003</v>
      </c>
      <c r="G32" s="636">
        <v>36.450000000000003</v>
      </c>
      <c r="H32" s="636">
        <v>27.75</v>
      </c>
      <c r="I32" s="636">
        <v>28.95</v>
      </c>
      <c r="J32" s="617" t="str">
        <f t="shared" si="0"/>
        <v>H</v>
      </c>
    </row>
    <row r="33" spans="1:10">
      <c r="A33" s="614">
        <v>41669</v>
      </c>
      <c r="B33" s="617">
        <v>1</v>
      </c>
      <c r="C33" s="617">
        <v>30</v>
      </c>
      <c r="D33" s="636">
        <v>39.4</v>
      </c>
      <c r="E33" s="636">
        <v>41.05</v>
      </c>
      <c r="F33" s="636">
        <v>32.1</v>
      </c>
      <c r="G33" s="636">
        <v>33.6</v>
      </c>
      <c r="H33" s="636">
        <v>24.45</v>
      </c>
      <c r="I33" s="636">
        <v>25.85</v>
      </c>
      <c r="J33" s="617" t="str">
        <f t="shared" si="0"/>
        <v>H</v>
      </c>
    </row>
    <row r="34" spans="1:10">
      <c r="A34" s="614">
        <v>41670</v>
      </c>
      <c r="B34" s="617">
        <v>1</v>
      </c>
      <c r="C34" s="617">
        <v>31</v>
      </c>
      <c r="D34" s="636">
        <v>39.700000000000003</v>
      </c>
      <c r="E34" s="636">
        <v>41.7</v>
      </c>
      <c r="F34" s="636">
        <v>32.15</v>
      </c>
      <c r="G34" s="636">
        <v>34.049999999999997</v>
      </c>
      <c r="H34" s="636">
        <v>24.45</v>
      </c>
      <c r="I34" s="636">
        <v>26.45</v>
      </c>
      <c r="J34" s="617" t="str">
        <f t="shared" si="0"/>
        <v>H</v>
      </c>
    </row>
    <row r="35" spans="1:10">
      <c r="A35" s="614">
        <v>41671</v>
      </c>
      <c r="B35" s="617">
        <v>2</v>
      </c>
      <c r="C35" s="617">
        <v>1</v>
      </c>
      <c r="D35" s="636">
        <v>43.6</v>
      </c>
      <c r="E35" s="636">
        <v>45.4</v>
      </c>
      <c r="F35" s="636">
        <v>35.700000000000003</v>
      </c>
      <c r="G35" s="636">
        <v>37.549999999999997</v>
      </c>
      <c r="H35" s="636">
        <v>27.6</v>
      </c>
      <c r="I35" s="636">
        <v>29.7</v>
      </c>
      <c r="J35" s="617" t="str">
        <f t="shared" si="0"/>
        <v>H</v>
      </c>
    </row>
    <row r="36" spans="1:10">
      <c r="A36" s="614">
        <v>41672</v>
      </c>
      <c r="B36" s="617">
        <v>2</v>
      </c>
      <c r="C36" s="617">
        <v>2</v>
      </c>
      <c r="D36" s="636">
        <v>43.55</v>
      </c>
      <c r="E36" s="636">
        <v>45.55</v>
      </c>
      <c r="F36" s="636">
        <v>35.299999999999997</v>
      </c>
      <c r="G36" s="636">
        <v>36.799999999999997</v>
      </c>
      <c r="H36" s="636">
        <v>26.55</v>
      </c>
      <c r="I36" s="636">
        <v>27.95</v>
      </c>
      <c r="J36" s="617" t="str">
        <f t="shared" si="0"/>
        <v>H</v>
      </c>
    </row>
    <row r="37" spans="1:10">
      <c r="A37" s="614">
        <v>41673</v>
      </c>
      <c r="B37" s="617">
        <v>2</v>
      </c>
      <c r="C37" s="617">
        <v>3</v>
      </c>
      <c r="D37" s="636">
        <v>42.2</v>
      </c>
      <c r="E37" s="636">
        <v>44.2</v>
      </c>
      <c r="F37" s="636">
        <v>34.049999999999997</v>
      </c>
      <c r="G37" s="636">
        <v>35.9</v>
      </c>
      <c r="H37" s="636">
        <v>25.7</v>
      </c>
      <c r="I37" s="636">
        <v>27.25</v>
      </c>
      <c r="J37" s="617" t="str">
        <f t="shared" si="0"/>
        <v>H</v>
      </c>
    </row>
    <row r="38" spans="1:10">
      <c r="A38" s="614">
        <v>41674</v>
      </c>
      <c r="B38" s="617">
        <v>2</v>
      </c>
      <c r="C38" s="617">
        <v>4</v>
      </c>
      <c r="D38" s="636">
        <v>40.799999999999997</v>
      </c>
      <c r="E38" s="636">
        <v>43.25</v>
      </c>
      <c r="F38" s="636">
        <v>33.15</v>
      </c>
      <c r="G38" s="636">
        <v>35.15</v>
      </c>
      <c r="H38" s="636">
        <v>24.95</v>
      </c>
      <c r="I38" s="636">
        <v>26.6</v>
      </c>
      <c r="J38" s="617" t="str">
        <f t="shared" si="0"/>
        <v>H</v>
      </c>
    </row>
    <row r="39" spans="1:10">
      <c r="A39" s="614">
        <v>41675</v>
      </c>
      <c r="B39" s="617">
        <v>2</v>
      </c>
      <c r="C39" s="617">
        <v>5</v>
      </c>
      <c r="D39" s="636">
        <v>38.85</v>
      </c>
      <c r="E39" s="636">
        <v>41.45</v>
      </c>
      <c r="F39" s="636">
        <v>31</v>
      </c>
      <c r="G39" s="636">
        <v>33.700000000000003</v>
      </c>
      <c r="H39" s="636">
        <v>23.15</v>
      </c>
      <c r="I39" s="636">
        <v>25.95</v>
      </c>
      <c r="J39" s="617" t="str">
        <f t="shared" si="0"/>
        <v>H</v>
      </c>
    </row>
    <row r="40" spans="1:10">
      <c r="A40" s="614">
        <v>41676</v>
      </c>
      <c r="B40" s="617">
        <v>2</v>
      </c>
      <c r="C40" s="617">
        <v>6</v>
      </c>
      <c r="D40" s="636">
        <v>43.8</v>
      </c>
      <c r="E40" s="636">
        <v>45.2</v>
      </c>
      <c r="F40" s="636">
        <v>34.299999999999997</v>
      </c>
      <c r="G40" s="636">
        <v>36.200000000000003</v>
      </c>
      <c r="H40" s="636">
        <v>24.65</v>
      </c>
      <c r="I40" s="636">
        <v>26.8</v>
      </c>
      <c r="J40" s="617" t="str">
        <f t="shared" si="0"/>
        <v>H</v>
      </c>
    </row>
    <row r="41" spans="1:10">
      <c r="A41" s="614">
        <v>41677</v>
      </c>
      <c r="B41" s="617">
        <v>2</v>
      </c>
      <c r="C41" s="617">
        <v>7</v>
      </c>
      <c r="D41" s="636">
        <v>41.85</v>
      </c>
      <c r="E41" s="636">
        <v>43.45</v>
      </c>
      <c r="F41" s="636">
        <v>34.799999999999997</v>
      </c>
      <c r="G41" s="636">
        <v>36.4</v>
      </c>
      <c r="H41" s="636">
        <v>27.1</v>
      </c>
      <c r="I41" s="636">
        <v>29.2</v>
      </c>
      <c r="J41" s="617" t="str">
        <f t="shared" si="0"/>
        <v>H</v>
      </c>
    </row>
    <row r="42" spans="1:10">
      <c r="A42" s="614">
        <v>41678</v>
      </c>
      <c r="B42" s="617">
        <v>2</v>
      </c>
      <c r="C42" s="617">
        <v>8</v>
      </c>
      <c r="D42" s="636">
        <v>41.45</v>
      </c>
      <c r="E42" s="636">
        <v>42.95</v>
      </c>
      <c r="F42" s="636">
        <v>33.549999999999997</v>
      </c>
      <c r="G42" s="636">
        <v>35.700000000000003</v>
      </c>
      <c r="H42" s="636">
        <v>25.55</v>
      </c>
      <c r="I42" s="636">
        <v>28.3</v>
      </c>
      <c r="J42" s="617" t="str">
        <f t="shared" si="0"/>
        <v>H</v>
      </c>
    </row>
    <row r="43" spans="1:10">
      <c r="A43" s="614">
        <v>41679</v>
      </c>
      <c r="B43" s="617">
        <v>2</v>
      </c>
      <c r="C43" s="617">
        <v>9</v>
      </c>
      <c r="D43" s="636">
        <v>44.1</v>
      </c>
      <c r="E43" s="636">
        <v>46</v>
      </c>
      <c r="F43" s="636">
        <v>35.200000000000003</v>
      </c>
      <c r="G43" s="636">
        <v>36.799999999999997</v>
      </c>
      <c r="H43" s="636">
        <v>25.85</v>
      </c>
      <c r="I43" s="636">
        <v>27.4</v>
      </c>
      <c r="J43" s="617" t="str">
        <f t="shared" si="0"/>
        <v>H</v>
      </c>
    </row>
    <row r="44" spans="1:10">
      <c r="A44" s="614">
        <v>41680</v>
      </c>
      <c r="B44" s="617">
        <v>2</v>
      </c>
      <c r="C44" s="617">
        <v>10</v>
      </c>
      <c r="D44" s="636">
        <v>41.85</v>
      </c>
      <c r="E44" s="636">
        <v>44.15</v>
      </c>
      <c r="F44" s="636">
        <v>34.049999999999997</v>
      </c>
      <c r="G44" s="636">
        <v>36.049999999999997</v>
      </c>
      <c r="H44" s="636">
        <v>26</v>
      </c>
      <c r="I44" s="636">
        <v>27.65</v>
      </c>
      <c r="J44" s="617" t="str">
        <f t="shared" si="0"/>
        <v>H</v>
      </c>
    </row>
    <row r="45" spans="1:10">
      <c r="A45" s="614">
        <v>41681</v>
      </c>
      <c r="B45" s="617">
        <v>2</v>
      </c>
      <c r="C45" s="617">
        <v>11</v>
      </c>
      <c r="D45" s="636">
        <v>40.6</v>
      </c>
      <c r="E45" s="636">
        <v>43.25</v>
      </c>
      <c r="F45" s="636">
        <v>33.65</v>
      </c>
      <c r="G45" s="636">
        <v>35.85</v>
      </c>
      <c r="H45" s="636">
        <v>26.3</v>
      </c>
      <c r="I45" s="636">
        <v>28.45</v>
      </c>
      <c r="J45" s="617" t="str">
        <f t="shared" si="0"/>
        <v>H</v>
      </c>
    </row>
    <row r="46" spans="1:10">
      <c r="A46" s="614">
        <v>41682</v>
      </c>
      <c r="B46" s="617">
        <v>2</v>
      </c>
      <c r="C46" s="617">
        <v>12</v>
      </c>
      <c r="D46" s="636">
        <v>41.55</v>
      </c>
      <c r="E46" s="636">
        <v>42.4</v>
      </c>
      <c r="F46" s="636">
        <v>33.5</v>
      </c>
      <c r="G46" s="636">
        <v>34.85</v>
      </c>
      <c r="H46" s="636">
        <v>25.1</v>
      </c>
      <c r="I46" s="636">
        <v>27.2</v>
      </c>
      <c r="J46" s="617" t="str">
        <f t="shared" si="0"/>
        <v>H</v>
      </c>
    </row>
    <row r="47" spans="1:10">
      <c r="A47" s="614">
        <v>41683</v>
      </c>
      <c r="B47" s="617">
        <v>2</v>
      </c>
      <c r="C47" s="617">
        <v>13</v>
      </c>
      <c r="D47" s="636">
        <v>38.950000000000003</v>
      </c>
      <c r="E47" s="636">
        <v>40.799999999999997</v>
      </c>
      <c r="F47" s="636">
        <v>32.35</v>
      </c>
      <c r="G47" s="636">
        <v>34.200000000000003</v>
      </c>
      <c r="H47" s="636">
        <v>25.7</v>
      </c>
      <c r="I47" s="636">
        <v>27.25</v>
      </c>
      <c r="J47" s="617" t="str">
        <f t="shared" si="0"/>
        <v>H</v>
      </c>
    </row>
    <row r="48" spans="1:10">
      <c r="A48" s="614">
        <v>41684</v>
      </c>
      <c r="B48" s="617">
        <v>2</v>
      </c>
      <c r="C48" s="617">
        <v>14</v>
      </c>
      <c r="D48" s="636">
        <v>43.35</v>
      </c>
      <c r="E48" s="636">
        <v>45.45</v>
      </c>
      <c r="F48" s="636">
        <v>36.049999999999997</v>
      </c>
      <c r="G48" s="636">
        <v>37.549999999999997</v>
      </c>
      <c r="H48" s="636">
        <v>28.6</v>
      </c>
      <c r="I48" s="636">
        <v>29.55</v>
      </c>
      <c r="J48" s="617" t="str">
        <f t="shared" si="0"/>
        <v>H</v>
      </c>
    </row>
    <row r="49" spans="1:10">
      <c r="A49" s="614">
        <v>41685</v>
      </c>
      <c r="B49" s="617">
        <v>2</v>
      </c>
      <c r="C49" s="617">
        <v>15</v>
      </c>
      <c r="D49" s="636">
        <v>47.15</v>
      </c>
      <c r="E49" s="636">
        <v>48.5</v>
      </c>
      <c r="F49" s="636">
        <v>38.75</v>
      </c>
      <c r="G49" s="636">
        <v>40.4</v>
      </c>
      <c r="H49" s="636">
        <v>30.2</v>
      </c>
      <c r="I49" s="636">
        <v>32.25</v>
      </c>
      <c r="J49" s="617" t="str">
        <f t="shared" si="0"/>
        <v>H</v>
      </c>
    </row>
    <row r="50" spans="1:10">
      <c r="A50" s="614">
        <v>41686</v>
      </c>
      <c r="B50" s="617">
        <v>2</v>
      </c>
      <c r="C50" s="617">
        <v>16</v>
      </c>
      <c r="D50" s="636">
        <v>46.2</v>
      </c>
      <c r="E50" s="636">
        <v>46.75</v>
      </c>
      <c r="F50" s="636">
        <v>37.549999999999997</v>
      </c>
      <c r="G50" s="636">
        <v>38.9</v>
      </c>
      <c r="H50" s="636">
        <v>28.8</v>
      </c>
      <c r="I50" s="636">
        <v>30.75</v>
      </c>
      <c r="J50" s="617" t="str">
        <f t="shared" si="0"/>
        <v>H</v>
      </c>
    </row>
    <row r="51" spans="1:10">
      <c r="A51" s="614">
        <v>41687</v>
      </c>
      <c r="B51" s="617">
        <v>2</v>
      </c>
      <c r="C51" s="617">
        <v>17</v>
      </c>
      <c r="D51" s="636">
        <v>46</v>
      </c>
      <c r="E51" s="636">
        <v>46.4</v>
      </c>
      <c r="F51" s="636">
        <v>37.25</v>
      </c>
      <c r="G51" s="636">
        <v>37.950000000000003</v>
      </c>
      <c r="H51" s="636">
        <v>28.1</v>
      </c>
      <c r="I51" s="636">
        <v>28.9</v>
      </c>
      <c r="J51" s="617" t="str">
        <f t="shared" si="0"/>
        <v>H</v>
      </c>
    </row>
    <row r="52" spans="1:10">
      <c r="A52" s="614">
        <v>41688</v>
      </c>
      <c r="B52" s="617">
        <v>2</v>
      </c>
      <c r="C52" s="617">
        <v>18</v>
      </c>
      <c r="D52" s="636">
        <v>45.35</v>
      </c>
      <c r="E52" s="636">
        <v>47.4</v>
      </c>
      <c r="F52" s="636">
        <v>35.9</v>
      </c>
      <c r="G52" s="636">
        <v>37.549999999999997</v>
      </c>
      <c r="H52" s="636">
        <v>26.25</v>
      </c>
      <c r="I52" s="636">
        <v>27.5</v>
      </c>
      <c r="J52" s="617" t="str">
        <f t="shared" si="0"/>
        <v>H</v>
      </c>
    </row>
    <row r="53" spans="1:10">
      <c r="A53" s="614">
        <v>41689</v>
      </c>
      <c r="B53" s="617">
        <v>2</v>
      </c>
      <c r="C53" s="617">
        <v>19</v>
      </c>
      <c r="D53" s="636">
        <v>45.8</v>
      </c>
      <c r="E53" s="636">
        <v>48.6</v>
      </c>
      <c r="F53" s="636">
        <v>36.85</v>
      </c>
      <c r="G53" s="636">
        <v>39.049999999999997</v>
      </c>
      <c r="H53" s="636">
        <v>27.5</v>
      </c>
      <c r="I53" s="636">
        <v>29.5</v>
      </c>
      <c r="J53" s="617" t="str">
        <f t="shared" si="0"/>
        <v>H</v>
      </c>
    </row>
    <row r="54" spans="1:10">
      <c r="A54" s="614">
        <v>41690</v>
      </c>
      <c r="B54" s="617">
        <v>2</v>
      </c>
      <c r="C54" s="617">
        <v>20</v>
      </c>
      <c r="D54" s="636">
        <v>48.8</v>
      </c>
      <c r="E54" s="636">
        <v>51.4</v>
      </c>
      <c r="F54" s="636">
        <v>41.35</v>
      </c>
      <c r="G54" s="636">
        <v>43.6</v>
      </c>
      <c r="H54" s="636">
        <v>33.85</v>
      </c>
      <c r="I54" s="636">
        <v>35.549999999999997</v>
      </c>
      <c r="J54" s="617" t="str">
        <f t="shared" si="0"/>
        <v>H</v>
      </c>
    </row>
    <row r="55" spans="1:10">
      <c r="A55" s="614">
        <v>41691</v>
      </c>
      <c r="B55" s="617">
        <v>2</v>
      </c>
      <c r="C55" s="617">
        <v>21</v>
      </c>
      <c r="D55" s="636">
        <v>51.35</v>
      </c>
      <c r="E55" s="636">
        <v>51.4</v>
      </c>
      <c r="F55" s="636">
        <v>43.1</v>
      </c>
      <c r="G55" s="636">
        <v>43.8</v>
      </c>
      <c r="H55" s="636">
        <v>34.4</v>
      </c>
      <c r="I55" s="636">
        <v>34.75</v>
      </c>
      <c r="J55" s="617" t="str">
        <f t="shared" si="0"/>
        <v>H</v>
      </c>
    </row>
    <row r="56" spans="1:10">
      <c r="A56" s="614">
        <v>41692</v>
      </c>
      <c r="B56" s="617">
        <v>2</v>
      </c>
      <c r="C56" s="617">
        <v>22</v>
      </c>
      <c r="D56" s="636">
        <v>45.9</v>
      </c>
      <c r="E56" s="636">
        <v>46.6</v>
      </c>
      <c r="F56" s="636">
        <v>38.799999999999997</v>
      </c>
      <c r="G56" s="636">
        <v>40</v>
      </c>
      <c r="H56" s="636">
        <v>31.25</v>
      </c>
      <c r="I56" s="636">
        <v>32.85</v>
      </c>
      <c r="J56" s="617" t="str">
        <f t="shared" si="0"/>
        <v>H</v>
      </c>
    </row>
    <row r="57" spans="1:10">
      <c r="A57" s="614">
        <v>41693</v>
      </c>
      <c r="B57" s="617">
        <v>2</v>
      </c>
      <c r="C57" s="617">
        <v>23</v>
      </c>
      <c r="D57" s="636">
        <v>47.05</v>
      </c>
      <c r="E57" s="636">
        <v>50.5</v>
      </c>
      <c r="F57" s="636">
        <v>39.299999999999997</v>
      </c>
      <c r="G57" s="636">
        <v>41.3</v>
      </c>
      <c r="H57" s="636">
        <v>31.15</v>
      </c>
      <c r="I57" s="636">
        <v>31.7</v>
      </c>
      <c r="J57" s="617" t="str">
        <f t="shared" si="0"/>
        <v>H</v>
      </c>
    </row>
    <row r="58" spans="1:10">
      <c r="A58" s="614">
        <v>41694</v>
      </c>
      <c r="B58" s="617">
        <v>2</v>
      </c>
      <c r="C58" s="617">
        <v>24</v>
      </c>
      <c r="D58" s="636">
        <v>45.9</v>
      </c>
      <c r="E58" s="636">
        <v>47.15</v>
      </c>
      <c r="F58" s="636">
        <v>37.549999999999997</v>
      </c>
      <c r="G58" s="636">
        <v>38.950000000000003</v>
      </c>
      <c r="H58" s="636">
        <v>28.75</v>
      </c>
      <c r="I58" s="636">
        <v>30.75</v>
      </c>
      <c r="J58" s="617" t="str">
        <f t="shared" si="0"/>
        <v>H</v>
      </c>
    </row>
    <row r="59" spans="1:10">
      <c r="A59" s="614">
        <v>41695</v>
      </c>
      <c r="B59" s="617">
        <v>2</v>
      </c>
      <c r="C59" s="617">
        <v>25</v>
      </c>
      <c r="D59" s="636">
        <v>48.8</v>
      </c>
      <c r="E59" s="636">
        <v>49.6</v>
      </c>
      <c r="F59" s="636">
        <v>39.299999999999997</v>
      </c>
      <c r="G59" s="636">
        <v>40.700000000000003</v>
      </c>
      <c r="H59" s="636">
        <v>29.35</v>
      </c>
      <c r="I59" s="636">
        <v>31.1</v>
      </c>
      <c r="J59" s="617" t="str">
        <f t="shared" si="0"/>
        <v>H</v>
      </c>
    </row>
    <row r="60" spans="1:10">
      <c r="A60" s="614">
        <v>41696</v>
      </c>
      <c r="B60" s="617">
        <v>2</v>
      </c>
      <c r="C60" s="617">
        <v>26</v>
      </c>
      <c r="D60" s="636">
        <v>48.45</v>
      </c>
      <c r="E60" s="636">
        <v>49</v>
      </c>
      <c r="F60" s="636">
        <v>39.25</v>
      </c>
      <c r="G60" s="636">
        <v>41</v>
      </c>
      <c r="H60" s="636">
        <v>29.85</v>
      </c>
      <c r="I60" s="636">
        <v>32.700000000000003</v>
      </c>
      <c r="J60" s="617" t="str">
        <f t="shared" si="0"/>
        <v>H</v>
      </c>
    </row>
    <row r="61" spans="1:10">
      <c r="A61" s="614">
        <v>41697</v>
      </c>
      <c r="B61" s="617">
        <v>2</v>
      </c>
      <c r="C61" s="617">
        <v>27</v>
      </c>
      <c r="D61" s="636">
        <v>48.2</v>
      </c>
      <c r="E61" s="636">
        <v>51.25</v>
      </c>
      <c r="F61" s="636">
        <v>41</v>
      </c>
      <c r="G61" s="636">
        <v>42.35</v>
      </c>
      <c r="H61" s="636">
        <v>31.9</v>
      </c>
      <c r="I61" s="636">
        <v>33.15</v>
      </c>
      <c r="J61" s="617" t="str">
        <f t="shared" si="0"/>
        <v>H</v>
      </c>
    </row>
    <row r="62" spans="1:10">
      <c r="A62" s="614">
        <v>41698</v>
      </c>
      <c r="B62" s="617">
        <v>2</v>
      </c>
      <c r="C62" s="617">
        <v>28</v>
      </c>
      <c r="D62" s="636">
        <v>50.25</v>
      </c>
      <c r="E62" s="636">
        <v>51.65</v>
      </c>
      <c r="F62" s="636">
        <v>39.85</v>
      </c>
      <c r="G62" s="636">
        <v>40.85</v>
      </c>
      <c r="H62" s="636">
        <v>29</v>
      </c>
      <c r="I62" s="636">
        <v>30.15</v>
      </c>
      <c r="J62" s="617" t="str">
        <f t="shared" si="0"/>
        <v>H</v>
      </c>
    </row>
    <row r="63" spans="1:10">
      <c r="A63" s="614">
        <v>41699</v>
      </c>
      <c r="B63" s="617">
        <v>3</v>
      </c>
      <c r="C63" s="617">
        <v>1</v>
      </c>
      <c r="D63" s="636">
        <v>49</v>
      </c>
      <c r="E63" s="636">
        <v>50.9</v>
      </c>
      <c r="F63" s="636">
        <v>41.2</v>
      </c>
      <c r="G63" s="636">
        <v>42.95</v>
      </c>
      <c r="H63" s="636">
        <v>33.450000000000003</v>
      </c>
      <c r="I63" s="636">
        <v>34.6</v>
      </c>
      <c r="J63" s="617" t="str">
        <f t="shared" si="0"/>
        <v>H</v>
      </c>
    </row>
    <row r="64" spans="1:10">
      <c r="A64" s="614">
        <v>41700</v>
      </c>
      <c r="B64" s="617">
        <v>3</v>
      </c>
      <c r="C64" s="617">
        <v>2</v>
      </c>
      <c r="D64" s="636">
        <v>50.15</v>
      </c>
      <c r="E64" s="636">
        <v>52</v>
      </c>
      <c r="F64" s="636">
        <v>41.75</v>
      </c>
      <c r="G64" s="636">
        <v>43</v>
      </c>
      <c r="H64" s="636">
        <v>32.9</v>
      </c>
      <c r="I64" s="636">
        <v>34.15</v>
      </c>
      <c r="J64" s="617" t="str">
        <f t="shared" si="0"/>
        <v>H</v>
      </c>
    </row>
    <row r="65" spans="1:10">
      <c r="A65" s="614">
        <v>41701</v>
      </c>
      <c r="B65" s="617">
        <v>3</v>
      </c>
      <c r="C65" s="617">
        <v>3</v>
      </c>
      <c r="D65" s="636">
        <v>46.45</v>
      </c>
      <c r="E65" s="636">
        <v>47.05</v>
      </c>
      <c r="F65" s="636">
        <v>37.75</v>
      </c>
      <c r="G65" s="636">
        <v>38.65</v>
      </c>
      <c r="H65" s="636">
        <v>29.3</v>
      </c>
      <c r="I65" s="636">
        <v>30.4</v>
      </c>
      <c r="J65" s="617" t="str">
        <f t="shared" si="0"/>
        <v>H</v>
      </c>
    </row>
    <row r="66" spans="1:10">
      <c r="A66" s="614">
        <v>41702</v>
      </c>
      <c r="B66" s="617">
        <v>3</v>
      </c>
      <c r="C66" s="617">
        <v>4</v>
      </c>
      <c r="D66" s="636">
        <v>50.95</v>
      </c>
      <c r="E66" s="636">
        <v>52.55</v>
      </c>
      <c r="F66" s="636">
        <v>40.75</v>
      </c>
      <c r="G66" s="636">
        <v>42.7</v>
      </c>
      <c r="H66" s="636">
        <v>30.6</v>
      </c>
      <c r="I66" s="636">
        <v>32.75</v>
      </c>
      <c r="J66" s="617" t="str">
        <f t="shared" si="0"/>
        <v>H</v>
      </c>
    </row>
    <row r="67" spans="1:10">
      <c r="A67" s="614">
        <v>41703</v>
      </c>
      <c r="B67" s="617">
        <v>3</v>
      </c>
      <c r="C67" s="617">
        <v>5</v>
      </c>
      <c r="D67" s="636">
        <v>50.6</v>
      </c>
      <c r="E67" s="636">
        <v>53.4</v>
      </c>
      <c r="F67" s="636">
        <v>42.6</v>
      </c>
      <c r="G67" s="636">
        <v>44.7</v>
      </c>
      <c r="H67" s="636">
        <v>33.700000000000003</v>
      </c>
      <c r="I67" s="636">
        <v>35.85</v>
      </c>
      <c r="J67" s="617" t="str">
        <f t="shared" si="0"/>
        <v>H</v>
      </c>
    </row>
    <row r="68" spans="1:10">
      <c r="A68" s="614">
        <v>41704</v>
      </c>
      <c r="B68" s="617">
        <v>3</v>
      </c>
      <c r="C68" s="617">
        <v>6</v>
      </c>
      <c r="D68" s="636">
        <v>51.5</v>
      </c>
      <c r="E68" s="636">
        <v>54.05</v>
      </c>
      <c r="F68" s="636">
        <v>43</v>
      </c>
      <c r="G68" s="636">
        <v>44.5</v>
      </c>
      <c r="H68" s="636">
        <v>33.1</v>
      </c>
      <c r="I68" s="636">
        <v>34.85</v>
      </c>
      <c r="J68" s="617" t="str">
        <f t="shared" si="0"/>
        <v>H</v>
      </c>
    </row>
    <row r="69" spans="1:10">
      <c r="A69" s="614">
        <v>41705</v>
      </c>
      <c r="B69" s="617">
        <v>3</v>
      </c>
      <c r="C69" s="617">
        <v>7</v>
      </c>
      <c r="D69" s="636">
        <v>54.75</v>
      </c>
      <c r="E69" s="636">
        <v>55.65</v>
      </c>
      <c r="F69" s="636">
        <v>44.4</v>
      </c>
      <c r="G69" s="636">
        <v>46.05</v>
      </c>
      <c r="H69" s="636">
        <v>33.75</v>
      </c>
      <c r="I69" s="636">
        <v>36.1</v>
      </c>
      <c r="J69" s="617" t="str">
        <f t="shared" ref="J69:J132" si="1">IF(OR(B69&lt;=4,B69&gt;=11),"H","C")</f>
        <v>H</v>
      </c>
    </row>
    <row r="70" spans="1:10">
      <c r="A70" s="614">
        <v>41706</v>
      </c>
      <c r="B70" s="617">
        <v>3</v>
      </c>
      <c r="C70" s="617">
        <v>8</v>
      </c>
      <c r="D70" s="636">
        <v>51.7</v>
      </c>
      <c r="E70" s="636">
        <v>53.6</v>
      </c>
      <c r="F70" s="636">
        <v>43.2</v>
      </c>
      <c r="G70" s="636">
        <v>45.3</v>
      </c>
      <c r="H70" s="636">
        <v>34.200000000000003</v>
      </c>
      <c r="I70" s="636">
        <v>36.15</v>
      </c>
      <c r="J70" s="617" t="str">
        <f t="shared" si="1"/>
        <v>H</v>
      </c>
    </row>
    <row r="71" spans="1:10">
      <c r="A71" s="614">
        <v>41707</v>
      </c>
      <c r="B71" s="617">
        <v>3</v>
      </c>
      <c r="C71" s="617">
        <v>9</v>
      </c>
      <c r="D71" s="636">
        <v>51.9</v>
      </c>
      <c r="E71" s="636">
        <v>52.35</v>
      </c>
      <c r="F71" s="636">
        <v>41.35</v>
      </c>
      <c r="G71" s="636">
        <v>42.55</v>
      </c>
      <c r="H71" s="636">
        <v>30.5</v>
      </c>
      <c r="I71" s="636">
        <v>32.4</v>
      </c>
      <c r="J71" s="617" t="str">
        <f t="shared" si="1"/>
        <v>H</v>
      </c>
    </row>
    <row r="72" spans="1:10">
      <c r="A72" s="614">
        <v>41708</v>
      </c>
      <c r="B72" s="617">
        <v>3</v>
      </c>
      <c r="C72" s="617">
        <v>10</v>
      </c>
      <c r="D72" s="636">
        <v>47.95</v>
      </c>
      <c r="E72" s="636">
        <v>50.65</v>
      </c>
      <c r="F72" s="636">
        <v>39.049999999999997</v>
      </c>
      <c r="G72" s="636">
        <v>41.55</v>
      </c>
      <c r="H72" s="636">
        <v>29.95</v>
      </c>
      <c r="I72" s="636">
        <v>32.049999999999997</v>
      </c>
      <c r="J72" s="617" t="str">
        <f t="shared" si="1"/>
        <v>H</v>
      </c>
    </row>
    <row r="73" spans="1:10">
      <c r="A73" s="614">
        <v>41709</v>
      </c>
      <c r="B73" s="617">
        <v>3</v>
      </c>
      <c r="C73" s="617">
        <v>11</v>
      </c>
      <c r="D73" s="636">
        <v>50.4</v>
      </c>
      <c r="E73" s="636">
        <v>53.2</v>
      </c>
      <c r="F73" s="636">
        <v>40.299999999999997</v>
      </c>
      <c r="G73" s="636">
        <v>42.6</v>
      </c>
      <c r="H73" s="636">
        <v>30.15</v>
      </c>
      <c r="I73" s="636">
        <v>31.8</v>
      </c>
      <c r="J73" s="617" t="str">
        <f t="shared" si="1"/>
        <v>H</v>
      </c>
    </row>
    <row r="74" spans="1:10">
      <c r="A74" s="614">
        <v>41710</v>
      </c>
      <c r="B74" s="617">
        <v>3</v>
      </c>
      <c r="C74" s="617">
        <v>12</v>
      </c>
      <c r="D74" s="636">
        <v>52.4</v>
      </c>
      <c r="E74" s="636">
        <v>54.65</v>
      </c>
      <c r="F74" s="636">
        <v>43.1</v>
      </c>
      <c r="G74" s="636">
        <v>45.05</v>
      </c>
      <c r="H74" s="636">
        <v>33.549999999999997</v>
      </c>
      <c r="I74" s="636">
        <v>35.35</v>
      </c>
      <c r="J74" s="617" t="str">
        <f t="shared" si="1"/>
        <v>H</v>
      </c>
    </row>
    <row r="75" spans="1:10">
      <c r="A75" s="614">
        <v>41711</v>
      </c>
      <c r="B75" s="617">
        <v>3</v>
      </c>
      <c r="C75" s="617">
        <v>13</v>
      </c>
      <c r="D75" s="636">
        <v>54.4</v>
      </c>
      <c r="E75" s="636">
        <v>56.1</v>
      </c>
      <c r="F75" s="636">
        <v>45.35</v>
      </c>
      <c r="G75" s="636">
        <v>46.85</v>
      </c>
      <c r="H75" s="636">
        <v>36.25</v>
      </c>
      <c r="I75" s="636">
        <v>37.950000000000003</v>
      </c>
      <c r="J75" s="617" t="str">
        <f t="shared" si="1"/>
        <v>H</v>
      </c>
    </row>
    <row r="76" spans="1:10">
      <c r="A76" s="614">
        <v>41712</v>
      </c>
      <c r="B76" s="617">
        <v>3</v>
      </c>
      <c r="C76" s="617">
        <v>14</v>
      </c>
      <c r="D76" s="636">
        <v>52.2</v>
      </c>
      <c r="E76" s="636">
        <v>55.45</v>
      </c>
      <c r="F76" s="636">
        <v>44.05</v>
      </c>
      <c r="G76" s="636">
        <v>46.6</v>
      </c>
      <c r="H76" s="636">
        <v>35.5</v>
      </c>
      <c r="I76" s="636">
        <v>37.25</v>
      </c>
      <c r="J76" s="617" t="str">
        <f t="shared" si="1"/>
        <v>H</v>
      </c>
    </row>
    <row r="77" spans="1:10">
      <c r="A77" s="614">
        <v>41713</v>
      </c>
      <c r="B77" s="617">
        <v>3</v>
      </c>
      <c r="C77" s="617">
        <v>15</v>
      </c>
      <c r="D77" s="636">
        <v>53.9</v>
      </c>
      <c r="E77" s="636">
        <v>56.25</v>
      </c>
      <c r="F77" s="636">
        <v>45.45</v>
      </c>
      <c r="G77" s="636">
        <v>47.15</v>
      </c>
      <c r="H77" s="636">
        <v>36.6</v>
      </c>
      <c r="I77" s="636">
        <v>37.65</v>
      </c>
      <c r="J77" s="617" t="str">
        <f t="shared" si="1"/>
        <v>H</v>
      </c>
    </row>
    <row r="78" spans="1:10">
      <c r="A78" s="614">
        <v>41714</v>
      </c>
      <c r="B78" s="617">
        <v>3</v>
      </c>
      <c r="C78" s="617">
        <v>16</v>
      </c>
      <c r="D78" s="636">
        <v>52.5</v>
      </c>
      <c r="E78" s="636">
        <v>55.35</v>
      </c>
      <c r="F78" s="636">
        <v>44.15</v>
      </c>
      <c r="G78" s="636">
        <v>46.75</v>
      </c>
      <c r="H78" s="636">
        <v>35.65</v>
      </c>
      <c r="I78" s="636">
        <v>37.950000000000003</v>
      </c>
      <c r="J78" s="617" t="str">
        <f t="shared" si="1"/>
        <v>H</v>
      </c>
    </row>
    <row r="79" spans="1:10">
      <c r="A79" s="614">
        <v>41715</v>
      </c>
      <c r="B79" s="617">
        <v>3</v>
      </c>
      <c r="C79" s="617">
        <v>17</v>
      </c>
      <c r="D79" s="636">
        <v>56.75</v>
      </c>
      <c r="E79" s="636">
        <v>58.8</v>
      </c>
      <c r="F79" s="636">
        <v>47.2</v>
      </c>
      <c r="G79" s="636">
        <v>49.15</v>
      </c>
      <c r="H79" s="636">
        <v>37.35</v>
      </c>
      <c r="I79" s="636">
        <v>39.4</v>
      </c>
      <c r="J79" s="617" t="str">
        <f t="shared" si="1"/>
        <v>H</v>
      </c>
    </row>
    <row r="80" spans="1:10">
      <c r="A80" s="614">
        <v>41716</v>
      </c>
      <c r="B80" s="617">
        <v>3</v>
      </c>
      <c r="C80" s="617">
        <v>18</v>
      </c>
      <c r="D80" s="636">
        <v>58.2</v>
      </c>
      <c r="E80" s="636">
        <v>60.65</v>
      </c>
      <c r="F80" s="636">
        <v>49.6</v>
      </c>
      <c r="G80" s="636">
        <v>51.1</v>
      </c>
      <c r="H80" s="636">
        <v>39.85</v>
      </c>
      <c r="I80" s="636">
        <v>41.3</v>
      </c>
      <c r="J80" s="617" t="str">
        <f t="shared" si="1"/>
        <v>H</v>
      </c>
    </row>
    <row r="81" spans="1:10">
      <c r="A81" s="614">
        <v>41717</v>
      </c>
      <c r="B81" s="617">
        <v>3</v>
      </c>
      <c r="C81" s="617">
        <v>19</v>
      </c>
      <c r="D81" s="636">
        <v>57.25</v>
      </c>
      <c r="E81" s="636">
        <v>58</v>
      </c>
      <c r="F81" s="636">
        <v>47.25</v>
      </c>
      <c r="G81" s="636">
        <v>48.85</v>
      </c>
      <c r="H81" s="636">
        <v>37.25</v>
      </c>
      <c r="I81" s="636">
        <v>39.450000000000003</v>
      </c>
      <c r="J81" s="617" t="str">
        <f t="shared" si="1"/>
        <v>H</v>
      </c>
    </row>
    <row r="82" spans="1:10">
      <c r="A82" s="614">
        <v>41718</v>
      </c>
      <c r="B82" s="617">
        <v>3</v>
      </c>
      <c r="C82" s="617">
        <v>20</v>
      </c>
      <c r="D82" s="636">
        <v>57.95</v>
      </c>
      <c r="E82" s="636">
        <v>59.75</v>
      </c>
      <c r="F82" s="636">
        <v>48.7</v>
      </c>
      <c r="G82" s="636">
        <v>50.9</v>
      </c>
      <c r="H82" s="636">
        <v>39.35</v>
      </c>
      <c r="I82" s="636">
        <v>41.65</v>
      </c>
      <c r="J82" s="617" t="str">
        <f t="shared" si="1"/>
        <v>H</v>
      </c>
    </row>
    <row r="83" spans="1:10">
      <c r="A83" s="614">
        <v>41719</v>
      </c>
      <c r="B83" s="617">
        <v>3</v>
      </c>
      <c r="C83" s="617">
        <v>21</v>
      </c>
      <c r="D83" s="636">
        <v>57.15</v>
      </c>
      <c r="E83" s="636">
        <v>58.95</v>
      </c>
      <c r="F83" s="636">
        <v>47.8</v>
      </c>
      <c r="G83" s="636">
        <v>49.85</v>
      </c>
      <c r="H83" s="636">
        <v>37.700000000000003</v>
      </c>
      <c r="I83" s="636">
        <v>40.15</v>
      </c>
      <c r="J83" s="617" t="str">
        <f t="shared" si="1"/>
        <v>H</v>
      </c>
    </row>
    <row r="84" spans="1:10">
      <c r="A84" s="614">
        <v>41720</v>
      </c>
      <c r="B84" s="617">
        <v>3</v>
      </c>
      <c r="C84" s="617">
        <v>22</v>
      </c>
      <c r="D84" s="636">
        <v>55.35</v>
      </c>
      <c r="E84" s="636">
        <v>57.4</v>
      </c>
      <c r="F84" s="636">
        <v>45.3</v>
      </c>
      <c r="G84" s="636">
        <v>47.7</v>
      </c>
      <c r="H84" s="636">
        <v>35.200000000000003</v>
      </c>
      <c r="I84" s="636">
        <v>37.65</v>
      </c>
      <c r="J84" s="617" t="str">
        <f t="shared" si="1"/>
        <v>H</v>
      </c>
    </row>
    <row r="85" spans="1:10">
      <c r="A85" s="614">
        <v>41721</v>
      </c>
      <c r="B85" s="617">
        <v>3</v>
      </c>
      <c r="C85" s="617">
        <v>23</v>
      </c>
      <c r="D85" s="636">
        <v>57.65</v>
      </c>
      <c r="E85" s="636">
        <v>59.2</v>
      </c>
      <c r="F85" s="636">
        <v>47.3</v>
      </c>
      <c r="G85" s="636">
        <v>49.2</v>
      </c>
      <c r="H85" s="636">
        <v>36.549999999999997</v>
      </c>
      <c r="I85" s="636">
        <v>39</v>
      </c>
      <c r="J85" s="617" t="str">
        <f t="shared" si="1"/>
        <v>H</v>
      </c>
    </row>
    <row r="86" spans="1:10">
      <c r="A86" s="614">
        <v>41722</v>
      </c>
      <c r="B86" s="617">
        <v>3</v>
      </c>
      <c r="C86" s="617">
        <v>24</v>
      </c>
      <c r="D86" s="636">
        <v>59.15</v>
      </c>
      <c r="E86" s="636">
        <v>60.95</v>
      </c>
      <c r="F86" s="636">
        <v>49.1</v>
      </c>
      <c r="G86" s="636">
        <v>50.8</v>
      </c>
      <c r="H86" s="636">
        <v>38.700000000000003</v>
      </c>
      <c r="I86" s="636">
        <v>40.4</v>
      </c>
      <c r="J86" s="617" t="str">
        <f t="shared" si="1"/>
        <v>H</v>
      </c>
    </row>
    <row r="87" spans="1:10">
      <c r="A87" s="614">
        <v>41723</v>
      </c>
      <c r="B87" s="617">
        <v>3</v>
      </c>
      <c r="C87" s="617">
        <v>25</v>
      </c>
      <c r="D87" s="636">
        <v>59.15</v>
      </c>
      <c r="E87" s="636">
        <v>60.7</v>
      </c>
      <c r="F87" s="636">
        <v>49.4</v>
      </c>
      <c r="G87" s="636">
        <v>50.5</v>
      </c>
      <c r="H87" s="636">
        <v>39.35</v>
      </c>
      <c r="I87" s="636">
        <v>40.15</v>
      </c>
      <c r="J87" s="617" t="str">
        <f t="shared" si="1"/>
        <v>H</v>
      </c>
    </row>
    <row r="88" spans="1:10">
      <c r="A88" s="614">
        <v>41724</v>
      </c>
      <c r="B88" s="617">
        <v>3</v>
      </c>
      <c r="C88" s="617">
        <v>26</v>
      </c>
      <c r="D88" s="636">
        <v>56.7</v>
      </c>
      <c r="E88" s="636">
        <v>58.1</v>
      </c>
      <c r="F88" s="636">
        <v>47.7</v>
      </c>
      <c r="G88" s="636">
        <v>49.6</v>
      </c>
      <c r="H88" s="636">
        <v>38.75</v>
      </c>
      <c r="I88" s="636">
        <v>41.2</v>
      </c>
      <c r="J88" s="617" t="str">
        <f t="shared" si="1"/>
        <v>H</v>
      </c>
    </row>
    <row r="89" spans="1:10">
      <c r="A89" s="614">
        <v>41725</v>
      </c>
      <c r="B89" s="617">
        <v>3</v>
      </c>
      <c r="C89" s="617">
        <v>27</v>
      </c>
      <c r="D89" s="636">
        <v>58.2</v>
      </c>
      <c r="E89" s="636">
        <v>60.85</v>
      </c>
      <c r="F89" s="636">
        <v>48.75</v>
      </c>
      <c r="G89" s="636">
        <v>50.7</v>
      </c>
      <c r="H89" s="636">
        <v>38.950000000000003</v>
      </c>
      <c r="I89" s="636">
        <v>40.75</v>
      </c>
      <c r="J89" s="617" t="str">
        <f t="shared" si="1"/>
        <v>H</v>
      </c>
    </row>
    <row r="90" spans="1:10">
      <c r="A90" s="614">
        <v>41726</v>
      </c>
      <c r="B90" s="617">
        <v>3</v>
      </c>
      <c r="C90" s="617">
        <v>28</v>
      </c>
      <c r="D90" s="636">
        <v>60.45</v>
      </c>
      <c r="E90" s="636">
        <v>62.7</v>
      </c>
      <c r="F90" s="636">
        <v>51.55</v>
      </c>
      <c r="G90" s="636">
        <v>53.5</v>
      </c>
      <c r="H90" s="636">
        <v>41.95</v>
      </c>
      <c r="I90" s="636">
        <v>44</v>
      </c>
      <c r="J90" s="617" t="str">
        <f t="shared" si="1"/>
        <v>H</v>
      </c>
    </row>
    <row r="91" spans="1:10">
      <c r="A91" s="614">
        <v>41727</v>
      </c>
      <c r="B91" s="617">
        <v>3</v>
      </c>
      <c r="C91" s="617">
        <v>29</v>
      </c>
      <c r="D91" s="636">
        <v>57.6</v>
      </c>
      <c r="E91" s="636">
        <v>59.7</v>
      </c>
      <c r="F91" s="636">
        <v>49.45</v>
      </c>
      <c r="G91" s="636">
        <v>51.25</v>
      </c>
      <c r="H91" s="636">
        <v>41.05</v>
      </c>
      <c r="I91" s="636">
        <v>42.6</v>
      </c>
      <c r="J91" s="617" t="str">
        <f t="shared" si="1"/>
        <v>H</v>
      </c>
    </row>
    <row r="92" spans="1:10">
      <c r="A92" s="614">
        <v>41728</v>
      </c>
      <c r="B92" s="617">
        <v>3</v>
      </c>
      <c r="C92" s="617">
        <v>30</v>
      </c>
      <c r="D92" s="636">
        <v>61.1</v>
      </c>
      <c r="E92" s="636">
        <v>62.25</v>
      </c>
      <c r="F92" s="636">
        <v>50.9</v>
      </c>
      <c r="G92" s="636">
        <v>52.05</v>
      </c>
      <c r="H92" s="636">
        <v>40.65</v>
      </c>
      <c r="I92" s="636">
        <v>41.7</v>
      </c>
      <c r="J92" s="617" t="str">
        <f t="shared" si="1"/>
        <v>H</v>
      </c>
    </row>
    <row r="93" spans="1:10">
      <c r="A93" s="614">
        <v>41729</v>
      </c>
      <c r="B93" s="617">
        <v>3</v>
      </c>
      <c r="C93" s="617">
        <v>31</v>
      </c>
      <c r="D93" s="636">
        <v>59.2</v>
      </c>
      <c r="E93" s="636">
        <v>61.65</v>
      </c>
      <c r="F93" s="636">
        <v>51.25</v>
      </c>
      <c r="G93" s="636">
        <v>53.1</v>
      </c>
      <c r="H93" s="636">
        <v>43.05</v>
      </c>
      <c r="I93" s="636">
        <v>44.25</v>
      </c>
      <c r="J93" s="617" t="str">
        <f t="shared" si="1"/>
        <v>H</v>
      </c>
    </row>
    <row r="94" spans="1:10">
      <c r="A94" s="614">
        <v>41730</v>
      </c>
      <c r="B94" s="617">
        <v>4</v>
      </c>
      <c r="C94" s="617">
        <v>1</v>
      </c>
      <c r="D94" s="636">
        <v>59.45</v>
      </c>
      <c r="E94" s="636">
        <v>61.95</v>
      </c>
      <c r="F94" s="636">
        <v>49.85</v>
      </c>
      <c r="G94" s="636">
        <v>51.9</v>
      </c>
      <c r="H94" s="636">
        <v>39.85</v>
      </c>
      <c r="I94" s="636">
        <v>41.55</v>
      </c>
      <c r="J94" s="617" t="str">
        <f t="shared" si="1"/>
        <v>H</v>
      </c>
    </row>
    <row r="95" spans="1:10">
      <c r="A95" s="614">
        <v>41731</v>
      </c>
      <c r="B95" s="617">
        <v>4</v>
      </c>
      <c r="C95" s="617">
        <v>2</v>
      </c>
      <c r="D95" s="636">
        <v>62.3</v>
      </c>
      <c r="E95" s="636">
        <v>65.5</v>
      </c>
      <c r="F95" s="636">
        <v>51.9</v>
      </c>
      <c r="G95" s="636">
        <v>54.55</v>
      </c>
      <c r="H95" s="636">
        <v>41.15</v>
      </c>
      <c r="I95" s="636">
        <v>43.2</v>
      </c>
      <c r="J95" s="617" t="str">
        <f t="shared" si="1"/>
        <v>H</v>
      </c>
    </row>
    <row r="96" spans="1:10">
      <c r="A96" s="614">
        <v>41732</v>
      </c>
      <c r="B96" s="617">
        <v>4</v>
      </c>
      <c r="C96" s="617">
        <v>3</v>
      </c>
      <c r="D96" s="636">
        <v>64.3</v>
      </c>
      <c r="E96" s="636">
        <v>66.150000000000006</v>
      </c>
      <c r="F96" s="636">
        <v>53.5</v>
      </c>
      <c r="G96" s="636">
        <v>55.1</v>
      </c>
      <c r="H96" s="636">
        <v>42.3</v>
      </c>
      <c r="I96" s="636">
        <v>43.75</v>
      </c>
      <c r="J96" s="617" t="str">
        <f t="shared" si="1"/>
        <v>H</v>
      </c>
    </row>
    <row r="97" spans="1:10">
      <c r="A97" s="614">
        <v>41733</v>
      </c>
      <c r="B97" s="617">
        <v>4</v>
      </c>
      <c r="C97" s="617">
        <v>4</v>
      </c>
      <c r="D97" s="636">
        <v>61.85</v>
      </c>
      <c r="E97" s="636">
        <v>64.2</v>
      </c>
      <c r="F97" s="636">
        <v>51.5</v>
      </c>
      <c r="G97" s="636">
        <v>53.3</v>
      </c>
      <c r="H97" s="636">
        <v>40.549999999999997</v>
      </c>
      <c r="I97" s="636">
        <v>41.9</v>
      </c>
      <c r="J97" s="617" t="str">
        <f t="shared" si="1"/>
        <v>H</v>
      </c>
    </row>
    <row r="98" spans="1:10">
      <c r="A98" s="614">
        <v>41734</v>
      </c>
      <c r="B98" s="617">
        <v>4</v>
      </c>
      <c r="C98" s="617">
        <v>5</v>
      </c>
      <c r="D98" s="636">
        <v>59.8</v>
      </c>
      <c r="E98" s="636">
        <v>61.85</v>
      </c>
      <c r="F98" s="636">
        <v>49.8</v>
      </c>
      <c r="G98" s="636">
        <v>51.5</v>
      </c>
      <c r="H98" s="636">
        <v>39.65</v>
      </c>
      <c r="I98" s="636">
        <v>41.3</v>
      </c>
      <c r="J98" s="617" t="str">
        <f t="shared" si="1"/>
        <v>H</v>
      </c>
    </row>
    <row r="99" spans="1:10">
      <c r="A99" s="614">
        <v>41735</v>
      </c>
      <c r="B99" s="617">
        <v>4</v>
      </c>
      <c r="C99" s="617">
        <v>6</v>
      </c>
      <c r="D99" s="636">
        <v>61.65</v>
      </c>
      <c r="E99" s="636">
        <v>63.45</v>
      </c>
      <c r="F99" s="636">
        <v>51.15</v>
      </c>
      <c r="G99" s="636">
        <v>52.95</v>
      </c>
      <c r="H99" s="636">
        <v>40.35</v>
      </c>
      <c r="I99" s="636">
        <v>41.6</v>
      </c>
      <c r="J99" s="617" t="str">
        <f t="shared" si="1"/>
        <v>H</v>
      </c>
    </row>
    <row r="100" spans="1:10">
      <c r="A100" s="614">
        <v>41736</v>
      </c>
      <c r="B100" s="617">
        <v>4</v>
      </c>
      <c r="C100" s="617">
        <v>7</v>
      </c>
      <c r="D100" s="636">
        <v>64.45</v>
      </c>
      <c r="E100" s="636">
        <v>67.099999999999994</v>
      </c>
      <c r="F100" s="636">
        <v>53.5</v>
      </c>
      <c r="G100" s="636">
        <v>55.8</v>
      </c>
      <c r="H100" s="636">
        <v>42.95</v>
      </c>
      <c r="I100" s="636">
        <v>44.65</v>
      </c>
      <c r="J100" s="617" t="str">
        <f t="shared" si="1"/>
        <v>H</v>
      </c>
    </row>
    <row r="101" spans="1:10">
      <c r="A101" s="614">
        <v>41737</v>
      </c>
      <c r="B101" s="617">
        <v>4</v>
      </c>
      <c r="C101" s="617">
        <v>8</v>
      </c>
      <c r="D101" s="636">
        <v>66.05</v>
      </c>
      <c r="E101" s="636">
        <v>67.3</v>
      </c>
      <c r="F101" s="636">
        <v>56</v>
      </c>
      <c r="G101" s="636">
        <v>58.15</v>
      </c>
      <c r="H101" s="636">
        <v>45.75</v>
      </c>
      <c r="I101" s="636">
        <v>48.8</v>
      </c>
      <c r="J101" s="617" t="str">
        <f t="shared" si="1"/>
        <v>H</v>
      </c>
    </row>
    <row r="102" spans="1:10">
      <c r="A102" s="614">
        <v>41738</v>
      </c>
      <c r="B102" s="617">
        <v>4</v>
      </c>
      <c r="C102" s="617">
        <v>9</v>
      </c>
      <c r="D102" s="636">
        <v>62.9</v>
      </c>
      <c r="E102" s="636">
        <v>64.8</v>
      </c>
      <c r="F102" s="636">
        <v>52.7</v>
      </c>
      <c r="G102" s="636">
        <v>54.95</v>
      </c>
      <c r="H102" s="636">
        <v>42.25</v>
      </c>
      <c r="I102" s="636">
        <v>44.85</v>
      </c>
      <c r="J102" s="617" t="str">
        <f t="shared" si="1"/>
        <v>H</v>
      </c>
    </row>
    <row r="103" spans="1:10">
      <c r="A103" s="614">
        <v>41739</v>
      </c>
      <c r="B103" s="617">
        <v>4</v>
      </c>
      <c r="C103" s="617">
        <v>10</v>
      </c>
      <c r="D103" s="636">
        <v>66.25</v>
      </c>
      <c r="E103" s="636">
        <v>68.95</v>
      </c>
      <c r="F103" s="636">
        <v>54.95</v>
      </c>
      <c r="G103" s="636">
        <v>57</v>
      </c>
      <c r="H103" s="636">
        <v>43.55</v>
      </c>
      <c r="I103" s="636">
        <v>45.1</v>
      </c>
      <c r="J103" s="617" t="str">
        <f t="shared" si="1"/>
        <v>H</v>
      </c>
    </row>
    <row r="104" spans="1:10">
      <c r="A104" s="614">
        <v>41740</v>
      </c>
      <c r="B104" s="617">
        <v>4</v>
      </c>
      <c r="C104" s="617">
        <v>11</v>
      </c>
      <c r="D104" s="636">
        <v>70.05</v>
      </c>
      <c r="E104" s="636">
        <v>71.900000000000006</v>
      </c>
      <c r="F104" s="636">
        <v>58.75</v>
      </c>
      <c r="G104" s="636">
        <v>60.25</v>
      </c>
      <c r="H104" s="636">
        <v>47.4</v>
      </c>
      <c r="I104" s="636">
        <v>48.3</v>
      </c>
      <c r="J104" s="617" t="str">
        <f t="shared" si="1"/>
        <v>H</v>
      </c>
    </row>
    <row r="105" spans="1:10">
      <c r="A105" s="614">
        <v>41741</v>
      </c>
      <c r="B105" s="617">
        <v>4</v>
      </c>
      <c r="C105" s="617">
        <v>12</v>
      </c>
      <c r="D105" s="636">
        <v>65.849999999999994</v>
      </c>
      <c r="E105" s="636">
        <v>66.3</v>
      </c>
      <c r="F105" s="636">
        <v>56</v>
      </c>
      <c r="G105" s="636">
        <v>57</v>
      </c>
      <c r="H105" s="636">
        <v>46.15</v>
      </c>
      <c r="I105" s="636">
        <v>47.5</v>
      </c>
      <c r="J105" s="617" t="str">
        <f t="shared" si="1"/>
        <v>H</v>
      </c>
    </row>
    <row r="106" spans="1:10">
      <c r="A106" s="614">
        <v>41742</v>
      </c>
      <c r="B106" s="617">
        <v>4</v>
      </c>
      <c r="C106" s="617">
        <v>13</v>
      </c>
      <c r="D106" s="636">
        <v>61.75</v>
      </c>
      <c r="E106" s="636">
        <v>64.5</v>
      </c>
      <c r="F106" s="636">
        <v>52.85</v>
      </c>
      <c r="G106" s="636">
        <v>55</v>
      </c>
      <c r="H106" s="636">
        <v>43.6</v>
      </c>
      <c r="I106" s="636">
        <v>45.2</v>
      </c>
      <c r="J106" s="617" t="str">
        <f t="shared" si="1"/>
        <v>H</v>
      </c>
    </row>
    <row r="107" spans="1:10">
      <c r="A107" s="614">
        <v>41743</v>
      </c>
      <c r="B107" s="617">
        <v>4</v>
      </c>
      <c r="C107" s="617">
        <v>14</v>
      </c>
      <c r="D107" s="636">
        <v>66.55</v>
      </c>
      <c r="E107" s="636">
        <v>68.650000000000006</v>
      </c>
      <c r="F107" s="636">
        <v>55.85</v>
      </c>
      <c r="G107" s="636">
        <v>57.15</v>
      </c>
      <c r="H107" s="636">
        <v>44.7</v>
      </c>
      <c r="I107" s="636">
        <v>45.45</v>
      </c>
      <c r="J107" s="617" t="str">
        <f t="shared" si="1"/>
        <v>H</v>
      </c>
    </row>
    <row r="108" spans="1:10">
      <c r="A108" s="614">
        <v>41744</v>
      </c>
      <c r="B108" s="617">
        <v>4</v>
      </c>
      <c r="C108" s="617">
        <v>15</v>
      </c>
      <c r="D108" s="636">
        <v>68.900000000000006</v>
      </c>
      <c r="E108" s="636">
        <v>70.8</v>
      </c>
      <c r="F108" s="636">
        <v>58.3</v>
      </c>
      <c r="G108" s="636">
        <v>60.05</v>
      </c>
      <c r="H108" s="636">
        <v>47.6</v>
      </c>
      <c r="I108" s="636">
        <v>48.8</v>
      </c>
      <c r="J108" s="617" t="str">
        <f t="shared" si="1"/>
        <v>H</v>
      </c>
    </row>
    <row r="109" spans="1:10">
      <c r="A109" s="614">
        <v>41745</v>
      </c>
      <c r="B109" s="617">
        <v>4</v>
      </c>
      <c r="C109" s="617">
        <v>16</v>
      </c>
      <c r="D109" s="636">
        <v>67.599999999999994</v>
      </c>
      <c r="E109" s="636">
        <v>68.900000000000006</v>
      </c>
      <c r="F109" s="636">
        <v>58</v>
      </c>
      <c r="G109" s="636">
        <v>59.35</v>
      </c>
      <c r="H109" s="636">
        <v>48.3</v>
      </c>
      <c r="I109" s="636">
        <v>49.45</v>
      </c>
      <c r="J109" s="617" t="str">
        <f t="shared" si="1"/>
        <v>H</v>
      </c>
    </row>
    <row r="110" spans="1:10">
      <c r="A110" s="614">
        <v>41746</v>
      </c>
      <c r="B110" s="617">
        <v>4</v>
      </c>
      <c r="C110" s="617">
        <v>17</v>
      </c>
      <c r="D110" s="636">
        <v>64.25</v>
      </c>
      <c r="E110" s="636">
        <v>67.8</v>
      </c>
      <c r="F110" s="636">
        <v>54.5</v>
      </c>
      <c r="G110" s="636">
        <v>57.4</v>
      </c>
      <c r="H110" s="636">
        <v>44.75</v>
      </c>
      <c r="I110" s="636">
        <v>46.9</v>
      </c>
      <c r="J110" s="617" t="str">
        <f t="shared" si="1"/>
        <v>H</v>
      </c>
    </row>
    <row r="111" spans="1:10">
      <c r="A111" s="614">
        <v>41747</v>
      </c>
      <c r="B111" s="617">
        <v>4</v>
      </c>
      <c r="C111" s="617">
        <v>18</v>
      </c>
      <c r="D111" s="636">
        <v>69.7</v>
      </c>
      <c r="E111" s="636">
        <v>72.25</v>
      </c>
      <c r="F111" s="636">
        <v>58.05</v>
      </c>
      <c r="G111" s="636">
        <v>60.35</v>
      </c>
      <c r="H111" s="636">
        <v>46.4</v>
      </c>
      <c r="I111" s="636">
        <v>48.6</v>
      </c>
      <c r="J111" s="617" t="str">
        <f t="shared" si="1"/>
        <v>H</v>
      </c>
    </row>
    <row r="112" spans="1:10">
      <c r="A112" s="614">
        <v>41748</v>
      </c>
      <c r="B112" s="617">
        <v>4</v>
      </c>
      <c r="C112" s="617">
        <v>19</v>
      </c>
      <c r="D112" s="636">
        <v>69.3</v>
      </c>
      <c r="E112" s="636">
        <v>71.2</v>
      </c>
      <c r="F112" s="636">
        <v>60.2</v>
      </c>
      <c r="G112" s="636">
        <v>62.05</v>
      </c>
      <c r="H112" s="636">
        <v>51.1</v>
      </c>
      <c r="I112" s="636">
        <v>52.65</v>
      </c>
      <c r="J112" s="617" t="str">
        <f t="shared" si="1"/>
        <v>H</v>
      </c>
    </row>
    <row r="113" spans="1:10">
      <c r="A113" s="614">
        <v>41749</v>
      </c>
      <c r="B113" s="617">
        <v>4</v>
      </c>
      <c r="C113" s="617">
        <v>20</v>
      </c>
      <c r="D113" s="636">
        <v>68.900000000000006</v>
      </c>
      <c r="E113" s="636">
        <v>71.05</v>
      </c>
      <c r="F113" s="636">
        <v>59.3</v>
      </c>
      <c r="G113" s="636">
        <v>60.6</v>
      </c>
      <c r="H113" s="636">
        <v>49.3</v>
      </c>
      <c r="I113" s="636">
        <v>50.4</v>
      </c>
      <c r="J113" s="617" t="str">
        <f t="shared" si="1"/>
        <v>H</v>
      </c>
    </row>
    <row r="114" spans="1:10">
      <c r="A114" s="614">
        <v>41750</v>
      </c>
      <c r="B114" s="617">
        <v>4</v>
      </c>
      <c r="C114" s="617">
        <v>21</v>
      </c>
      <c r="D114" s="636">
        <v>66.05</v>
      </c>
      <c r="E114" s="636">
        <v>67.75</v>
      </c>
      <c r="F114" s="636">
        <v>57.75</v>
      </c>
      <c r="G114" s="636">
        <v>59.25</v>
      </c>
      <c r="H114" s="636">
        <v>49.35</v>
      </c>
      <c r="I114" s="636">
        <v>50.85</v>
      </c>
      <c r="J114" s="617" t="str">
        <f t="shared" si="1"/>
        <v>H</v>
      </c>
    </row>
    <row r="115" spans="1:10">
      <c r="A115" s="614">
        <v>41751</v>
      </c>
      <c r="B115" s="617">
        <v>4</v>
      </c>
      <c r="C115" s="617">
        <v>22</v>
      </c>
      <c r="D115" s="636">
        <v>66.7</v>
      </c>
      <c r="E115" s="636">
        <v>69.150000000000006</v>
      </c>
      <c r="F115" s="636">
        <v>56.75</v>
      </c>
      <c r="G115" s="636">
        <v>59.45</v>
      </c>
      <c r="H115" s="636">
        <v>46.6</v>
      </c>
      <c r="I115" s="636">
        <v>49.75</v>
      </c>
      <c r="J115" s="617" t="str">
        <f t="shared" si="1"/>
        <v>H</v>
      </c>
    </row>
    <row r="116" spans="1:10">
      <c r="A116" s="614">
        <v>41752</v>
      </c>
      <c r="B116" s="617">
        <v>4</v>
      </c>
      <c r="C116" s="617">
        <v>23</v>
      </c>
      <c r="D116" s="636">
        <v>67.3</v>
      </c>
      <c r="E116" s="636">
        <v>69.05</v>
      </c>
      <c r="F116" s="636">
        <v>56.55</v>
      </c>
      <c r="G116" s="636">
        <v>58.7</v>
      </c>
      <c r="H116" s="636">
        <v>45.85</v>
      </c>
      <c r="I116" s="636">
        <v>48.05</v>
      </c>
      <c r="J116" s="617" t="str">
        <f t="shared" si="1"/>
        <v>H</v>
      </c>
    </row>
    <row r="117" spans="1:10">
      <c r="A117" s="614">
        <v>41753</v>
      </c>
      <c r="B117" s="617">
        <v>4</v>
      </c>
      <c r="C117" s="617">
        <v>24</v>
      </c>
      <c r="D117" s="636">
        <v>68.8</v>
      </c>
      <c r="E117" s="636">
        <v>70.3</v>
      </c>
      <c r="F117" s="636">
        <v>58.25</v>
      </c>
      <c r="G117" s="636">
        <v>59.8</v>
      </c>
      <c r="H117" s="636">
        <v>47.6</v>
      </c>
      <c r="I117" s="636">
        <v>49.4</v>
      </c>
      <c r="J117" s="617" t="str">
        <f t="shared" si="1"/>
        <v>H</v>
      </c>
    </row>
    <row r="118" spans="1:10">
      <c r="A118" s="614">
        <v>41754</v>
      </c>
      <c r="B118" s="617">
        <v>4</v>
      </c>
      <c r="C118" s="617">
        <v>25</v>
      </c>
      <c r="D118" s="636">
        <v>70.05</v>
      </c>
      <c r="E118" s="636">
        <v>71.150000000000006</v>
      </c>
      <c r="F118" s="636">
        <v>60.25</v>
      </c>
      <c r="G118" s="636">
        <v>62.2</v>
      </c>
      <c r="H118" s="636">
        <v>50.5</v>
      </c>
      <c r="I118" s="636">
        <v>52.95</v>
      </c>
      <c r="J118" s="617" t="str">
        <f t="shared" si="1"/>
        <v>H</v>
      </c>
    </row>
    <row r="119" spans="1:10">
      <c r="A119" s="614">
        <v>41755</v>
      </c>
      <c r="B119" s="617">
        <v>4</v>
      </c>
      <c r="C119" s="617">
        <v>26</v>
      </c>
      <c r="D119" s="636">
        <v>66.95</v>
      </c>
      <c r="E119" s="636">
        <v>68.900000000000006</v>
      </c>
      <c r="F119" s="636">
        <v>57.5</v>
      </c>
      <c r="G119" s="636">
        <v>59.4</v>
      </c>
      <c r="H119" s="636">
        <v>48.45</v>
      </c>
      <c r="I119" s="636">
        <v>49.8</v>
      </c>
      <c r="J119" s="617" t="str">
        <f t="shared" si="1"/>
        <v>H</v>
      </c>
    </row>
    <row r="120" spans="1:10">
      <c r="A120" s="614">
        <v>41756</v>
      </c>
      <c r="B120" s="617">
        <v>4</v>
      </c>
      <c r="C120" s="617">
        <v>27</v>
      </c>
      <c r="D120" s="636">
        <v>64.349999999999994</v>
      </c>
      <c r="E120" s="636">
        <v>66.5</v>
      </c>
      <c r="F120" s="636">
        <v>55.4</v>
      </c>
      <c r="G120" s="636">
        <v>57.2</v>
      </c>
      <c r="H120" s="636">
        <v>46.15</v>
      </c>
      <c r="I120" s="636">
        <v>47.7</v>
      </c>
      <c r="J120" s="617" t="str">
        <f t="shared" si="1"/>
        <v>H</v>
      </c>
    </row>
    <row r="121" spans="1:10">
      <c r="A121" s="614">
        <v>41757</v>
      </c>
      <c r="B121" s="617">
        <v>4</v>
      </c>
      <c r="C121" s="617">
        <v>28</v>
      </c>
      <c r="D121" s="636">
        <v>67.849999999999994</v>
      </c>
      <c r="E121" s="636">
        <v>70.150000000000006</v>
      </c>
      <c r="F121" s="636">
        <v>56.4</v>
      </c>
      <c r="G121" s="636">
        <v>58.55</v>
      </c>
      <c r="H121" s="636">
        <v>45</v>
      </c>
      <c r="I121" s="636">
        <v>47.1</v>
      </c>
      <c r="J121" s="617" t="str">
        <f t="shared" si="1"/>
        <v>H</v>
      </c>
    </row>
    <row r="122" spans="1:10">
      <c r="A122" s="614">
        <v>41758</v>
      </c>
      <c r="B122" s="617">
        <v>4</v>
      </c>
      <c r="C122" s="617">
        <v>29</v>
      </c>
      <c r="D122" s="636">
        <v>68.099999999999994</v>
      </c>
      <c r="E122" s="636">
        <v>70.55</v>
      </c>
      <c r="F122" s="636">
        <v>58.1</v>
      </c>
      <c r="G122" s="636">
        <v>59.95</v>
      </c>
      <c r="H122" s="636">
        <v>48.05</v>
      </c>
      <c r="I122" s="636">
        <v>49.85</v>
      </c>
      <c r="J122" s="617" t="str">
        <f t="shared" si="1"/>
        <v>H</v>
      </c>
    </row>
    <row r="123" spans="1:10">
      <c r="A123" s="614">
        <v>41759</v>
      </c>
      <c r="B123" s="617">
        <v>4</v>
      </c>
      <c r="C123" s="617">
        <v>30</v>
      </c>
      <c r="D123" s="636">
        <v>71.8</v>
      </c>
      <c r="E123" s="636">
        <v>73.95</v>
      </c>
      <c r="F123" s="636">
        <v>61.35</v>
      </c>
      <c r="G123" s="636">
        <v>62.95</v>
      </c>
      <c r="H123" s="636">
        <v>50.9</v>
      </c>
      <c r="I123" s="636">
        <v>52.1</v>
      </c>
      <c r="J123" s="617" t="str">
        <f t="shared" si="1"/>
        <v>H</v>
      </c>
    </row>
    <row r="124" spans="1:10">
      <c r="A124" s="614">
        <v>41760</v>
      </c>
      <c r="B124" s="617">
        <v>5</v>
      </c>
      <c r="C124" s="617">
        <v>1</v>
      </c>
      <c r="D124" s="636">
        <v>71.5</v>
      </c>
      <c r="E124" s="636">
        <v>72.400000000000006</v>
      </c>
      <c r="F124" s="636">
        <v>62.45</v>
      </c>
      <c r="G124" s="636">
        <v>62.95</v>
      </c>
      <c r="H124" s="636">
        <v>52.2</v>
      </c>
      <c r="I124" s="636">
        <v>53.3</v>
      </c>
      <c r="J124" s="617" t="str">
        <f t="shared" si="1"/>
        <v>C</v>
      </c>
    </row>
    <row r="125" spans="1:10">
      <c r="A125" s="614">
        <v>41761</v>
      </c>
      <c r="B125" s="617">
        <v>5</v>
      </c>
      <c r="C125" s="617">
        <v>2</v>
      </c>
      <c r="D125" s="636">
        <v>70.8</v>
      </c>
      <c r="E125" s="636">
        <v>71.75</v>
      </c>
      <c r="F125" s="636">
        <v>61.35</v>
      </c>
      <c r="G125" s="636">
        <v>62.4</v>
      </c>
      <c r="H125" s="636">
        <v>51.7</v>
      </c>
      <c r="I125" s="636">
        <v>53.2</v>
      </c>
      <c r="J125" s="617" t="str">
        <f t="shared" si="1"/>
        <v>C</v>
      </c>
    </row>
    <row r="126" spans="1:10">
      <c r="A126" s="614">
        <v>41762</v>
      </c>
      <c r="B126" s="617">
        <v>5</v>
      </c>
      <c r="C126" s="617">
        <v>3</v>
      </c>
      <c r="D126" s="636">
        <v>66.650000000000006</v>
      </c>
      <c r="E126" s="636">
        <v>69</v>
      </c>
      <c r="F126" s="636">
        <v>57.85</v>
      </c>
      <c r="G126" s="636">
        <v>60</v>
      </c>
      <c r="H126" s="636">
        <v>49.3</v>
      </c>
      <c r="I126" s="636">
        <v>51.05</v>
      </c>
      <c r="J126" s="617" t="str">
        <f t="shared" si="1"/>
        <v>C</v>
      </c>
    </row>
    <row r="127" spans="1:10">
      <c r="A127" s="614">
        <v>41763</v>
      </c>
      <c r="B127" s="617">
        <v>5</v>
      </c>
      <c r="C127" s="617">
        <v>4</v>
      </c>
      <c r="D127" s="636">
        <v>68.099999999999994</v>
      </c>
      <c r="E127" s="636">
        <v>70.05</v>
      </c>
      <c r="F127" s="636">
        <v>58.65</v>
      </c>
      <c r="G127" s="636">
        <v>60.5</v>
      </c>
      <c r="H127" s="636">
        <v>49.4</v>
      </c>
      <c r="I127" s="636">
        <v>51.3</v>
      </c>
      <c r="J127" s="617" t="str">
        <f t="shared" si="1"/>
        <v>C</v>
      </c>
    </row>
    <row r="128" spans="1:10">
      <c r="A128" s="614">
        <v>41764</v>
      </c>
      <c r="B128" s="617">
        <v>5</v>
      </c>
      <c r="C128" s="617">
        <v>5</v>
      </c>
      <c r="D128" s="636">
        <v>72.099999999999994</v>
      </c>
      <c r="E128" s="636">
        <v>75.5</v>
      </c>
      <c r="F128" s="636">
        <v>61.45</v>
      </c>
      <c r="G128" s="636">
        <v>64.099999999999994</v>
      </c>
      <c r="H128" s="636">
        <v>50.95</v>
      </c>
      <c r="I128" s="636">
        <v>52.9</v>
      </c>
      <c r="J128" s="617" t="str">
        <f t="shared" si="1"/>
        <v>C</v>
      </c>
    </row>
    <row r="129" spans="1:10">
      <c r="A129" s="614">
        <v>41765</v>
      </c>
      <c r="B129" s="617">
        <v>5</v>
      </c>
      <c r="C129" s="617">
        <v>6</v>
      </c>
      <c r="D129" s="636">
        <v>71.5</v>
      </c>
      <c r="E129" s="636">
        <v>73.3</v>
      </c>
      <c r="F129" s="636">
        <v>62.1</v>
      </c>
      <c r="G129" s="636">
        <v>64.25</v>
      </c>
      <c r="H129" s="636">
        <v>53.05</v>
      </c>
      <c r="I129" s="636">
        <v>55.2</v>
      </c>
      <c r="J129" s="617" t="str">
        <f t="shared" si="1"/>
        <v>C</v>
      </c>
    </row>
    <row r="130" spans="1:10">
      <c r="A130" s="614">
        <v>41766</v>
      </c>
      <c r="B130" s="617">
        <v>5</v>
      </c>
      <c r="C130" s="617">
        <v>7</v>
      </c>
      <c r="D130" s="636">
        <v>73.2</v>
      </c>
      <c r="E130" s="636">
        <v>76</v>
      </c>
      <c r="F130" s="636">
        <v>63.75</v>
      </c>
      <c r="G130" s="636">
        <v>65.75</v>
      </c>
      <c r="H130" s="636">
        <v>54.2</v>
      </c>
      <c r="I130" s="636">
        <v>55.7</v>
      </c>
      <c r="J130" s="617" t="str">
        <f t="shared" si="1"/>
        <v>C</v>
      </c>
    </row>
    <row r="131" spans="1:10">
      <c r="A131" s="614">
        <v>41767</v>
      </c>
      <c r="B131" s="617">
        <v>5</v>
      </c>
      <c r="C131" s="617">
        <v>8</v>
      </c>
      <c r="D131" s="636">
        <v>72.599999999999994</v>
      </c>
      <c r="E131" s="636">
        <v>74.25</v>
      </c>
      <c r="F131" s="636">
        <v>63.6</v>
      </c>
      <c r="G131" s="636">
        <v>65.45</v>
      </c>
      <c r="H131" s="636">
        <v>54.55</v>
      </c>
      <c r="I131" s="636">
        <v>56.7</v>
      </c>
      <c r="J131" s="617" t="str">
        <f t="shared" si="1"/>
        <v>C</v>
      </c>
    </row>
    <row r="132" spans="1:10">
      <c r="A132" s="614">
        <v>41768</v>
      </c>
      <c r="B132" s="617">
        <v>5</v>
      </c>
      <c r="C132" s="617">
        <v>9</v>
      </c>
      <c r="D132" s="636">
        <v>74</v>
      </c>
      <c r="E132" s="636">
        <v>75.75</v>
      </c>
      <c r="F132" s="636">
        <v>64</v>
      </c>
      <c r="G132" s="636">
        <v>65.75</v>
      </c>
      <c r="H132" s="636">
        <v>54</v>
      </c>
      <c r="I132" s="636">
        <v>55.9</v>
      </c>
      <c r="J132" s="617" t="str">
        <f t="shared" si="1"/>
        <v>C</v>
      </c>
    </row>
    <row r="133" spans="1:10">
      <c r="A133" s="614">
        <v>41769</v>
      </c>
      <c r="B133" s="617">
        <v>5</v>
      </c>
      <c r="C133" s="617">
        <v>10</v>
      </c>
      <c r="D133" s="636">
        <v>74.55</v>
      </c>
      <c r="E133" s="636">
        <v>76.75</v>
      </c>
      <c r="F133" s="636">
        <v>64.75</v>
      </c>
      <c r="G133" s="636">
        <v>66.55</v>
      </c>
      <c r="H133" s="636">
        <v>55.15</v>
      </c>
      <c r="I133" s="636">
        <v>56.35</v>
      </c>
      <c r="J133" s="617" t="str">
        <f t="shared" ref="J133:J196" si="2">IF(OR(B133&lt;=4,B133&gt;=11),"H","C")</f>
        <v>C</v>
      </c>
    </row>
    <row r="134" spans="1:10">
      <c r="A134" s="614">
        <v>41770</v>
      </c>
      <c r="B134" s="617">
        <v>5</v>
      </c>
      <c r="C134" s="617">
        <v>11</v>
      </c>
      <c r="D134" s="636">
        <v>74.849999999999994</v>
      </c>
      <c r="E134" s="636">
        <v>77.05</v>
      </c>
      <c r="F134" s="636">
        <v>64.599999999999994</v>
      </c>
      <c r="G134" s="636">
        <v>66.2</v>
      </c>
      <c r="H134" s="636">
        <v>54.25</v>
      </c>
      <c r="I134" s="636">
        <v>55.45</v>
      </c>
      <c r="J134" s="617" t="str">
        <f t="shared" si="2"/>
        <v>C</v>
      </c>
    </row>
    <row r="135" spans="1:10">
      <c r="A135" s="614">
        <v>41771</v>
      </c>
      <c r="B135" s="617">
        <v>5</v>
      </c>
      <c r="C135" s="617">
        <v>12</v>
      </c>
      <c r="D135" s="636">
        <v>71.7</v>
      </c>
      <c r="E135" s="636">
        <v>74.2</v>
      </c>
      <c r="F135" s="636">
        <v>63.75</v>
      </c>
      <c r="G135" s="636">
        <v>65.599999999999994</v>
      </c>
      <c r="H135" s="636">
        <v>54.9</v>
      </c>
      <c r="I135" s="636">
        <v>56.75</v>
      </c>
      <c r="J135" s="617" t="str">
        <f t="shared" si="2"/>
        <v>C</v>
      </c>
    </row>
    <row r="136" spans="1:10">
      <c r="A136" s="614">
        <v>41772</v>
      </c>
      <c r="B136" s="617">
        <v>5</v>
      </c>
      <c r="C136" s="617">
        <v>13</v>
      </c>
      <c r="D136" s="636">
        <v>70.95</v>
      </c>
      <c r="E136" s="636">
        <v>72.900000000000006</v>
      </c>
      <c r="F136" s="636">
        <v>61.75</v>
      </c>
      <c r="G136" s="636">
        <v>63.6</v>
      </c>
      <c r="H136" s="636">
        <v>52.85</v>
      </c>
      <c r="I136" s="636">
        <v>54.85</v>
      </c>
      <c r="J136" s="617" t="str">
        <f t="shared" si="2"/>
        <v>C</v>
      </c>
    </row>
    <row r="137" spans="1:10">
      <c r="A137" s="614">
        <v>41773</v>
      </c>
      <c r="B137" s="617">
        <v>5</v>
      </c>
      <c r="C137" s="617">
        <v>14</v>
      </c>
      <c r="D137" s="636">
        <v>72.75</v>
      </c>
      <c r="E137" s="636">
        <v>74.849999999999994</v>
      </c>
      <c r="F137" s="636">
        <v>62.55</v>
      </c>
      <c r="G137" s="636">
        <v>64.75</v>
      </c>
      <c r="H137" s="636">
        <v>52.9</v>
      </c>
      <c r="I137" s="636">
        <v>54.5</v>
      </c>
      <c r="J137" s="617" t="str">
        <f t="shared" si="2"/>
        <v>C</v>
      </c>
    </row>
    <row r="138" spans="1:10">
      <c r="A138" s="614">
        <v>41774</v>
      </c>
      <c r="B138" s="617">
        <v>5</v>
      </c>
      <c r="C138" s="617">
        <v>15</v>
      </c>
      <c r="D138" s="636">
        <v>72.2</v>
      </c>
      <c r="E138" s="636">
        <v>73.7</v>
      </c>
      <c r="F138" s="636">
        <v>63.5</v>
      </c>
      <c r="G138" s="636">
        <v>64.95</v>
      </c>
      <c r="H138" s="636">
        <v>54.8</v>
      </c>
      <c r="I138" s="636">
        <v>55.55</v>
      </c>
      <c r="J138" s="617" t="str">
        <f t="shared" si="2"/>
        <v>C</v>
      </c>
    </row>
    <row r="139" spans="1:10">
      <c r="A139" s="614">
        <v>41775</v>
      </c>
      <c r="B139" s="617">
        <v>5</v>
      </c>
      <c r="C139" s="617">
        <v>16</v>
      </c>
      <c r="D139" s="636">
        <v>72</v>
      </c>
      <c r="E139" s="636">
        <v>74.599999999999994</v>
      </c>
      <c r="F139" s="636">
        <v>63.05</v>
      </c>
      <c r="G139" s="636">
        <v>65.55</v>
      </c>
      <c r="H139" s="636">
        <v>53.9</v>
      </c>
      <c r="I139" s="636">
        <v>56.2</v>
      </c>
      <c r="J139" s="617" t="str">
        <f t="shared" si="2"/>
        <v>C</v>
      </c>
    </row>
    <row r="140" spans="1:10">
      <c r="A140" s="614">
        <v>41776</v>
      </c>
      <c r="B140" s="617">
        <v>5</v>
      </c>
      <c r="C140" s="617">
        <v>17</v>
      </c>
      <c r="D140" s="636">
        <v>72.5</v>
      </c>
      <c r="E140" s="636">
        <v>74.7</v>
      </c>
      <c r="F140" s="636">
        <v>63.25</v>
      </c>
      <c r="G140" s="636">
        <v>65.349999999999994</v>
      </c>
      <c r="H140" s="636">
        <v>53.8</v>
      </c>
      <c r="I140" s="636">
        <v>56</v>
      </c>
      <c r="J140" s="617" t="str">
        <f t="shared" si="2"/>
        <v>C</v>
      </c>
    </row>
    <row r="141" spans="1:10">
      <c r="A141" s="614">
        <v>41777</v>
      </c>
      <c r="B141" s="617">
        <v>5</v>
      </c>
      <c r="C141" s="617">
        <v>18</v>
      </c>
      <c r="D141" s="636">
        <v>72.3</v>
      </c>
      <c r="E141" s="636">
        <v>74.349999999999994</v>
      </c>
      <c r="F141" s="636">
        <v>63.35</v>
      </c>
      <c r="G141" s="636">
        <v>65.400000000000006</v>
      </c>
      <c r="H141" s="636">
        <v>54.45</v>
      </c>
      <c r="I141" s="636">
        <v>56.4</v>
      </c>
      <c r="J141" s="617" t="str">
        <f t="shared" si="2"/>
        <v>C</v>
      </c>
    </row>
    <row r="142" spans="1:10">
      <c r="A142" s="614">
        <v>41778</v>
      </c>
      <c r="B142" s="617">
        <v>5</v>
      </c>
      <c r="C142" s="617">
        <v>19</v>
      </c>
      <c r="D142" s="636">
        <v>73.7</v>
      </c>
      <c r="E142" s="636">
        <v>75.650000000000006</v>
      </c>
      <c r="F142" s="636">
        <v>62.95</v>
      </c>
      <c r="G142" s="636">
        <v>65.650000000000006</v>
      </c>
      <c r="H142" s="636">
        <v>52.25</v>
      </c>
      <c r="I142" s="636">
        <v>55.45</v>
      </c>
      <c r="J142" s="617" t="str">
        <f t="shared" si="2"/>
        <v>C</v>
      </c>
    </row>
    <row r="143" spans="1:10">
      <c r="A143" s="614">
        <v>41779</v>
      </c>
      <c r="B143" s="617">
        <v>5</v>
      </c>
      <c r="C143" s="617">
        <v>20</v>
      </c>
      <c r="D143" s="636">
        <v>73.849999999999994</v>
      </c>
      <c r="E143" s="636">
        <v>76.349999999999994</v>
      </c>
      <c r="F143" s="636">
        <v>63.9</v>
      </c>
      <c r="G143" s="636">
        <v>65.900000000000006</v>
      </c>
      <c r="H143" s="636">
        <v>53.95</v>
      </c>
      <c r="I143" s="636">
        <v>55.55</v>
      </c>
      <c r="J143" s="617" t="str">
        <f t="shared" si="2"/>
        <v>C</v>
      </c>
    </row>
    <row r="144" spans="1:10">
      <c r="A144" s="614">
        <v>41780</v>
      </c>
      <c r="B144" s="617">
        <v>5</v>
      </c>
      <c r="C144" s="617">
        <v>21</v>
      </c>
      <c r="D144" s="636">
        <v>74.5</v>
      </c>
      <c r="E144" s="636">
        <v>76.349999999999994</v>
      </c>
      <c r="F144" s="636">
        <v>64</v>
      </c>
      <c r="G144" s="636">
        <v>65.849999999999994</v>
      </c>
      <c r="H144" s="636">
        <v>54.05</v>
      </c>
      <c r="I144" s="636">
        <v>55.65</v>
      </c>
      <c r="J144" s="617" t="str">
        <f t="shared" si="2"/>
        <v>C</v>
      </c>
    </row>
    <row r="145" spans="1:10">
      <c r="A145" s="614">
        <v>41781</v>
      </c>
      <c r="B145" s="617">
        <v>5</v>
      </c>
      <c r="C145" s="617">
        <v>22</v>
      </c>
      <c r="D145" s="636">
        <v>74.900000000000006</v>
      </c>
      <c r="E145" s="636">
        <v>77.349999999999994</v>
      </c>
      <c r="F145" s="636">
        <v>64.400000000000006</v>
      </c>
      <c r="G145" s="636">
        <v>65.849999999999994</v>
      </c>
      <c r="H145" s="636">
        <v>53.9</v>
      </c>
      <c r="I145" s="636">
        <v>54.65</v>
      </c>
      <c r="J145" s="617" t="str">
        <f t="shared" si="2"/>
        <v>C</v>
      </c>
    </row>
    <row r="146" spans="1:10">
      <c r="A146" s="614">
        <v>41782</v>
      </c>
      <c r="B146" s="617">
        <v>5</v>
      </c>
      <c r="C146" s="617">
        <v>23</v>
      </c>
      <c r="D146" s="636">
        <v>78.150000000000006</v>
      </c>
      <c r="E146" s="636">
        <v>80.599999999999994</v>
      </c>
      <c r="F146" s="636">
        <v>66.7</v>
      </c>
      <c r="G146" s="636">
        <v>68.849999999999994</v>
      </c>
      <c r="H146" s="636">
        <v>55.2</v>
      </c>
      <c r="I146" s="636">
        <v>57.1</v>
      </c>
      <c r="J146" s="617" t="str">
        <f t="shared" si="2"/>
        <v>C</v>
      </c>
    </row>
    <row r="147" spans="1:10">
      <c r="A147" s="614">
        <v>41783</v>
      </c>
      <c r="B147" s="617">
        <v>5</v>
      </c>
      <c r="C147" s="617">
        <v>24</v>
      </c>
      <c r="D147" s="636">
        <v>77.099999999999994</v>
      </c>
      <c r="E147" s="636">
        <v>79.099999999999994</v>
      </c>
      <c r="F147" s="636">
        <v>67.599999999999994</v>
      </c>
      <c r="G147" s="636">
        <v>69.650000000000006</v>
      </c>
      <c r="H147" s="636">
        <v>57.9</v>
      </c>
      <c r="I147" s="636">
        <v>60.1</v>
      </c>
      <c r="J147" s="617" t="str">
        <f t="shared" si="2"/>
        <v>C</v>
      </c>
    </row>
    <row r="148" spans="1:10">
      <c r="A148" s="614">
        <v>41784</v>
      </c>
      <c r="B148" s="617">
        <v>5</v>
      </c>
      <c r="C148" s="617">
        <v>25</v>
      </c>
      <c r="D148" s="636">
        <v>76.5</v>
      </c>
      <c r="E148" s="636">
        <v>78.2</v>
      </c>
      <c r="F148" s="636">
        <v>67.3</v>
      </c>
      <c r="G148" s="636">
        <v>68.599999999999994</v>
      </c>
      <c r="H148" s="636">
        <v>58.2</v>
      </c>
      <c r="I148" s="636">
        <v>59.5</v>
      </c>
      <c r="J148" s="617" t="str">
        <f t="shared" si="2"/>
        <v>C</v>
      </c>
    </row>
    <row r="149" spans="1:10">
      <c r="A149" s="614">
        <v>41785</v>
      </c>
      <c r="B149" s="617">
        <v>5</v>
      </c>
      <c r="C149" s="617">
        <v>26</v>
      </c>
      <c r="D149" s="636">
        <v>75</v>
      </c>
      <c r="E149" s="636">
        <v>76.75</v>
      </c>
      <c r="F149" s="636">
        <v>66.349999999999994</v>
      </c>
      <c r="G149" s="636">
        <v>68.099999999999994</v>
      </c>
      <c r="H149" s="636">
        <v>57.75</v>
      </c>
      <c r="I149" s="636">
        <v>59.1</v>
      </c>
      <c r="J149" s="617" t="str">
        <f t="shared" si="2"/>
        <v>C</v>
      </c>
    </row>
    <row r="150" spans="1:10">
      <c r="A150" s="614">
        <v>41786</v>
      </c>
      <c r="B150" s="617">
        <v>5</v>
      </c>
      <c r="C150" s="617">
        <v>27</v>
      </c>
      <c r="D150" s="636">
        <v>77.25</v>
      </c>
      <c r="E150" s="636">
        <v>78.400000000000006</v>
      </c>
      <c r="F150" s="636">
        <v>67.3</v>
      </c>
      <c r="G150" s="636">
        <v>68.5</v>
      </c>
      <c r="H150" s="636">
        <v>57.3</v>
      </c>
      <c r="I150" s="636">
        <v>58.8</v>
      </c>
      <c r="J150" s="617" t="str">
        <f t="shared" si="2"/>
        <v>C</v>
      </c>
    </row>
    <row r="151" spans="1:10">
      <c r="A151" s="614">
        <v>41787</v>
      </c>
      <c r="B151" s="617">
        <v>5</v>
      </c>
      <c r="C151" s="617">
        <v>28</v>
      </c>
      <c r="D151" s="636">
        <v>77.95</v>
      </c>
      <c r="E151" s="636">
        <v>80.7</v>
      </c>
      <c r="F151" s="636">
        <v>67.75</v>
      </c>
      <c r="G151" s="636">
        <v>69.900000000000006</v>
      </c>
      <c r="H151" s="636">
        <v>57.5</v>
      </c>
      <c r="I151" s="636">
        <v>59.55</v>
      </c>
      <c r="J151" s="617" t="str">
        <f t="shared" si="2"/>
        <v>C</v>
      </c>
    </row>
    <row r="152" spans="1:10">
      <c r="A152" s="614">
        <v>41788</v>
      </c>
      <c r="B152" s="617">
        <v>5</v>
      </c>
      <c r="C152" s="617">
        <v>29</v>
      </c>
      <c r="D152" s="636">
        <v>77.400000000000006</v>
      </c>
      <c r="E152" s="636">
        <v>80.150000000000006</v>
      </c>
      <c r="F152" s="636">
        <v>67.900000000000006</v>
      </c>
      <c r="G152" s="636">
        <v>70</v>
      </c>
      <c r="H152" s="636">
        <v>58.2</v>
      </c>
      <c r="I152" s="636">
        <v>59.9</v>
      </c>
      <c r="J152" s="617" t="str">
        <f t="shared" si="2"/>
        <v>C</v>
      </c>
    </row>
    <row r="153" spans="1:10">
      <c r="A153" s="614">
        <v>41789</v>
      </c>
      <c r="B153" s="617">
        <v>5</v>
      </c>
      <c r="C153" s="617">
        <v>30</v>
      </c>
      <c r="D153" s="636">
        <v>79.8</v>
      </c>
      <c r="E153" s="636">
        <v>81.05</v>
      </c>
      <c r="F153" s="636">
        <v>69.150000000000006</v>
      </c>
      <c r="G153" s="636">
        <v>71.349999999999994</v>
      </c>
      <c r="H153" s="636">
        <v>58.65</v>
      </c>
      <c r="I153" s="636">
        <v>61.75</v>
      </c>
      <c r="J153" s="617" t="str">
        <f t="shared" si="2"/>
        <v>C</v>
      </c>
    </row>
    <row r="154" spans="1:10">
      <c r="A154" s="614">
        <v>41790</v>
      </c>
      <c r="B154" s="617">
        <v>5</v>
      </c>
      <c r="C154" s="617">
        <v>31</v>
      </c>
      <c r="D154" s="636">
        <v>78.599999999999994</v>
      </c>
      <c r="E154" s="636">
        <v>80</v>
      </c>
      <c r="F154" s="636">
        <v>69.349999999999994</v>
      </c>
      <c r="G154" s="636">
        <v>71.45</v>
      </c>
      <c r="H154" s="636">
        <v>60.15</v>
      </c>
      <c r="I154" s="636">
        <v>62.4</v>
      </c>
      <c r="J154" s="617" t="str">
        <f t="shared" si="2"/>
        <v>C</v>
      </c>
    </row>
    <row r="155" spans="1:10">
      <c r="A155" s="614">
        <v>41791</v>
      </c>
      <c r="B155" s="617">
        <v>6</v>
      </c>
      <c r="C155" s="617">
        <v>1</v>
      </c>
      <c r="D155" s="636">
        <v>77.8</v>
      </c>
      <c r="E155" s="667">
        <v>80.05</v>
      </c>
      <c r="F155" s="636">
        <v>68.75</v>
      </c>
      <c r="G155" s="667">
        <v>71.5</v>
      </c>
      <c r="H155" s="636">
        <v>59.4</v>
      </c>
      <c r="I155" s="667">
        <v>62.85</v>
      </c>
      <c r="J155" s="617" t="str">
        <f t="shared" si="2"/>
        <v>C</v>
      </c>
    </row>
    <row r="156" spans="1:10">
      <c r="A156" s="614">
        <v>41792</v>
      </c>
      <c r="B156" s="617">
        <v>6</v>
      </c>
      <c r="C156" s="617">
        <v>2</v>
      </c>
      <c r="D156" s="636">
        <v>77.55</v>
      </c>
      <c r="E156" s="667">
        <v>79.5</v>
      </c>
      <c r="F156" s="636">
        <v>67.849999999999994</v>
      </c>
      <c r="G156" s="667">
        <v>70.5</v>
      </c>
      <c r="H156" s="636">
        <v>58.1</v>
      </c>
      <c r="I156" s="667">
        <v>61.75</v>
      </c>
      <c r="J156" s="617" t="str">
        <f t="shared" si="2"/>
        <v>C</v>
      </c>
    </row>
    <row r="157" spans="1:10">
      <c r="A157" s="614">
        <v>41793</v>
      </c>
      <c r="B157" s="617">
        <v>6</v>
      </c>
      <c r="C157" s="617">
        <v>3</v>
      </c>
      <c r="D157" s="636">
        <v>78.55</v>
      </c>
      <c r="E157" s="667">
        <v>80.3</v>
      </c>
      <c r="F157" s="636">
        <v>68.75</v>
      </c>
      <c r="G157" s="667">
        <v>71.3</v>
      </c>
      <c r="H157" s="636">
        <v>59</v>
      </c>
      <c r="I157" s="667">
        <v>62.3</v>
      </c>
      <c r="J157" s="617" t="str">
        <f t="shared" si="2"/>
        <v>C</v>
      </c>
    </row>
    <row r="158" spans="1:10">
      <c r="A158" s="614">
        <v>41794</v>
      </c>
      <c r="B158" s="617">
        <v>6</v>
      </c>
      <c r="C158" s="617">
        <v>4</v>
      </c>
      <c r="D158" s="636">
        <v>75.900000000000006</v>
      </c>
      <c r="E158" s="667">
        <v>78.099999999999994</v>
      </c>
      <c r="F158" s="636">
        <v>67.8</v>
      </c>
      <c r="G158" s="667">
        <v>70.45</v>
      </c>
      <c r="H158" s="636">
        <v>59.75</v>
      </c>
      <c r="I158" s="667">
        <v>63.1</v>
      </c>
      <c r="J158" s="617" t="str">
        <f t="shared" si="2"/>
        <v>C</v>
      </c>
    </row>
    <row r="159" spans="1:10">
      <c r="A159" s="614">
        <v>41795</v>
      </c>
      <c r="B159" s="617">
        <v>6</v>
      </c>
      <c r="C159" s="617">
        <v>5</v>
      </c>
      <c r="D159" s="636">
        <v>79</v>
      </c>
      <c r="E159" s="667">
        <v>81.400000000000006</v>
      </c>
      <c r="F159" s="636">
        <v>68.55</v>
      </c>
      <c r="G159" s="667">
        <v>71.45</v>
      </c>
      <c r="H159" s="636">
        <v>58.4</v>
      </c>
      <c r="I159" s="667">
        <v>61.6</v>
      </c>
      <c r="J159" s="617" t="str">
        <f t="shared" si="2"/>
        <v>C</v>
      </c>
    </row>
    <row r="160" spans="1:10">
      <c r="A160" s="614">
        <v>41796</v>
      </c>
      <c r="B160" s="617">
        <v>6</v>
      </c>
      <c r="C160" s="617">
        <v>6</v>
      </c>
      <c r="D160" s="636">
        <v>79.7</v>
      </c>
      <c r="E160" s="667">
        <v>81.849999999999994</v>
      </c>
      <c r="F160" s="636">
        <v>69.599999999999994</v>
      </c>
      <c r="G160" s="667">
        <v>72.05</v>
      </c>
      <c r="H160" s="636">
        <v>59.4</v>
      </c>
      <c r="I160" s="667">
        <v>62.45</v>
      </c>
      <c r="J160" s="617" t="str">
        <f t="shared" si="2"/>
        <v>C</v>
      </c>
    </row>
    <row r="161" spans="1:10">
      <c r="A161" s="614">
        <v>41797</v>
      </c>
      <c r="B161" s="617">
        <v>6</v>
      </c>
      <c r="C161" s="617">
        <v>7</v>
      </c>
      <c r="D161" s="636">
        <v>80.099999999999994</v>
      </c>
      <c r="E161" s="667">
        <v>82.55</v>
      </c>
      <c r="F161" s="636">
        <v>71</v>
      </c>
      <c r="G161" s="667">
        <v>73.45</v>
      </c>
      <c r="H161" s="636">
        <v>61.85</v>
      </c>
      <c r="I161" s="667">
        <v>64.3</v>
      </c>
      <c r="J161" s="617" t="str">
        <f t="shared" si="2"/>
        <v>C</v>
      </c>
    </row>
    <row r="162" spans="1:10">
      <c r="A162" s="614">
        <v>41798</v>
      </c>
      <c r="B162" s="617">
        <v>6</v>
      </c>
      <c r="C162" s="617">
        <v>8</v>
      </c>
      <c r="D162" s="636">
        <v>81.95</v>
      </c>
      <c r="E162" s="667">
        <v>83.1</v>
      </c>
      <c r="F162" s="636">
        <v>72.650000000000006</v>
      </c>
      <c r="G162" s="667">
        <v>74.849999999999994</v>
      </c>
      <c r="H162" s="636">
        <v>63.4</v>
      </c>
      <c r="I162" s="667">
        <v>66.7</v>
      </c>
      <c r="J162" s="617" t="str">
        <f t="shared" si="2"/>
        <v>C</v>
      </c>
    </row>
    <row r="163" spans="1:10">
      <c r="A163" s="614">
        <v>41799</v>
      </c>
      <c r="B163" s="617">
        <v>6</v>
      </c>
      <c r="C163" s="617">
        <v>9</v>
      </c>
      <c r="D163" s="636">
        <v>82.1</v>
      </c>
      <c r="E163" s="667">
        <v>84.65</v>
      </c>
      <c r="F163" s="636">
        <v>72.3</v>
      </c>
      <c r="G163" s="667">
        <v>75.650000000000006</v>
      </c>
      <c r="H163" s="636">
        <v>62.75</v>
      </c>
      <c r="I163" s="667">
        <v>66.75</v>
      </c>
      <c r="J163" s="617" t="str">
        <f t="shared" si="2"/>
        <v>C</v>
      </c>
    </row>
    <row r="164" spans="1:10">
      <c r="A164" s="614">
        <v>41800</v>
      </c>
      <c r="B164" s="617">
        <v>6</v>
      </c>
      <c r="C164" s="617">
        <v>10</v>
      </c>
      <c r="D164" s="636">
        <v>82.85</v>
      </c>
      <c r="E164" s="667">
        <v>84.55</v>
      </c>
      <c r="F164" s="636">
        <v>72.75</v>
      </c>
      <c r="G164" s="667">
        <v>75.599999999999994</v>
      </c>
      <c r="H164" s="636">
        <v>62.95</v>
      </c>
      <c r="I164" s="667">
        <v>66.650000000000006</v>
      </c>
      <c r="J164" s="617" t="str">
        <f t="shared" si="2"/>
        <v>C</v>
      </c>
    </row>
    <row r="165" spans="1:10">
      <c r="A165" s="614">
        <v>41801</v>
      </c>
      <c r="B165" s="617">
        <v>6</v>
      </c>
      <c r="C165" s="617">
        <v>11</v>
      </c>
      <c r="D165" s="636">
        <v>80.7</v>
      </c>
      <c r="E165" s="667">
        <v>83.3</v>
      </c>
      <c r="F165" s="636">
        <v>72.599999999999994</v>
      </c>
      <c r="G165" s="667">
        <v>75.5</v>
      </c>
      <c r="H165" s="636">
        <v>64.650000000000006</v>
      </c>
      <c r="I165" s="667">
        <v>67.7</v>
      </c>
      <c r="J165" s="617" t="str">
        <f t="shared" si="2"/>
        <v>C</v>
      </c>
    </row>
    <row r="166" spans="1:10">
      <c r="A166" s="614">
        <v>41802</v>
      </c>
      <c r="B166" s="617">
        <v>6</v>
      </c>
      <c r="C166" s="617">
        <v>12</v>
      </c>
      <c r="D166" s="636">
        <v>82.35</v>
      </c>
      <c r="E166" s="667">
        <v>84.2</v>
      </c>
      <c r="F166" s="636">
        <v>73.3</v>
      </c>
      <c r="G166" s="667">
        <v>75.55</v>
      </c>
      <c r="H166" s="636">
        <v>64.45</v>
      </c>
      <c r="I166" s="667">
        <v>67.150000000000006</v>
      </c>
      <c r="J166" s="617" t="str">
        <f t="shared" si="2"/>
        <v>C</v>
      </c>
    </row>
    <row r="167" spans="1:10">
      <c r="A167" s="614">
        <v>41803</v>
      </c>
      <c r="B167" s="617">
        <v>6</v>
      </c>
      <c r="C167" s="617">
        <v>13</v>
      </c>
      <c r="D167" s="636">
        <v>82</v>
      </c>
      <c r="E167" s="667">
        <v>84.75</v>
      </c>
      <c r="F167" s="636">
        <v>72.55</v>
      </c>
      <c r="G167" s="667">
        <v>75.400000000000006</v>
      </c>
      <c r="H167" s="636">
        <v>63.05</v>
      </c>
      <c r="I167" s="667">
        <v>66.400000000000006</v>
      </c>
      <c r="J167" s="617" t="str">
        <f t="shared" si="2"/>
        <v>C</v>
      </c>
    </row>
    <row r="168" spans="1:10">
      <c r="A168" s="614">
        <v>41804</v>
      </c>
      <c r="B168" s="617">
        <v>6</v>
      </c>
      <c r="C168" s="617">
        <v>14</v>
      </c>
      <c r="D168" s="636">
        <v>80.45</v>
      </c>
      <c r="E168" s="667">
        <v>85.2</v>
      </c>
      <c r="F168" s="636">
        <v>72.400000000000006</v>
      </c>
      <c r="G168" s="667">
        <v>76.400000000000006</v>
      </c>
      <c r="H168" s="636">
        <v>62.75</v>
      </c>
      <c r="I168" s="667">
        <v>67.2</v>
      </c>
      <c r="J168" s="617" t="str">
        <f t="shared" si="2"/>
        <v>C</v>
      </c>
    </row>
    <row r="169" spans="1:10">
      <c r="A169" s="614">
        <v>41805</v>
      </c>
      <c r="B169" s="617">
        <v>6</v>
      </c>
      <c r="C169" s="617">
        <v>15</v>
      </c>
      <c r="D169" s="636">
        <v>80.3</v>
      </c>
      <c r="E169" s="667">
        <v>85.3</v>
      </c>
      <c r="F169" s="636">
        <v>72.45</v>
      </c>
      <c r="G169" s="667">
        <v>75.55</v>
      </c>
      <c r="H169" s="636">
        <v>62.8</v>
      </c>
      <c r="I169" s="667">
        <v>65.75</v>
      </c>
      <c r="J169" s="617" t="str">
        <f t="shared" si="2"/>
        <v>C</v>
      </c>
    </row>
    <row r="170" spans="1:10">
      <c r="A170" s="614">
        <v>41806</v>
      </c>
      <c r="B170" s="617">
        <v>6</v>
      </c>
      <c r="C170" s="617">
        <v>16</v>
      </c>
      <c r="D170" s="636">
        <v>80.5</v>
      </c>
      <c r="E170" s="667">
        <v>84.95</v>
      </c>
      <c r="F170" s="636">
        <v>73.099999999999994</v>
      </c>
      <c r="G170" s="667">
        <v>75.650000000000006</v>
      </c>
      <c r="H170" s="636">
        <v>63.75</v>
      </c>
      <c r="I170" s="667">
        <v>66.349999999999994</v>
      </c>
      <c r="J170" s="617" t="str">
        <f t="shared" si="2"/>
        <v>C</v>
      </c>
    </row>
    <row r="171" spans="1:10">
      <c r="A171" s="614">
        <v>41807</v>
      </c>
      <c r="B171" s="617">
        <v>6</v>
      </c>
      <c r="C171" s="617">
        <v>17</v>
      </c>
      <c r="D171" s="636">
        <v>83.4</v>
      </c>
      <c r="E171" s="667">
        <v>86.2</v>
      </c>
      <c r="F171" s="636">
        <v>73.55</v>
      </c>
      <c r="G171" s="667">
        <v>76.2</v>
      </c>
      <c r="H171" s="636">
        <v>63.5</v>
      </c>
      <c r="I171" s="667">
        <v>66.2</v>
      </c>
      <c r="J171" s="617" t="str">
        <f t="shared" si="2"/>
        <v>C</v>
      </c>
    </row>
    <row r="172" spans="1:10">
      <c r="A172" s="614">
        <v>41808</v>
      </c>
      <c r="B172" s="617">
        <v>6</v>
      </c>
      <c r="C172" s="617">
        <v>18</v>
      </c>
      <c r="D172" s="636">
        <v>83.45</v>
      </c>
      <c r="E172" s="667">
        <v>85.5</v>
      </c>
      <c r="F172" s="636">
        <v>73.5</v>
      </c>
      <c r="G172" s="667">
        <v>76.400000000000006</v>
      </c>
      <c r="H172" s="636">
        <v>63.75</v>
      </c>
      <c r="I172" s="667">
        <v>67.349999999999994</v>
      </c>
      <c r="J172" s="617" t="str">
        <f t="shared" si="2"/>
        <v>C</v>
      </c>
    </row>
    <row r="173" spans="1:10">
      <c r="A173" s="614">
        <v>41809</v>
      </c>
      <c r="B173" s="617">
        <v>6</v>
      </c>
      <c r="C173" s="617">
        <v>19</v>
      </c>
      <c r="D173" s="636">
        <v>84.5</v>
      </c>
      <c r="E173" s="667">
        <v>85.95</v>
      </c>
      <c r="F173" s="636">
        <v>74.55</v>
      </c>
      <c r="G173" s="667">
        <v>76.849999999999994</v>
      </c>
      <c r="H173" s="636">
        <v>64.75</v>
      </c>
      <c r="I173" s="667">
        <v>67.650000000000006</v>
      </c>
      <c r="J173" s="617" t="str">
        <f t="shared" si="2"/>
        <v>C</v>
      </c>
    </row>
    <row r="174" spans="1:10">
      <c r="A174" s="614">
        <v>41810</v>
      </c>
      <c r="B174" s="617">
        <v>6</v>
      </c>
      <c r="C174" s="617">
        <v>20</v>
      </c>
      <c r="D174" s="636">
        <v>83.4</v>
      </c>
      <c r="E174" s="636">
        <v>85.1</v>
      </c>
      <c r="F174" s="636">
        <v>73.5</v>
      </c>
      <c r="G174" s="636">
        <v>75.45</v>
      </c>
      <c r="H174" s="636">
        <v>63.7</v>
      </c>
      <c r="I174" s="636">
        <v>66.3</v>
      </c>
      <c r="J174" s="617" t="str">
        <f t="shared" si="2"/>
        <v>C</v>
      </c>
    </row>
    <row r="175" spans="1:10">
      <c r="A175" s="614">
        <v>41811</v>
      </c>
      <c r="B175" s="617">
        <v>6</v>
      </c>
      <c r="C175" s="617">
        <v>21</v>
      </c>
      <c r="D175" s="636">
        <v>84.9</v>
      </c>
      <c r="E175" s="636">
        <v>86.85</v>
      </c>
      <c r="F175" s="636">
        <v>74.099999999999994</v>
      </c>
      <c r="G175" s="636">
        <v>77.05</v>
      </c>
      <c r="H175" s="636">
        <v>63.5</v>
      </c>
      <c r="I175" s="636">
        <v>67.25</v>
      </c>
      <c r="J175" s="617" t="str">
        <f t="shared" si="2"/>
        <v>C</v>
      </c>
    </row>
    <row r="176" spans="1:10">
      <c r="A176" s="614">
        <v>41812</v>
      </c>
      <c r="B176" s="617">
        <v>6</v>
      </c>
      <c r="C176" s="617">
        <v>22</v>
      </c>
      <c r="D176" s="636">
        <v>83.8</v>
      </c>
      <c r="E176" s="636">
        <v>86.05</v>
      </c>
      <c r="F176" s="636">
        <v>74</v>
      </c>
      <c r="G176" s="636">
        <v>76.349999999999994</v>
      </c>
      <c r="H176" s="636">
        <v>64.150000000000006</v>
      </c>
      <c r="I176" s="636">
        <v>66.650000000000006</v>
      </c>
      <c r="J176" s="617" t="str">
        <f t="shared" si="2"/>
        <v>C</v>
      </c>
    </row>
    <row r="177" spans="1:10">
      <c r="A177" s="614">
        <v>41813</v>
      </c>
      <c r="B177" s="617">
        <v>6</v>
      </c>
      <c r="C177" s="617">
        <v>23</v>
      </c>
      <c r="D177" s="636">
        <v>84.85</v>
      </c>
      <c r="E177" s="636">
        <v>86.55</v>
      </c>
      <c r="F177" s="636">
        <v>74.150000000000006</v>
      </c>
      <c r="G177" s="636">
        <v>76.25</v>
      </c>
      <c r="H177" s="636">
        <v>63.6</v>
      </c>
      <c r="I177" s="636">
        <v>66.2</v>
      </c>
      <c r="J177" s="617" t="str">
        <f t="shared" si="2"/>
        <v>C</v>
      </c>
    </row>
    <row r="178" spans="1:10">
      <c r="A178" s="614">
        <v>41814</v>
      </c>
      <c r="B178" s="617">
        <v>6</v>
      </c>
      <c r="C178" s="617">
        <v>24</v>
      </c>
      <c r="D178" s="636">
        <v>84.85</v>
      </c>
      <c r="E178" s="636">
        <v>86.4</v>
      </c>
      <c r="F178" s="636">
        <v>74.7</v>
      </c>
      <c r="G178" s="636">
        <v>76.599999999999994</v>
      </c>
      <c r="H178" s="636">
        <v>64.900000000000006</v>
      </c>
      <c r="I178" s="636">
        <v>67.150000000000006</v>
      </c>
      <c r="J178" s="617" t="str">
        <f t="shared" si="2"/>
        <v>C</v>
      </c>
    </row>
    <row r="179" spans="1:10">
      <c r="A179" s="614">
        <v>41815</v>
      </c>
      <c r="B179" s="617">
        <v>6</v>
      </c>
      <c r="C179" s="617">
        <v>25</v>
      </c>
      <c r="D179" s="636">
        <v>85.35</v>
      </c>
      <c r="E179" s="636">
        <v>86.9</v>
      </c>
      <c r="F179" s="636">
        <v>75.3</v>
      </c>
      <c r="G179" s="636">
        <v>77.3</v>
      </c>
      <c r="H179" s="636">
        <v>65.400000000000006</v>
      </c>
      <c r="I179" s="636">
        <v>68.150000000000006</v>
      </c>
      <c r="J179" s="617" t="str">
        <f t="shared" si="2"/>
        <v>C</v>
      </c>
    </row>
    <row r="180" spans="1:10">
      <c r="A180" s="614">
        <v>41816</v>
      </c>
      <c r="B180" s="617">
        <v>6</v>
      </c>
      <c r="C180" s="617">
        <v>26</v>
      </c>
      <c r="D180" s="636">
        <v>83.7</v>
      </c>
      <c r="E180" s="636">
        <v>85.3</v>
      </c>
      <c r="F180" s="636">
        <v>74.650000000000006</v>
      </c>
      <c r="G180" s="636">
        <v>76.849999999999994</v>
      </c>
      <c r="H180" s="636">
        <v>65.25</v>
      </c>
      <c r="I180" s="636">
        <v>68.5</v>
      </c>
      <c r="J180" s="617" t="str">
        <f t="shared" si="2"/>
        <v>C</v>
      </c>
    </row>
    <row r="181" spans="1:10">
      <c r="A181" s="614">
        <v>41817</v>
      </c>
      <c r="B181" s="617">
        <v>6</v>
      </c>
      <c r="C181" s="617">
        <v>27</v>
      </c>
      <c r="D181" s="636">
        <v>84.1</v>
      </c>
      <c r="E181" s="636">
        <v>85.65</v>
      </c>
      <c r="F181" s="636">
        <v>73.95</v>
      </c>
      <c r="G181" s="636">
        <v>75.900000000000006</v>
      </c>
      <c r="H181" s="636">
        <v>63.8</v>
      </c>
      <c r="I181" s="636">
        <v>66.400000000000006</v>
      </c>
      <c r="J181" s="617" t="str">
        <f t="shared" si="2"/>
        <v>C</v>
      </c>
    </row>
    <row r="182" spans="1:10">
      <c r="A182" s="614">
        <v>41818</v>
      </c>
      <c r="B182" s="617">
        <v>6</v>
      </c>
      <c r="C182" s="617">
        <v>28</v>
      </c>
      <c r="D182" s="636">
        <v>85.5</v>
      </c>
      <c r="E182" s="636">
        <v>87.25</v>
      </c>
      <c r="F182" s="636">
        <v>75.150000000000006</v>
      </c>
      <c r="G182" s="636">
        <v>76.900000000000006</v>
      </c>
      <c r="H182" s="636">
        <v>64.8</v>
      </c>
      <c r="I182" s="636">
        <v>66.75</v>
      </c>
      <c r="J182" s="617" t="str">
        <f t="shared" si="2"/>
        <v>C</v>
      </c>
    </row>
    <row r="183" spans="1:10">
      <c r="A183" s="614">
        <v>41819</v>
      </c>
      <c r="B183" s="617">
        <v>6</v>
      </c>
      <c r="C183" s="617">
        <v>29</v>
      </c>
      <c r="D183" s="636">
        <v>82.65</v>
      </c>
      <c r="E183" s="636">
        <v>85.65</v>
      </c>
      <c r="F183" s="636">
        <v>75</v>
      </c>
      <c r="G183" s="636">
        <v>76.599999999999994</v>
      </c>
      <c r="H183" s="636">
        <v>65.45</v>
      </c>
      <c r="I183" s="636">
        <v>67.650000000000006</v>
      </c>
      <c r="J183" s="617" t="str">
        <f t="shared" si="2"/>
        <v>C</v>
      </c>
    </row>
    <row r="184" spans="1:10">
      <c r="A184" s="614">
        <v>41820</v>
      </c>
      <c r="B184" s="617">
        <v>6</v>
      </c>
      <c r="C184" s="617">
        <v>30</v>
      </c>
      <c r="D184" s="636">
        <v>85.1</v>
      </c>
      <c r="E184" s="636">
        <v>86.55</v>
      </c>
      <c r="F184" s="636">
        <v>75</v>
      </c>
      <c r="G184" s="636">
        <v>76.849999999999994</v>
      </c>
      <c r="H184" s="636">
        <v>64.900000000000006</v>
      </c>
      <c r="I184" s="636">
        <v>67.349999999999994</v>
      </c>
      <c r="J184" s="617" t="str">
        <f t="shared" si="2"/>
        <v>C</v>
      </c>
    </row>
    <row r="185" spans="1:10">
      <c r="A185" s="614">
        <v>41821</v>
      </c>
      <c r="B185" s="617">
        <v>7</v>
      </c>
      <c r="C185" s="617">
        <v>1</v>
      </c>
      <c r="D185" s="636">
        <v>85.15</v>
      </c>
      <c r="E185" s="636">
        <v>86.15</v>
      </c>
      <c r="F185" s="636">
        <v>75.099999999999994</v>
      </c>
      <c r="G185" s="636">
        <v>77.099999999999994</v>
      </c>
      <c r="H185" s="636">
        <v>65.3</v>
      </c>
      <c r="I185" s="636">
        <v>68.25</v>
      </c>
      <c r="J185" s="617" t="str">
        <f t="shared" si="2"/>
        <v>C</v>
      </c>
    </row>
    <row r="186" spans="1:10">
      <c r="A186" s="614">
        <v>41822</v>
      </c>
      <c r="B186" s="617">
        <v>7</v>
      </c>
      <c r="C186" s="617">
        <v>2</v>
      </c>
      <c r="D186" s="636">
        <v>85.3</v>
      </c>
      <c r="E186" s="636">
        <v>86.75</v>
      </c>
      <c r="F186" s="636">
        <v>74.95</v>
      </c>
      <c r="G186" s="636">
        <v>77.349999999999994</v>
      </c>
      <c r="H186" s="636">
        <v>64.8</v>
      </c>
      <c r="I186" s="636">
        <v>67.75</v>
      </c>
      <c r="J186" s="617" t="str">
        <f t="shared" si="2"/>
        <v>C</v>
      </c>
    </row>
    <row r="187" spans="1:10">
      <c r="A187" s="614">
        <v>41823</v>
      </c>
      <c r="B187" s="617">
        <v>7</v>
      </c>
      <c r="C187" s="617">
        <v>3</v>
      </c>
      <c r="D187" s="636">
        <v>86.95</v>
      </c>
      <c r="E187" s="636">
        <v>88.05</v>
      </c>
      <c r="F187" s="636">
        <v>75.900000000000006</v>
      </c>
      <c r="G187" s="636">
        <v>77.55</v>
      </c>
      <c r="H187" s="636">
        <v>64.900000000000006</v>
      </c>
      <c r="I187" s="636">
        <v>67.5</v>
      </c>
      <c r="J187" s="617" t="str">
        <f t="shared" si="2"/>
        <v>C</v>
      </c>
    </row>
    <row r="188" spans="1:10">
      <c r="A188" s="614">
        <v>41824</v>
      </c>
      <c r="B188" s="617">
        <v>7</v>
      </c>
      <c r="C188" s="617">
        <v>4</v>
      </c>
      <c r="D188" s="636">
        <v>86.1</v>
      </c>
      <c r="E188" s="636">
        <v>87.5</v>
      </c>
      <c r="F188" s="636">
        <v>76.849999999999994</v>
      </c>
      <c r="G188" s="636">
        <v>78.8</v>
      </c>
      <c r="H188" s="636">
        <v>67.650000000000006</v>
      </c>
      <c r="I188" s="636">
        <v>70.2</v>
      </c>
      <c r="J188" s="617" t="str">
        <f t="shared" si="2"/>
        <v>C</v>
      </c>
    </row>
    <row r="189" spans="1:10">
      <c r="A189" s="614">
        <v>41825</v>
      </c>
      <c r="B189" s="617">
        <v>7</v>
      </c>
      <c r="C189" s="617">
        <v>5</v>
      </c>
      <c r="D189" s="636">
        <v>85.55</v>
      </c>
      <c r="E189" s="636">
        <v>87.35</v>
      </c>
      <c r="F189" s="636">
        <v>76.05</v>
      </c>
      <c r="G189" s="636">
        <v>78.900000000000006</v>
      </c>
      <c r="H189" s="636">
        <v>66.599999999999994</v>
      </c>
      <c r="I189" s="636">
        <v>70</v>
      </c>
      <c r="J189" s="617" t="str">
        <f t="shared" si="2"/>
        <v>C</v>
      </c>
    </row>
    <row r="190" spans="1:10">
      <c r="A190" s="614">
        <v>41826</v>
      </c>
      <c r="B190" s="617">
        <v>7</v>
      </c>
      <c r="C190" s="617">
        <v>6</v>
      </c>
      <c r="D190" s="636">
        <v>86.3</v>
      </c>
      <c r="E190" s="636">
        <v>87.45</v>
      </c>
      <c r="F190" s="636">
        <v>75.3</v>
      </c>
      <c r="G190" s="636">
        <v>77.3</v>
      </c>
      <c r="H190" s="636">
        <v>64.650000000000006</v>
      </c>
      <c r="I190" s="636">
        <v>67.400000000000006</v>
      </c>
      <c r="J190" s="617" t="str">
        <f t="shared" si="2"/>
        <v>C</v>
      </c>
    </row>
    <row r="191" spans="1:10">
      <c r="A191" s="614">
        <v>41827</v>
      </c>
      <c r="B191" s="617">
        <v>7</v>
      </c>
      <c r="C191" s="617">
        <v>7</v>
      </c>
      <c r="D191" s="636">
        <v>87</v>
      </c>
      <c r="E191" s="636">
        <v>87.7</v>
      </c>
      <c r="F191" s="636">
        <v>76.25</v>
      </c>
      <c r="G191" s="636">
        <v>77.45</v>
      </c>
      <c r="H191" s="636">
        <v>65.849999999999994</v>
      </c>
      <c r="I191" s="636">
        <v>67.3</v>
      </c>
      <c r="J191" s="617" t="str">
        <f t="shared" si="2"/>
        <v>C</v>
      </c>
    </row>
    <row r="192" spans="1:10">
      <c r="A192" s="614">
        <v>41828</v>
      </c>
      <c r="B192" s="617">
        <v>7</v>
      </c>
      <c r="C192" s="617">
        <v>8</v>
      </c>
      <c r="D192" s="636">
        <v>87.6</v>
      </c>
      <c r="E192" s="636">
        <v>88.75</v>
      </c>
      <c r="F192" s="636">
        <v>77.2</v>
      </c>
      <c r="G192" s="636">
        <v>78.8</v>
      </c>
      <c r="H192" s="636">
        <v>67</v>
      </c>
      <c r="I192" s="636">
        <v>69.05</v>
      </c>
      <c r="J192" s="617" t="str">
        <f t="shared" si="2"/>
        <v>C</v>
      </c>
    </row>
    <row r="193" spans="1:10">
      <c r="A193" s="614">
        <v>41829</v>
      </c>
      <c r="B193" s="617">
        <v>7</v>
      </c>
      <c r="C193" s="617">
        <v>9</v>
      </c>
      <c r="D193" s="636">
        <v>86.1</v>
      </c>
      <c r="E193" s="636">
        <v>87.35</v>
      </c>
      <c r="F193" s="636">
        <v>76.599999999999994</v>
      </c>
      <c r="G193" s="636">
        <v>78.650000000000006</v>
      </c>
      <c r="H193" s="636">
        <v>67.349999999999994</v>
      </c>
      <c r="I193" s="636">
        <v>69.7</v>
      </c>
      <c r="J193" s="617" t="str">
        <f t="shared" si="2"/>
        <v>C</v>
      </c>
    </row>
    <row r="194" spans="1:10">
      <c r="A194" s="614">
        <v>41830</v>
      </c>
      <c r="B194" s="617">
        <v>7</v>
      </c>
      <c r="C194" s="617">
        <v>10</v>
      </c>
      <c r="D194" s="636">
        <v>86.4</v>
      </c>
      <c r="E194" s="636">
        <v>87.35</v>
      </c>
      <c r="F194" s="636">
        <v>76.150000000000006</v>
      </c>
      <c r="G194" s="636">
        <v>77.849999999999994</v>
      </c>
      <c r="H194" s="636">
        <v>66.05</v>
      </c>
      <c r="I194" s="636">
        <v>68.5</v>
      </c>
      <c r="J194" s="617" t="str">
        <f t="shared" si="2"/>
        <v>C</v>
      </c>
    </row>
    <row r="195" spans="1:10">
      <c r="A195" s="614">
        <v>41831</v>
      </c>
      <c r="B195" s="617">
        <v>7</v>
      </c>
      <c r="C195" s="617">
        <v>11</v>
      </c>
      <c r="D195" s="636">
        <v>85.75</v>
      </c>
      <c r="E195" s="636">
        <v>86.35</v>
      </c>
      <c r="F195" s="636">
        <v>75.2</v>
      </c>
      <c r="G195" s="636">
        <v>77</v>
      </c>
      <c r="H195" s="636">
        <v>64.7</v>
      </c>
      <c r="I195" s="636">
        <v>68</v>
      </c>
      <c r="J195" s="617" t="str">
        <f t="shared" si="2"/>
        <v>C</v>
      </c>
    </row>
    <row r="196" spans="1:10">
      <c r="A196" s="614">
        <v>41832</v>
      </c>
      <c r="B196" s="617">
        <v>7</v>
      </c>
      <c r="C196" s="617">
        <v>12</v>
      </c>
      <c r="D196" s="636">
        <v>85.3</v>
      </c>
      <c r="E196" s="636">
        <v>86.6</v>
      </c>
      <c r="F196" s="636">
        <v>75.349999999999994</v>
      </c>
      <c r="G196" s="636">
        <v>76.95</v>
      </c>
      <c r="H196" s="636">
        <v>65.849999999999994</v>
      </c>
      <c r="I196" s="636">
        <v>67.45</v>
      </c>
      <c r="J196" s="617" t="str">
        <f t="shared" si="2"/>
        <v>C</v>
      </c>
    </row>
    <row r="197" spans="1:10">
      <c r="A197" s="614">
        <v>41833</v>
      </c>
      <c r="B197" s="617">
        <v>7</v>
      </c>
      <c r="C197" s="617">
        <v>13</v>
      </c>
      <c r="D197" s="636">
        <v>83.15</v>
      </c>
      <c r="E197" s="636">
        <v>86.05</v>
      </c>
      <c r="F197" s="636">
        <v>74.8</v>
      </c>
      <c r="G197" s="636">
        <v>77.349999999999994</v>
      </c>
      <c r="H197" s="636">
        <v>66.75</v>
      </c>
      <c r="I197" s="636">
        <v>68.75</v>
      </c>
      <c r="J197" s="617" t="str">
        <f t="shared" ref="J197:J260" si="3">IF(OR(B197&lt;=4,B197&gt;=11),"H","C")</f>
        <v>C</v>
      </c>
    </row>
    <row r="198" spans="1:10">
      <c r="A198" s="614">
        <v>41834</v>
      </c>
      <c r="B198" s="617">
        <v>7</v>
      </c>
      <c r="C198" s="617">
        <v>14</v>
      </c>
      <c r="D198" s="636">
        <v>85.35</v>
      </c>
      <c r="E198" s="636">
        <v>87.15</v>
      </c>
      <c r="F198" s="636">
        <v>75.599999999999994</v>
      </c>
      <c r="G198" s="636">
        <v>77.599999999999994</v>
      </c>
      <c r="H198" s="636">
        <v>66.25</v>
      </c>
      <c r="I198" s="636">
        <v>67.900000000000006</v>
      </c>
      <c r="J198" s="617" t="str">
        <f t="shared" si="3"/>
        <v>C</v>
      </c>
    </row>
    <row r="199" spans="1:10">
      <c r="A199" s="614">
        <v>41835</v>
      </c>
      <c r="B199" s="617">
        <v>7</v>
      </c>
      <c r="C199" s="617">
        <v>15</v>
      </c>
      <c r="D199" s="636">
        <v>85.25</v>
      </c>
      <c r="E199" s="636">
        <v>86.85</v>
      </c>
      <c r="F199" s="636">
        <v>76.25</v>
      </c>
      <c r="G199" s="636">
        <v>77.900000000000006</v>
      </c>
      <c r="H199" s="636">
        <v>67.150000000000006</v>
      </c>
      <c r="I199" s="636">
        <v>69.5</v>
      </c>
      <c r="J199" s="617" t="str">
        <f t="shared" si="3"/>
        <v>C</v>
      </c>
    </row>
    <row r="200" spans="1:10">
      <c r="A200" s="614">
        <v>41836</v>
      </c>
      <c r="B200" s="617">
        <v>7</v>
      </c>
      <c r="C200" s="617">
        <v>16</v>
      </c>
      <c r="D200" s="636">
        <v>86.55</v>
      </c>
      <c r="E200" s="636">
        <v>88.8</v>
      </c>
      <c r="F200" s="636">
        <v>77.05</v>
      </c>
      <c r="G200" s="636">
        <v>79.3</v>
      </c>
      <c r="H200" s="636">
        <v>67.849999999999994</v>
      </c>
      <c r="I200" s="636">
        <v>70.25</v>
      </c>
      <c r="J200" s="617" t="str">
        <f t="shared" si="3"/>
        <v>C</v>
      </c>
    </row>
    <row r="201" spans="1:10">
      <c r="A201" s="614">
        <v>41837</v>
      </c>
      <c r="B201" s="617">
        <v>7</v>
      </c>
      <c r="C201" s="617">
        <v>17</v>
      </c>
      <c r="D201" s="636">
        <v>86.5</v>
      </c>
      <c r="E201" s="636">
        <v>88.8</v>
      </c>
      <c r="F201" s="636">
        <v>77</v>
      </c>
      <c r="G201" s="636">
        <v>79.5</v>
      </c>
      <c r="H201" s="636">
        <v>67.75</v>
      </c>
      <c r="I201" s="636">
        <v>70.5</v>
      </c>
      <c r="J201" s="617" t="str">
        <f t="shared" si="3"/>
        <v>C</v>
      </c>
    </row>
    <row r="202" spans="1:10">
      <c r="A202" s="614">
        <v>41838</v>
      </c>
      <c r="B202" s="617">
        <v>7</v>
      </c>
      <c r="C202" s="617">
        <v>18</v>
      </c>
      <c r="D202" s="636">
        <v>86.45</v>
      </c>
      <c r="E202" s="636">
        <v>88.4</v>
      </c>
      <c r="F202" s="636">
        <v>77.099999999999994</v>
      </c>
      <c r="G202" s="636">
        <v>79.3</v>
      </c>
      <c r="H202" s="636">
        <v>67.55</v>
      </c>
      <c r="I202" s="636">
        <v>70.3</v>
      </c>
      <c r="J202" s="617" t="str">
        <f t="shared" si="3"/>
        <v>C</v>
      </c>
    </row>
    <row r="203" spans="1:10">
      <c r="A203" s="614">
        <v>41839</v>
      </c>
      <c r="B203" s="617">
        <v>7</v>
      </c>
      <c r="C203" s="617">
        <v>19</v>
      </c>
      <c r="D203" s="636">
        <v>87.65</v>
      </c>
      <c r="E203" s="636">
        <v>89.55</v>
      </c>
      <c r="F203" s="636">
        <v>77.849999999999994</v>
      </c>
      <c r="G203" s="636">
        <v>80.099999999999994</v>
      </c>
      <c r="H203" s="636">
        <v>68.2</v>
      </c>
      <c r="I203" s="636">
        <v>70.599999999999994</v>
      </c>
      <c r="J203" s="617" t="str">
        <f t="shared" si="3"/>
        <v>C</v>
      </c>
    </row>
    <row r="204" spans="1:10">
      <c r="A204" s="614">
        <v>41840</v>
      </c>
      <c r="B204" s="617">
        <v>7</v>
      </c>
      <c r="C204" s="617">
        <v>20</v>
      </c>
      <c r="D204" s="636">
        <v>87.95</v>
      </c>
      <c r="E204" s="636">
        <v>88.5</v>
      </c>
      <c r="F204" s="636">
        <v>77.45</v>
      </c>
      <c r="G204" s="636">
        <v>79.3</v>
      </c>
      <c r="H204" s="636">
        <v>67.2</v>
      </c>
      <c r="I204" s="636">
        <v>69.95</v>
      </c>
      <c r="J204" s="617" t="str">
        <f t="shared" si="3"/>
        <v>C</v>
      </c>
    </row>
    <row r="205" spans="1:10">
      <c r="A205" s="614">
        <v>41841</v>
      </c>
      <c r="B205" s="617">
        <v>7</v>
      </c>
      <c r="C205" s="617">
        <v>21</v>
      </c>
      <c r="D205" s="636">
        <v>86.8</v>
      </c>
      <c r="E205" s="636">
        <v>88.15</v>
      </c>
      <c r="F205" s="636">
        <v>77.5</v>
      </c>
      <c r="G205" s="636">
        <v>79.349999999999994</v>
      </c>
      <c r="H205" s="636">
        <v>68.2</v>
      </c>
      <c r="I205" s="636">
        <v>70.650000000000006</v>
      </c>
      <c r="J205" s="617" t="str">
        <f t="shared" si="3"/>
        <v>C</v>
      </c>
    </row>
    <row r="206" spans="1:10">
      <c r="A206" s="614">
        <v>41842</v>
      </c>
      <c r="B206" s="617">
        <v>7</v>
      </c>
      <c r="C206" s="617">
        <v>22</v>
      </c>
      <c r="D206" s="636">
        <v>85.1</v>
      </c>
      <c r="E206" s="636">
        <v>86.7</v>
      </c>
      <c r="F206" s="636">
        <v>76.400000000000006</v>
      </c>
      <c r="G206" s="636">
        <v>78.8</v>
      </c>
      <c r="H206" s="636">
        <v>68.2</v>
      </c>
      <c r="I206" s="636">
        <v>70.95</v>
      </c>
      <c r="J206" s="617" t="str">
        <f t="shared" si="3"/>
        <v>C</v>
      </c>
    </row>
    <row r="207" spans="1:10">
      <c r="A207" s="614">
        <v>41843</v>
      </c>
      <c r="B207" s="617">
        <v>7</v>
      </c>
      <c r="C207" s="617">
        <v>23</v>
      </c>
      <c r="D207" s="636">
        <v>85.15</v>
      </c>
      <c r="E207" s="636">
        <v>87.55</v>
      </c>
      <c r="F207" s="636">
        <v>76.599999999999994</v>
      </c>
      <c r="G207" s="636">
        <v>78.75</v>
      </c>
      <c r="H207" s="636">
        <v>68.099999999999994</v>
      </c>
      <c r="I207" s="636">
        <v>70.349999999999994</v>
      </c>
      <c r="J207" s="617" t="str">
        <f t="shared" si="3"/>
        <v>C</v>
      </c>
    </row>
    <row r="208" spans="1:10">
      <c r="A208" s="614">
        <v>41844</v>
      </c>
      <c r="B208" s="617">
        <v>7</v>
      </c>
      <c r="C208" s="617">
        <v>24</v>
      </c>
      <c r="D208" s="636">
        <v>85.6</v>
      </c>
      <c r="E208" s="636">
        <v>88.1</v>
      </c>
      <c r="F208" s="636">
        <v>76.400000000000006</v>
      </c>
      <c r="G208" s="636">
        <v>78.849999999999994</v>
      </c>
      <c r="H208" s="636">
        <v>67.3</v>
      </c>
      <c r="I208" s="636">
        <v>69.7</v>
      </c>
      <c r="J208" s="617" t="str">
        <f t="shared" si="3"/>
        <v>C</v>
      </c>
    </row>
    <row r="209" spans="1:10">
      <c r="A209" s="614">
        <v>41845</v>
      </c>
      <c r="B209" s="617">
        <v>7</v>
      </c>
      <c r="C209" s="617">
        <v>25</v>
      </c>
      <c r="D209" s="636">
        <v>87.1</v>
      </c>
      <c r="E209" s="636">
        <v>88.15</v>
      </c>
      <c r="F209" s="636">
        <v>77.5</v>
      </c>
      <c r="G209" s="636">
        <v>79.400000000000006</v>
      </c>
      <c r="H209" s="636">
        <v>68</v>
      </c>
      <c r="I209" s="636">
        <v>70.55</v>
      </c>
      <c r="J209" s="617" t="str">
        <f t="shared" si="3"/>
        <v>C</v>
      </c>
    </row>
    <row r="210" spans="1:10">
      <c r="A210" s="614">
        <v>41846</v>
      </c>
      <c r="B210" s="617">
        <v>7</v>
      </c>
      <c r="C210" s="617">
        <v>26</v>
      </c>
      <c r="D210" s="636">
        <v>86</v>
      </c>
      <c r="E210" s="636">
        <v>87.45</v>
      </c>
      <c r="F210" s="636">
        <v>77</v>
      </c>
      <c r="G210" s="636">
        <v>78.599999999999994</v>
      </c>
      <c r="H210" s="636">
        <v>68.150000000000006</v>
      </c>
      <c r="I210" s="636">
        <v>69.8</v>
      </c>
      <c r="J210" s="617" t="str">
        <f t="shared" si="3"/>
        <v>C</v>
      </c>
    </row>
    <row r="211" spans="1:10">
      <c r="A211" s="614">
        <v>41847</v>
      </c>
      <c r="B211" s="617">
        <v>7</v>
      </c>
      <c r="C211" s="617">
        <v>27</v>
      </c>
      <c r="D211" s="636">
        <v>85.65</v>
      </c>
      <c r="E211" s="636">
        <v>87.4</v>
      </c>
      <c r="F211" s="636">
        <v>76.650000000000006</v>
      </c>
      <c r="G211" s="636">
        <v>78.849999999999994</v>
      </c>
      <c r="H211" s="636">
        <v>67.5</v>
      </c>
      <c r="I211" s="636">
        <v>70.55</v>
      </c>
      <c r="J211" s="617" t="str">
        <f t="shared" si="3"/>
        <v>C</v>
      </c>
    </row>
    <row r="212" spans="1:10">
      <c r="A212" s="614">
        <v>41848</v>
      </c>
      <c r="B212" s="617">
        <v>7</v>
      </c>
      <c r="C212" s="617">
        <v>28</v>
      </c>
      <c r="D212" s="636">
        <v>85.2</v>
      </c>
      <c r="E212" s="636">
        <v>86.95</v>
      </c>
      <c r="F212" s="636">
        <v>76.3</v>
      </c>
      <c r="G212" s="636">
        <v>78.05</v>
      </c>
      <c r="H212" s="636">
        <v>67.7</v>
      </c>
      <c r="I212" s="636">
        <v>69.349999999999994</v>
      </c>
      <c r="J212" s="617" t="str">
        <f t="shared" si="3"/>
        <v>C</v>
      </c>
    </row>
    <row r="213" spans="1:10">
      <c r="A213" s="614">
        <v>41849</v>
      </c>
      <c r="B213" s="617">
        <v>7</v>
      </c>
      <c r="C213" s="617">
        <v>29</v>
      </c>
      <c r="D213" s="636">
        <v>85.55</v>
      </c>
      <c r="E213" s="636">
        <v>88.1</v>
      </c>
      <c r="F213" s="636">
        <v>76.599999999999994</v>
      </c>
      <c r="G213" s="636">
        <v>78.849999999999994</v>
      </c>
      <c r="H213" s="636">
        <v>67.8</v>
      </c>
      <c r="I213" s="636">
        <v>69.900000000000006</v>
      </c>
      <c r="J213" s="617" t="str">
        <f t="shared" si="3"/>
        <v>C</v>
      </c>
    </row>
    <row r="214" spans="1:10">
      <c r="A214" s="614">
        <v>41850</v>
      </c>
      <c r="B214" s="617">
        <v>7</v>
      </c>
      <c r="C214" s="617">
        <v>30</v>
      </c>
      <c r="D214" s="636">
        <v>86.05</v>
      </c>
      <c r="E214" s="636">
        <v>87.2</v>
      </c>
      <c r="F214" s="636">
        <v>76.3</v>
      </c>
      <c r="G214" s="636">
        <v>78.099999999999994</v>
      </c>
      <c r="H214" s="636">
        <v>66.599999999999994</v>
      </c>
      <c r="I214" s="636">
        <v>69.05</v>
      </c>
      <c r="J214" s="617" t="str">
        <f t="shared" si="3"/>
        <v>C</v>
      </c>
    </row>
    <row r="215" spans="1:10">
      <c r="A215" s="614">
        <v>41851</v>
      </c>
      <c r="B215" s="617">
        <v>7</v>
      </c>
      <c r="C215" s="617">
        <v>31</v>
      </c>
      <c r="D215" s="636">
        <v>86.4</v>
      </c>
      <c r="E215" s="636">
        <v>88.2</v>
      </c>
      <c r="F215" s="636">
        <v>76.650000000000006</v>
      </c>
      <c r="G215" s="636">
        <v>78.3</v>
      </c>
      <c r="H215" s="636">
        <v>66.7</v>
      </c>
      <c r="I215" s="636">
        <v>68.349999999999994</v>
      </c>
      <c r="J215" s="617" t="str">
        <f t="shared" si="3"/>
        <v>C</v>
      </c>
    </row>
    <row r="216" spans="1:10">
      <c r="A216" s="614">
        <v>41852</v>
      </c>
      <c r="B216" s="617">
        <v>8</v>
      </c>
      <c r="C216" s="617">
        <v>1</v>
      </c>
      <c r="D216" s="636">
        <v>87.75</v>
      </c>
      <c r="E216" s="636">
        <v>89.45</v>
      </c>
      <c r="F216" s="636">
        <v>76.75</v>
      </c>
      <c r="G216" s="636">
        <v>78.849999999999994</v>
      </c>
      <c r="H216" s="636">
        <v>65.95</v>
      </c>
      <c r="I216" s="636">
        <v>68.75</v>
      </c>
      <c r="J216" s="617" t="str">
        <f t="shared" si="3"/>
        <v>C</v>
      </c>
    </row>
    <row r="217" spans="1:10">
      <c r="A217" s="614">
        <v>41853</v>
      </c>
      <c r="B217" s="617">
        <v>8</v>
      </c>
      <c r="C217" s="617">
        <v>2</v>
      </c>
      <c r="D217" s="636">
        <v>87.7</v>
      </c>
      <c r="E217" s="636">
        <v>89.1</v>
      </c>
      <c r="F217" s="636">
        <v>77.150000000000006</v>
      </c>
      <c r="G217" s="636">
        <v>78.900000000000006</v>
      </c>
      <c r="H217" s="636">
        <v>66.650000000000006</v>
      </c>
      <c r="I217" s="636">
        <v>68.7</v>
      </c>
      <c r="J217" s="617" t="str">
        <f t="shared" si="3"/>
        <v>C</v>
      </c>
    </row>
    <row r="218" spans="1:10">
      <c r="A218" s="614">
        <v>41854</v>
      </c>
      <c r="B218" s="617">
        <v>8</v>
      </c>
      <c r="C218" s="617">
        <v>3</v>
      </c>
      <c r="D218" s="636">
        <v>86.55</v>
      </c>
      <c r="E218" s="636">
        <v>88.7</v>
      </c>
      <c r="F218" s="636">
        <v>76.75</v>
      </c>
      <c r="G218" s="636">
        <v>79.099999999999994</v>
      </c>
      <c r="H218" s="636">
        <v>66.95</v>
      </c>
      <c r="I218" s="636">
        <v>69.650000000000006</v>
      </c>
      <c r="J218" s="617" t="str">
        <f t="shared" si="3"/>
        <v>C</v>
      </c>
    </row>
    <row r="219" spans="1:10">
      <c r="A219" s="614">
        <v>41855</v>
      </c>
      <c r="B219" s="617">
        <v>8</v>
      </c>
      <c r="C219" s="617">
        <v>4</v>
      </c>
      <c r="D219" s="636">
        <v>87.15</v>
      </c>
      <c r="E219" s="636">
        <v>88.45</v>
      </c>
      <c r="F219" s="636">
        <v>77.55</v>
      </c>
      <c r="G219" s="636">
        <v>79.599999999999994</v>
      </c>
      <c r="H219" s="636">
        <v>68.099999999999994</v>
      </c>
      <c r="I219" s="636">
        <v>70.7</v>
      </c>
      <c r="J219" s="617" t="str">
        <f t="shared" si="3"/>
        <v>C</v>
      </c>
    </row>
    <row r="220" spans="1:10">
      <c r="A220" s="614">
        <v>41856</v>
      </c>
      <c r="B220" s="617">
        <v>8</v>
      </c>
      <c r="C220" s="617">
        <v>5</v>
      </c>
      <c r="D220" s="636">
        <v>84.7</v>
      </c>
      <c r="E220" s="636">
        <v>86.25</v>
      </c>
      <c r="F220" s="636">
        <v>75.55</v>
      </c>
      <c r="G220" s="636">
        <v>77.55</v>
      </c>
      <c r="H220" s="636">
        <v>66.599999999999994</v>
      </c>
      <c r="I220" s="636">
        <v>69.3</v>
      </c>
      <c r="J220" s="617" t="str">
        <f t="shared" si="3"/>
        <v>C</v>
      </c>
    </row>
    <row r="221" spans="1:10">
      <c r="A221" s="614">
        <v>41857</v>
      </c>
      <c r="B221" s="617">
        <v>8</v>
      </c>
      <c r="C221" s="617">
        <v>6</v>
      </c>
      <c r="D221" s="636">
        <v>84</v>
      </c>
      <c r="E221" s="636">
        <v>85.95</v>
      </c>
      <c r="F221" s="636">
        <v>74.849999999999994</v>
      </c>
      <c r="G221" s="636">
        <v>77</v>
      </c>
      <c r="H221" s="636">
        <v>65.7</v>
      </c>
      <c r="I221" s="636">
        <v>68.150000000000006</v>
      </c>
      <c r="J221" s="617" t="str">
        <f t="shared" si="3"/>
        <v>C</v>
      </c>
    </row>
    <row r="222" spans="1:10">
      <c r="A222" s="614">
        <v>41858</v>
      </c>
      <c r="B222" s="617">
        <v>8</v>
      </c>
      <c r="C222" s="617">
        <v>7</v>
      </c>
      <c r="D222" s="636">
        <v>86.3</v>
      </c>
      <c r="E222" s="636">
        <v>87.8</v>
      </c>
      <c r="F222" s="636">
        <v>75.5</v>
      </c>
      <c r="G222" s="636">
        <v>77.349999999999994</v>
      </c>
      <c r="H222" s="636">
        <v>64.849999999999994</v>
      </c>
      <c r="I222" s="636">
        <v>67.2</v>
      </c>
      <c r="J222" s="617" t="str">
        <f t="shared" si="3"/>
        <v>C</v>
      </c>
    </row>
    <row r="223" spans="1:10">
      <c r="A223" s="614">
        <v>41859</v>
      </c>
      <c r="B223" s="617">
        <v>8</v>
      </c>
      <c r="C223" s="617">
        <v>8</v>
      </c>
      <c r="D223" s="636">
        <v>85.8</v>
      </c>
      <c r="E223" s="636">
        <v>88</v>
      </c>
      <c r="F223" s="636">
        <v>75.650000000000006</v>
      </c>
      <c r="G223" s="636">
        <v>78</v>
      </c>
      <c r="H223" s="636">
        <v>65.7</v>
      </c>
      <c r="I223" s="636">
        <v>68.05</v>
      </c>
      <c r="J223" s="617" t="str">
        <f t="shared" si="3"/>
        <v>C</v>
      </c>
    </row>
    <row r="224" spans="1:10">
      <c r="A224" s="614">
        <v>41860</v>
      </c>
      <c r="B224" s="617">
        <v>8</v>
      </c>
      <c r="C224" s="617">
        <v>9</v>
      </c>
      <c r="D224" s="636">
        <v>85.55</v>
      </c>
      <c r="E224" s="636">
        <v>86.55</v>
      </c>
      <c r="F224" s="636">
        <v>75.95</v>
      </c>
      <c r="G224" s="636">
        <v>77.599999999999994</v>
      </c>
      <c r="H224" s="636">
        <v>66.2</v>
      </c>
      <c r="I224" s="636">
        <v>69.05</v>
      </c>
      <c r="J224" s="617" t="str">
        <f t="shared" si="3"/>
        <v>C</v>
      </c>
    </row>
    <row r="225" spans="1:10">
      <c r="A225" s="614">
        <v>41861</v>
      </c>
      <c r="B225" s="617">
        <v>8</v>
      </c>
      <c r="C225" s="617">
        <v>10</v>
      </c>
      <c r="D225" s="636">
        <v>86.5</v>
      </c>
      <c r="E225" s="636">
        <v>88.25</v>
      </c>
      <c r="F225" s="636">
        <v>76</v>
      </c>
      <c r="G225" s="636">
        <v>78.25</v>
      </c>
      <c r="H225" s="636">
        <v>65.599999999999994</v>
      </c>
      <c r="I225" s="636">
        <v>68.650000000000006</v>
      </c>
      <c r="J225" s="617" t="str">
        <f t="shared" si="3"/>
        <v>C</v>
      </c>
    </row>
    <row r="226" spans="1:10">
      <c r="A226" s="614">
        <v>41862</v>
      </c>
      <c r="B226" s="617">
        <v>8</v>
      </c>
      <c r="C226" s="617">
        <v>11</v>
      </c>
      <c r="D226" s="636">
        <v>84.75</v>
      </c>
      <c r="E226" s="636">
        <v>85.95</v>
      </c>
      <c r="F226" s="636">
        <v>75.150000000000006</v>
      </c>
      <c r="G226" s="636">
        <v>77.349999999999994</v>
      </c>
      <c r="H226" s="636">
        <v>65.849999999999994</v>
      </c>
      <c r="I226" s="636">
        <v>68.849999999999994</v>
      </c>
      <c r="J226" s="617" t="str">
        <f t="shared" si="3"/>
        <v>C</v>
      </c>
    </row>
    <row r="227" spans="1:10">
      <c r="A227" s="614">
        <v>41863</v>
      </c>
      <c r="B227" s="617">
        <v>8</v>
      </c>
      <c r="C227" s="617">
        <v>12</v>
      </c>
      <c r="D227" s="636">
        <v>84.8</v>
      </c>
      <c r="E227" s="636">
        <v>87.15</v>
      </c>
      <c r="F227" s="636">
        <v>74.849999999999994</v>
      </c>
      <c r="G227" s="636">
        <v>77.349999999999994</v>
      </c>
      <c r="H227" s="636">
        <v>64.95</v>
      </c>
      <c r="I227" s="636">
        <v>67.900000000000006</v>
      </c>
      <c r="J227" s="617" t="str">
        <f t="shared" si="3"/>
        <v>C</v>
      </c>
    </row>
    <row r="228" spans="1:10">
      <c r="A228" s="614">
        <v>41864</v>
      </c>
      <c r="B228" s="617">
        <v>8</v>
      </c>
      <c r="C228" s="617">
        <v>13</v>
      </c>
      <c r="D228" s="636">
        <v>85.8</v>
      </c>
      <c r="E228" s="636">
        <v>87.2</v>
      </c>
      <c r="F228" s="636">
        <v>76.05</v>
      </c>
      <c r="G228" s="636">
        <v>77.95</v>
      </c>
      <c r="H228" s="636">
        <v>66.3</v>
      </c>
      <c r="I228" s="636">
        <v>68.55</v>
      </c>
      <c r="J228" s="617" t="str">
        <f t="shared" si="3"/>
        <v>C</v>
      </c>
    </row>
    <row r="229" spans="1:10">
      <c r="A229" s="614">
        <v>41865</v>
      </c>
      <c r="B229" s="617">
        <v>8</v>
      </c>
      <c r="C229" s="617">
        <v>14</v>
      </c>
      <c r="D229" s="636">
        <v>84.05</v>
      </c>
      <c r="E229" s="636">
        <v>85.4</v>
      </c>
      <c r="F229" s="636">
        <v>74.599999999999994</v>
      </c>
      <c r="G229" s="636">
        <v>76.400000000000006</v>
      </c>
      <c r="H229" s="636">
        <v>65.05</v>
      </c>
      <c r="I229" s="636">
        <v>67.650000000000006</v>
      </c>
      <c r="J229" s="617" t="str">
        <f t="shared" si="3"/>
        <v>C</v>
      </c>
    </row>
    <row r="230" spans="1:10">
      <c r="A230" s="614">
        <v>41866</v>
      </c>
      <c r="B230" s="617">
        <v>8</v>
      </c>
      <c r="C230" s="617">
        <v>15</v>
      </c>
      <c r="D230" s="636">
        <v>85.1</v>
      </c>
      <c r="E230" s="636">
        <v>86.9</v>
      </c>
      <c r="F230" s="636">
        <v>74.900000000000006</v>
      </c>
      <c r="G230" s="636">
        <v>76.8</v>
      </c>
      <c r="H230" s="636">
        <v>64.5</v>
      </c>
      <c r="I230" s="636">
        <v>66.900000000000006</v>
      </c>
      <c r="J230" s="617" t="str">
        <f t="shared" si="3"/>
        <v>C</v>
      </c>
    </row>
    <row r="231" spans="1:10">
      <c r="A231" s="614">
        <v>41867</v>
      </c>
      <c r="B231" s="617">
        <v>8</v>
      </c>
      <c r="C231" s="617">
        <v>16</v>
      </c>
      <c r="D231" s="636">
        <v>85.75</v>
      </c>
      <c r="E231" s="636">
        <v>87.6</v>
      </c>
      <c r="F231" s="636">
        <v>75.349999999999994</v>
      </c>
      <c r="G231" s="636">
        <v>77.2</v>
      </c>
      <c r="H231" s="636">
        <v>65.05</v>
      </c>
      <c r="I231" s="636">
        <v>67.05</v>
      </c>
      <c r="J231" s="617" t="str">
        <f t="shared" si="3"/>
        <v>C</v>
      </c>
    </row>
    <row r="232" spans="1:10">
      <c r="A232" s="614">
        <v>41868</v>
      </c>
      <c r="B232" s="617">
        <v>8</v>
      </c>
      <c r="C232" s="617">
        <v>17</v>
      </c>
      <c r="D232" s="636">
        <v>85.75</v>
      </c>
      <c r="E232" s="636">
        <v>87.75</v>
      </c>
      <c r="F232" s="636">
        <v>75</v>
      </c>
      <c r="G232" s="636">
        <v>77.45</v>
      </c>
      <c r="H232" s="636">
        <v>64.3</v>
      </c>
      <c r="I232" s="636">
        <v>67.25</v>
      </c>
      <c r="J232" s="617" t="str">
        <f t="shared" si="3"/>
        <v>C</v>
      </c>
    </row>
    <row r="233" spans="1:10">
      <c r="A233" s="614">
        <v>41869</v>
      </c>
      <c r="B233" s="617">
        <v>8</v>
      </c>
      <c r="C233" s="617">
        <v>18</v>
      </c>
      <c r="D233" s="636">
        <v>85.05</v>
      </c>
      <c r="E233" s="636">
        <v>87.25</v>
      </c>
      <c r="F233" s="636">
        <v>74.95</v>
      </c>
      <c r="G233" s="636">
        <v>77.8</v>
      </c>
      <c r="H233" s="636">
        <v>64.8</v>
      </c>
      <c r="I233" s="636">
        <v>68.400000000000006</v>
      </c>
      <c r="J233" s="617" t="str">
        <f t="shared" si="3"/>
        <v>C</v>
      </c>
    </row>
    <row r="234" spans="1:10">
      <c r="A234" s="614">
        <v>41870</v>
      </c>
      <c r="B234" s="617">
        <v>8</v>
      </c>
      <c r="C234" s="617">
        <v>19</v>
      </c>
      <c r="D234" s="636">
        <v>85.9</v>
      </c>
      <c r="E234" s="636">
        <v>87</v>
      </c>
      <c r="F234" s="636">
        <v>75.900000000000006</v>
      </c>
      <c r="G234" s="636">
        <v>77.25</v>
      </c>
      <c r="H234" s="636">
        <v>65.75</v>
      </c>
      <c r="I234" s="636">
        <v>68.349999999999994</v>
      </c>
      <c r="J234" s="617" t="str">
        <f t="shared" si="3"/>
        <v>C</v>
      </c>
    </row>
    <row r="235" spans="1:10">
      <c r="A235" s="614">
        <v>41871</v>
      </c>
      <c r="B235" s="617">
        <v>8</v>
      </c>
      <c r="C235" s="617">
        <v>20</v>
      </c>
      <c r="D235" s="636">
        <v>84.85</v>
      </c>
      <c r="E235" s="636">
        <v>86.3</v>
      </c>
      <c r="F235" s="636">
        <v>75.2</v>
      </c>
      <c r="G235" s="636">
        <v>76.849999999999994</v>
      </c>
      <c r="H235" s="636">
        <v>65.400000000000006</v>
      </c>
      <c r="I235" s="636">
        <v>67.650000000000006</v>
      </c>
      <c r="J235" s="617" t="str">
        <f t="shared" si="3"/>
        <v>C</v>
      </c>
    </row>
    <row r="236" spans="1:10">
      <c r="A236" s="614">
        <v>41872</v>
      </c>
      <c r="B236" s="617">
        <v>8</v>
      </c>
      <c r="C236" s="617">
        <v>21</v>
      </c>
      <c r="D236" s="636">
        <v>84.3</v>
      </c>
      <c r="E236" s="636">
        <v>85.7</v>
      </c>
      <c r="F236" s="636">
        <v>74.55</v>
      </c>
      <c r="G236" s="636">
        <v>76.3</v>
      </c>
      <c r="H236" s="636">
        <v>64.7</v>
      </c>
      <c r="I236" s="636">
        <v>66.75</v>
      </c>
      <c r="J236" s="617" t="str">
        <f t="shared" si="3"/>
        <v>C</v>
      </c>
    </row>
    <row r="237" spans="1:10">
      <c r="A237" s="614">
        <v>41873</v>
      </c>
      <c r="B237" s="617">
        <v>8</v>
      </c>
      <c r="C237" s="617">
        <v>22</v>
      </c>
      <c r="D237" s="636">
        <v>84.95</v>
      </c>
      <c r="E237" s="636">
        <v>87.5</v>
      </c>
      <c r="F237" s="636">
        <v>74.5</v>
      </c>
      <c r="G237" s="636">
        <v>76.5</v>
      </c>
      <c r="H237" s="636">
        <v>63.85</v>
      </c>
      <c r="I237" s="636">
        <v>65.95</v>
      </c>
      <c r="J237" s="617" t="str">
        <f t="shared" si="3"/>
        <v>C</v>
      </c>
    </row>
    <row r="238" spans="1:10">
      <c r="A238" s="614">
        <v>41874</v>
      </c>
      <c r="B238" s="617">
        <v>8</v>
      </c>
      <c r="C238" s="617">
        <v>23</v>
      </c>
      <c r="D238" s="636">
        <v>85.45</v>
      </c>
      <c r="E238" s="636">
        <v>87.3</v>
      </c>
      <c r="F238" s="636">
        <v>74.55</v>
      </c>
      <c r="G238" s="636">
        <v>76.8</v>
      </c>
      <c r="H238" s="636">
        <v>64.099999999999994</v>
      </c>
      <c r="I238" s="636">
        <v>66.3</v>
      </c>
      <c r="J238" s="617" t="str">
        <f t="shared" si="3"/>
        <v>C</v>
      </c>
    </row>
    <row r="239" spans="1:10">
      <c r="A239" s="614">
        <v>41875</v>
      </c>
      <c r="B239" s="617">
        <v>8</v>
      </c>
      <c r="C239" s="617">
        <v>24</v>
      </c>
      <c r="D239" s="636">
        <v>85.65</v>
      </c>
      <c r="E239" s="636">
        <v>87.4</v>
      </c>
      <c r="F239" s="636">
        <v>75.099999999999994</v>
      </c>
      <c r="G239" s="636">
        <v>77.25</v>
      </c>
      <c r="H239" s="636">
        <v>64.900000000000006</v>
      </c>
      <c r="I239" s="636">
        <v>66.8</v>
      </c>
      <c r="J239" s="617" t="str">
        <f t="shared" si="3"/>
        <v>C</v>
      </c>
    </row>
    <row r="240" spans="1:10">
      <c r="A240" s="614">
        <v>41876</v>
      </c>
      <c r="B240" s="617">
        <v>8</v>
      </c>
      <c r="C240" s="617">
        <v>25</v>
      </c>
      <c r="D240" s="636">
        <v>86.55</v>
      </c>
      <c r="E240" s="636">
        <v>88</v>
      </c>
      <c r="F240" s="636">
        <v>76.05</v>
      </c>
      <c r="G240" s="636">
        <v>77.75</v>
      </c>
      <c r="H240" s="636">
        <v>65.5</v>
      </c>
      <c r="I240" s="636">
        <v>67.55</v>
      </c>
      <c r="J240" s="617" t="str">
        <f t="shared" si="3"/>
        <v>C</v>
      </c>
    </row>
    <row r="241" spans="1:10">
      <c r="A241" s="614">
        <v>41877</v>
      </c>
      <c r="B241" s="617">
        <v>8</v>
      </c>
      <c r="C241" s="617">
        <v>26</v>
      </c>
      <c r="D241" s="636">
        <v>85.55</v>
      </c>
      <c r="E241" s="636">
        <v>87.2</v>
      </c>
      <c r="F241" s="636">
        <v>76</v>
      </c>
      <c r="G241" s="636">
        <v>77.650000000000006</v>
      </c>
      <c r="H241" s="636">
        <v>66.45</v>
      </c>
      <c r="I241" s="636">
        <v>68.150000000000006</v>
      </c>
      <c r="J241" s="617" t="str">
        <f t="shared" si="3"/>
        <v>C</v>
      </c>
    </row>
    <row r="242" spans="1:10">
      <c r="A242" s="614">
        <v>41878</v>
      </c>
      <c r="B242" s="617">
        <v>8</v>
      </c>
      <c r="C242" s="617">
        <v>27</v>
      </c>
      <c r="D242" s="636">
        <v>85.7</v>
      </c>
      <c r="E242" s="636">
        <v>87.9</v>
      </c>
      <c r="F242" s="636">
        <v>76.2</v>
      </c>
      <c r="G242" s="636">
        <v>78.150000000000006</v>
      </c>
      <c r="H242" s="636">
        <v>66.900000000000006</v>
      </c>
      <c r="I242" s="636">
        <v>68.5</v>
      </c>
      <c r="J242" s="617" t="str">
        <f t="shared" si="3"/>
        <v>C</v>
      </c>
    </row>
    <row r="243" spans="1:10">
      <c r="A243" s="614">
        <v>41879</v>
      </c>
      <c r="B243" s="617">
        <v>8</v>
      </c>
      <c r="C243" s="617">
        <v>28</v>
      </c>
      <c r="D243" s="636">
        <v>85.8</v>
      </c>
      <c r="E243" s="636">
        <v>88.25</v>
      </c>
      <c r="F243" s="636">
        <v>75.95</v>
      </c>
      <c r="G243" s="636">
        <v>78.099999999999994</v>
      </c>
      <c r="H243" s="636">
        <v>66.3</v>
      </c>
      <c r="I243" s="636">
        <v>68.349999999999994</v>
      </c>
      <c r="J243" s="617" t="str">
        <f t="shared" si="3"/>
        <v>C</v>
      </c>
    </row>
    <row r="244" spans="1:10">
      <c r="A244" s="614">
        <v>41880</v>
      </c>
      <c r="B244" s="617">
        <v>8</v>
      </c>
      <c r="C244" s="617">
        <v>29</v>
      </c>
      <c r="D244" s="636">
        <v>84.4</v>
      </c>
      <c r="E244" s="636">
        <v>86.5</v>
      </c>
      <c r="F244" s="636">
        <v>74.849999999999994</v>
      </c>
      <c r="G244" s="636">
        <v>76.95</v>
      </c>
      <c r="H244" s="636">
        <v>65.45</v>
      </c>
      <c r="I244" s="636">
        <v>67.650000000000006</v>
      </c>
      <c r="J244" s="617" t="str">
        <f t="shared" si="3"/>
        <v>C</v>
      </c>
    </row>
    <row r="245" spans="1:10">
      <c r="A245" s="614">
        <v>41881</v>
      </c>
      <c r="B245" s="617">
        <v>8</v>
      </c>
      <c r="C245" s="617">
        <v>30</v>
      </c>
      <c r="D245" s="636">
        <v>83.75</v>
      </c>
      <c r="E245" s="636">
        <v>84.25</v>
      </c>
      <c r="F245" s="636">
        <v>73.75</v>
      </c>
      <c r="G245" s="636">
        <v>74.900000000000006</v>
      </c>
      <c r="H245" s="636">
        <v>63.75</v>
      </c>
      <c r="I245" s="636">
        <v>65.55</v>
      </c>
      <c r="J245" s="617" t="str">
        <f t="shared" si="3"/>
        <v>C</v>
      </c>
    </row>
    <row r="246" spans="1:10">
      <c r="A246" s="614">
        <v>41882</v>
      </c>
      <c r="B246" s="617">
        <v>8</v>
      </c>
      <c r="C246" s="617">
        <v>31</v>
      </c>
      <c r="D246" s="636">
        <v>84.1</v>
      </c>
      <c r="E246" s="636">
        <v>85.4</v>
      </c>
      <c r="F246" s="636">
        <v>74.5</v>
      </c>
      <c r="G246" s="636">
        <v>75.599999999999994</v>
      </c>
      <c r="H246" s="636">
        <v>64.5</v>
      </c>
      <c r="I246" s="636">
        <v>66</v>
      </c>
      <c r="J246" s="617" t="str">
        <f t="shared" si="3"/>
        <v>C</v>
      </c>
    </row>
    <row r="247" spans="1:10">
      <c r="A247" s="614">
        <v>41883</v>
      </c>
      <c r="B247" s="617">
        <v>9</v>
      </c>
      <c r="C247" s="617">
        <v>1</v>
      </c>
      <c r="D247" s="636">
        <v>83.8</v>
      </c>
      <c r="E247" s="636">
        <v>85.75</v>
      </c>
      <c r="F247" s="636">
        <v>73.25</v>
      </c>
      <c r="G247" s="636">
        <v>75.150000000000006</v>
      </c>
      <c r="H247" s="636">
        <v>63.05</v>
      </c>
      <c r="I247" s="636">
        <v>64.650000000000006</v>
      </c>
      <c r="J247" s="617" t="str">
        <f t="shared" si="3"/>
        <v>C</v>
      </c>
    </row>
    <row r="248" spans="1:10">
      <c r="A248" s="614">
        <v>41884</v>
      </c>
      <c r="B248" s="617">
        <v>9</v>
      </c>
      <c r="C248" s="617">
        <v>2</v>
      </c>
      <c r="D248" s="636">
        <v>83.6</v>
      </c>
      <c r="E248" s="636">
        <v>84.85</v>
      </c>
      <c r="F248" s="636">
        <v>73.7</v>
      </c>
      <c r="G248" s="636">
        <v>75.349999999999994</v>
      </c>
      <c r="H248" s="636">
        <v>63.95</v>
      </c>
      <c r="I248" s="636">
        <v>65.849999999999994</v>
      </c>
      <c r="J248" s="617" t="str">
        <f t="shared" si="3"/>
        <v>C</v>
      </c>
    </row>
    <row r="249" spans="1:10">
      <c r="A249" s="614">
        <v>41885</v>
      </c>
      <c r="B249" s="617">
        <v>9</v>
      </c>
      <c r="C249" s="617">
        <v>3</v>
      </c>
      <c r="D249" s="636">
        <v>82.8</v>
      </c>
      <c r="E249" s="636">
        <v>84.5</v>
      </c>
      <c r="F249" s="636">
        <v>73.25</v>
      </c>
      <c r="G249" s="636">
        <v>75.3</v>
      </c>
      <c r="H249" s="636">
        <v>63.6</v>
      </c>
      <c r="I249" s="636">
        <v>66.3</v>
      </c>
      <c r="J249" s="617" t="str">
        <f t="shared" si="3"/>
        <v>C</v>
      </c>
    </row>
    <row r="250" spans="1:10">
      <c r="A250" s="614">
        <v>41886</v>
      </c>
      <c r="B250" s="617">
        <v>9</v>
      </c>
      <c r="C250" s="617">
        <v>4</v>
      </c>
      <c r="D250" s="636">
        <v>82.4</v>
      </c>
      <c r="E250" s="636">
        <v>83.8</v>
      </c>
      <c r="F250" s="636">
        <v>71.75</v>
      </c>
      <c r="G250" s="636">
        <v>74.150000000000006</v>
      </c>
      <c r="H250" s="636">
        <v>61.2</v>
      </c>
      <c r="I250" s="636">
        <v>64.2</v>
      </c>
      <c r="J250" s="617" t="str">
        <f t="shared" si="3"/>
        <v>C</v>
      </c>
    </row>
    <row r="251" spans="1:10">
      <c r="A251" s="614">
        <v>41887</v>
      </c>
      <c r="B251" s="617">
        <v>9</v>
      </c>
      <c r="C251" s="617">
        <v>5</v>
      </c>
      <c r="D251" s="636">
        <v>82.3</v>
      </c>
      <c r="E251" s="636">
        <v>84.2</v>
      </c>
      <c r="F251" s="636">
        <v>71.45</v>
      </c>
      <c r="G251" s="636">
        <v>73.400000000000006</v>
      </c>
      <c r="H251" s="636">
        <v>60.8</v>
      </c>
      <c r="I251" s="636">
        <v>62.55</v>
      </c>
      <c r="J251" s="617" t="str">
        <f t="shared" si="3"/>
        <v>C</v>
      </c>
    </row>
    <row r="252" spans="1:10">
      <c r="A252" s="614">
        <v>41888</v>
      </c>
      <c r="B252" s="617">
        <v>9</v>
      </c>
      <c r="C252" s="617">
        <v>6</v>
      </c>
      <c r="D252" s="636">
        <v>83</v>
      </c>
      <c r="E252" s="636">
        <v>85.2</v>
      </c>
      <c r="F252" s="636">
        <v>72.099999999999994</v>
      </c>
      <c r="G252" s="636">
        <v>74.3</v>
      </c>
      <c r="H252" s="636">
        <v>61.2</v>
      </c>
      <c r="I252" s="636">
        <v>63.3</v>
      </c>
      <c r="J252" s="617" t="str">
        <f t="shared" si="3"/>
        <v>C</v>
      </c>
    </row>
    <row r="253" spans="1:10">
      <c r="A253" s="614">
        <v>41889</v>
      </c>
      <c r="B253" s="617">
        <v>9</v>
      </c>
      <c r="C253" s="617">
        <v>7</v>
      </c>
      <c r="D253" s="636">
        <v>82.8</v>
      </c>
      <c r="E253" s="636">
        <v>83.3</v>
      </c>
      <c r="F253" s="636">
        <v>72.650000000000006</v>
      </c>
      <c r="G253" s="636">
        <v>73.599999999999994</v>
      </c>
      <c r="H253" s="636">
        <v>62.55</v>
      </c>
      <c r="I253" s="636">
        <v>64.400000000000006</v>
      </c>
      <c r="J253" s="617" t="str">
        <f t="shared" si="3"/>
        <v>C</v>
      </c>
    </row>
    <row r="254" spans="1:10">
      <c r="A254" s="614">
        <v>41890</v>
      </c>
      <c r="B254" s="617">
        <v>9</v>
      </c>
      <c r="C254" s="617">
        <v>8</v>
      </c>
      <c r="D254" s="636">
        <v>81.599999999999994</v>
      </c>
      <c r="E254" s="636">
        <v>82.4</v>
      </c>
      <c r="F254" s="636">
        <v>71.400000000000006</v>
      </c>
      <c r="G254" s="636">
        <v>72.8</v>
      </c>
      <c r="H254" s="636">
        <v>61.5</v>
      </c>
      <c r="I254" s="636">
        <v>63.55</v>
      </c>
      <c r="J254" s="617" t="str">
        <f t="shared" si="3"/>
        <v>C</v>
      </c>
    </row>
    <row r="255" spans="1:10">
      <c r="A255" s="614">
        <v>41891</v>
      </c>
      <c r="B255" s="617">
        <v>9</v>
      </c>
      <c r="C255" s="617">
        <v>9</v>
      </c>
      <c r="D255" s="636">
        <v>79.84210526315789</v>
      </c>
      <c r="E255" s="636">
        <v>81.05</v>
      </c>
      <c r="F255" s="636">
        <v>70.526315789473685</v>
      </c>
      <c r="G255" s="636">
        <v>71.900000000000006</v>
      </c>
      <c r="H255" s="636">
        <v>61.157894736842103</v>
      </c>
      <c r="I255" s="636">
        <v>62.85</v>
      </c>
      <c r="J255" s="617" t="str">
        <f t="shared" si="3"/>
        <v>C</v>
      </c>
    </row>
    <row r="256" spans="1:10">
      <c r="A256" s="614">
        <v>41892</v>
      </c>
      <c r="B256" s="617">
        <v>9</v>
      </c>
      <c r="C256" s="617">
        <v>10</v>
      </c>
      <c r="D256" s="636">
        <v>79.400000000000006</v>
      </c>
      <c r="E256" s="636">
        <v>81.150000000000006</v>
      </c>
      <c r="F256" s="636">
        <v>69.5</v>
      </c>
      <c r="G256" s="636">
        <v>71</v>
      </c>
      <c r="H256" s="636">
        <v>59.35</v>
      </c>
      <c r="I256" s="636">
        <v>60.65</v>
      </c>
      <c r="J256" s="617" t="str">
        <f t="shared" si="3"/>
        <v>C</v>
      </c>
    </row>
    <row r="257" spans="1:10">
      <c r="A257" s="614">
        <v>41893</v>
      </c>
      <c r="B257" s="617">
        <v>9</v>
      </c>
      <c r="C257" s="617">
        <v>11</v>
      </c>
      <c r="D257" s="636">
        <v>80.5</v>
      </c>
      <c r="E257" s="636">
        <v>81.75</v>
      </c>
      <c r="F257" s="636">
        <v>69.05</v>
      </c>
      <c r="G257" s="636">
        <v>70.45</v>
      </c>
      <c r="H257" s="636">
        <v>57.6</v>
      </c>
      <c r="I257" s="636">
        <v>59.05</v>
      </c>
      <c r="J257" s="617" t="str">
        <f t="shared" si="3"/>
        <v>C</v>
      </c>
    </row>
    <row r="258" spans="1:10">
      <c r="A258" s="614">
        <v>41894</v>
      </c>
      <c r="B258" s="617">
        <v>9</v>
      </c>
      <c r="C258" s="617">
        <v>12</v>
      </c>
      <c r="D258" s="636">
        <v>81.55</v>
      </c>
      <c r="E258" s="636">
        <v>83.3</v>
      </c>
      <c r="F258" s="636">
        <v>70.150000000000006</v>
      </c>
      <c r="G258" s="636">
        <v>71.55</v>
      </c>
      <c r="H258" s="636">
        <v>58.7</v>
      </c>
      <c r="I258" s="636">
        <v>59.8</v>
      </c>
      <c r="J258" s="617" t="str">
        <f t="shared" si="3"/>
        <v>C</v>
      </c>
    </row>
    <row r="259" spans="1:10">
      <c r="A259" s="614">
        <v>41895</v>
      </c>
      <c r="B259" s="617">
        <v>9</v>
      </c>
      <c r="C259" s="617">
        <v>13</v>
      </c>
      <c r="D259" s="636">
        <v>82</v>
      </c>
      <c r="E259" s="636">
        <v>83.8</v>
      </c>
      <c r="F259" s="636">
        <v>70.55</v>
      </c>
      <c r="G259" s="636">
        <v>72.2</v>
      </c>
      <c r="H259" s="636">
        <v>59.35</v>
      </c>
      <c r="I259" s="636">
        <v>60.5</v>
      </c>
      <c r="J259" s="617" t="str">
        <f t="shared" si="3"/>
        <v>C</v>
      </c>
    </row>
    <row r="260" spans="1:10">
      <c r="A260" s="614">
        <v>41896</v>
      </c>
      <c r="B260" s="617">
        <v>9</v>
      </c>
      <c r="C260" s="617">
        <v>14</v>
      </c>
      <c r="D260" s="636">
        <v>81.099999999999994</v>
      </c>
      <c r="E260" s="636">
        <v>83.1</v>
      </c>
      <c r="F260" s="636">
        <v>70.900000000000006</v>
      </c>
      <c r="G260" s="636">
        <v>72.95</v>
      </c>
      <c r="H260" s="636">
        <v>60.55</v>
      </c>
      <c r="I260" s="636">
        <v>62.8</v>
      </c>
      <c r="J260" s="617" t="str">
        <f t="shared" si="3"/>
        <v>C</v>
      </c>
    </row>
    <row r="261" spans="1:10">
      <c r="A261" s="614">
        <v>41897</v>
      </c>
      <c r="B261" s="617">
        <v>9</v>
      </c>
      <c r="C261" s="617">
        <v>15</v>
      </c>
      <c r="D261" s="636">
        <v>78.25</v>
      </c>
      <c r="E261" s="636">
        <v>80.05</v>
      </c>
      <c r="F261" s="636">
        <v>68</v>
      </c>
      <c r="G261" s="636">
        <v>69.7</v>
      </c>
      <c r="H261" s="636">
        <v>58</v>
      </c>
      <c r="I261" s="636">
        <v>59.05</v>
      </c>
      <c r="J261" s="617" t="str">
        <f t="shared" ref="J261:J324" si="4">IF(OR(B261&lt;=4,B261&gt;=11),"H","C")</f>
        <v>C</v>
      </c>
    </row>
    <row r="262" spans="1:10">
      <c r="A262" s="614">
        <v>41898</v>
      </c>
      <c r="B262" s="617">
        <v>9</v>
      </c>
      <c r="C262" s="617">
        <v>16</v>
      </c>
      <c r="D262" s="636">
        <v>77.400000000000006</v>
      </c>
      <c r="E262" s="636">
        <v>79.599999999999994</v>
      </c>
      <c r="F262" s="636">
        <v>67.650000000000006</v>
      </c>
      <c r="G262" s="636">
        <v>70.2</v>
      </c>
      <c r="H262" s="636">
        <v>58</v>
      </c>
      <c r="I262" s="636">
        <v>61.05</v>
      </c>
      <c r="J262" s="617" t="str">
        <f t="shared" si="4"/>
        <v>C</v>
      </c>
    </row>
    <row r="263" spans="1:10">
      <c r="A263" s="614">
        <v>41899</v>
      </c>
      <c r="B263" s="617">
        <v>9</v>
      </c>
      <c r="C263" s="617">
        <v>17</v>
      </c>
      <c r="D263" s="636">
        <v>76.400000000000006</v>
      </c>
      <c r="E263" s="636">
        <v>78.650000000000006</v>
      </c>
      <c r="F263" s="636">
        <v>66.900000000000006</v>
      </c>
      <c r="G263" s="636">
        <v>69.75</v>
      </c>
      <c r="H263" s="636">
        <v>57.25</v>
      </c>
      <c r="I263" s="636">
        <v>60.7</v>
      </c>
      <c r="J263" s="617" t="str">
        <f t="shared" si="4"/>
        <v>C</v>
      </c>
    </row>
    <row r="264" spans="1:10">
      <c r="A264" s="614">
        <v>41900</v>
      </c>
      <c r="B264" s="617">
        <v>9</v>
      </c>
      <c r="C264" s="617">
        <v>18</v>
      </c>
      <c r="D264" s="636">
        <v>77.900000000000006</v>
      </c>
      <c r="E264" s="636">
        <v>80.05</v>
      </c>
      <c r="F264" s="636">
        <v>67.099999999999994</v>
      </c>
      <c r="G264" s="636">
        <v>69.05</v>
      </c>
      <c r="H264" s="636">
        <v>56.65</v>
      </c>
      <c r="I264" s="636">
        <v>58.45</v>
      </c>
      <c r="J264" s="617" t="str">
        <f t="shared" si="4"/>
        <v>C</v>
      </c>
    </row>
    <row r="265" spans="1:10">
      <c r="A265" s="614">
        <v>41901</v>
      </c>
      <c r="B265" s="617">
        <v>9</v>
      </c>
      <c r="C265" s="617">
        <v>19</v>
      </c>
      <c r="D265" s="636">
        <v>78.599999999999994</v>
      </c>
      <c r="E265" s="636">
        <v>79.8</v>
      </c>
      <c r="F265" s="636">
        <v>67.2</v>
      </c>
      <c r="G265" s="636">
        <v>68.75</v>
      </c>
      <c r="H265" s="636">
        <v>56.05</v>
      </c>
      <c r="I265" s="636">
        <v>57.55</v>
      </c>
      <c r="J265" s="617" t="str">
        <f t="shared" si="4"/>
        <v>C</v>
      </c>
    </row>
    <row r="266" spans="1:10">
      <c r="A266" s="614">
        <v>41902</v>
      </c>
      <c r="B266" s="617">
        <v>9</v>
      </c>
      <c r="C266" s="617">
        <v>20</v>
      </c>
      <c r="D266" s="636">
        <v>77.3</v>
      </c>
      <c r="E266" s="636">
        <v>79.25</v>
      </c>
      <c r="F266" s="636">
        <v>66.900000000000006</v>
      </c>
      <c r="G266" s="636">
        <v>68.95</v>
      </c>
      <c r="H266" s="636">
        <v>56.7</v>
      </c>
      <c r="I266" s="636">
        <v>58.6</v>
      </c>
      <c r="J266" s="617" t="str">
        <f t="shared" si="4"/>
        <v>C</v>
      </c>
    </row>
    <row r="267" spans="1:10">
      <c r="A267" s="614">
        <v>41903</v>
      </c>
      <c r="B267" s="617">
        <v>9</v>
      </c>
      <c r="C267" s="617">
        <v>21</v>
      </c>
      <c r="D267" s="636">
        <v>77.900000000000006</v>
      </c>
      <c r="E267" s="636">
        <v>79.2</v>
      </c>
      <c r="F267" s="636">
        <v>68.05</v>
      </c>
      <c r="G267" s="636">
        <v>69.400000000000006</v>
      </c>
      <c r="H267" s="636">
        <v>58.15</v>
      </c>
      <c r="I267" s="636">
        <v>59.3</v>
      </c>
      <c r="J267" s="617" t="str">
        <f t="shared" si="4"/>
        <v>C</v>
      </c>
    </row>
    <row r="268" spans="1:10">
      <c r="A268" s="614">
        <v>41904</v>
      </c>
      <c r="B268" s="617">
        <v>9</v>
      </c>
      <c r="C268" s="617">
        <v>22</v>
      </c>
      <c r="D268" s="636">
        <v>77.8</v>
      </c>
      <c r="E268" s="636">
        <v>79</v>
      </c>
      <c r="F268" s="636">
        <v>67.150000000000006</v>
      </c>
      <c r="G268" s="636">
        <v>68.349999999999994</v>
      </c>
      <c r="H268" s="636">
        <v>56.2</v>
      </c>
      <c r="I268" s="636">
        <v>57.35</v>
      </c>
      <c r="J268" s="617" t="str">
        <f t="shared" si="4"/>
        <v>C</v>
      </c>
    </row>
    <row r="269" spans="1:10">
      <c r="A269" s="614">
        <v>41905</v>
      </c>
      <c r="B269" s="617">
        <v>9</v>
      </c>
      <c r="C269" s="617">
        <v>23</v>
      </c>
      <c r="D269" s="636">
        <v>74.849999999999994</v>
      </c>
      <c r="E269" s="636">
        <v>76.900000000000006</v>
      </c>
      <c r="F269" s="636">
        <v>65.25</v>
      </c>
      <c r="G269" s="636">
        <v>66.599999999999994</v>
      </c>
      <c r="H269" s="636">
        <v>55.5</v>
      </c>
      <c r="I269" s="636">
        <v>56.65</v>
      </c>
      <c r="J269" s="617" t="str">
        <f t="shared" si="4"/>
        <v>C</v>
      </c>
    </row>
    <row r="270" spans="1:10">
      <c r="A270" s="614">
        <v>41906</v>
      </c>
      <c r="B270" s="617">
        <v>9</v>
      </c>
      <c r="C270" s="617">
        <v>24</v>
      </c>
      <c r="D270" s="636">
        <v>75.95</v>
      </c>
      <c r="E270" s="636">
        <v>77.099999999999994</v>
      </c>
      <c r="F270" s="636">
        <v>65.3</v>
      </c>
      <c r="G270" s="636">
        <v>66.650000000000006</v>
      </c>
      <c r="H270" s="636">
        <v>54.8</v>
      </c>
      <c r="I270" s="636">
        <v>55.95</v>
      </c>
      <c r="J270" s="617" t="str">
        <f t="shared" si="4"/>
        <v>C</v>
      </c>
    </row>
    <row r="271" spans="1:10">
      <c r="A271" s="614">
        <v>41907</v>
      </c>
      <c r="B271" s="617">
        <v>9</v>
      </c>
      <c r="C271" s="617">
        <v>25</v>
      </c>
      <c r="D271" s="636">
        <v>74.400000000000006</v>
      </c>
      <c r="E271" s="636">
        <v>76</v>
      </c>
      <c r="F271" s="636">
        <v>65.349999999999994</v>
      </c>
      <c r="G271" s="636">
        <v>66.7</v>
      </c>
      <c r="H271" s="636">
        <v>56.25</v>
      </c>
      <c r="I271" s="636">
        <v>57.5</v>
      </c>
      <c r="J271" s="617" t="str">
        <f t="shared" si="4"/>
        <v>C</v>
      </c>
    </row>
    <row r="272" spans="1:10">
      <c r="A272" s="614">
        <v>41908</v>
      </c>
      <c r="B272" s="617">
        <v>9</v>
      </c>
      <c r="C272" s="617">
        <v>26</v>
      </c>
      <c r="D272" s="636">
        <v>75.05</v>
      </c>
      <c r="E272" s="636">
        <v>75.75</v>
      </c>
      <c r="F272" s="636">
        <v>65.2</v>
      </c>
      <c r="G272" s="636">
        <v>66.400000000000006</v>
      </c>
      <c r="H272" s="636">
        <v>55.35</v>
      </c>
      <c r="I272" s="636">
        <v>57</v>
      </c>
      <c r="J272" s="617" t="str">
        <f t="shared" si="4"/>
        <v>C</v>
      </c>
    </row>
    <row r="273" spans="1:10">
      <c r="A273" s="614">
        <v>41909</v>
      </c>
      <c r="B273" s="617">
        <v>9</v>
      </c>
      <c r="C273" s="617">
        <v>27</v>
      </c>
      <c r="D273" s="636">
        <v>72.849999999999994</v>
      </c>
      <c r="E273" s="636">
        <v>75.349999999999994</v>
      </c>
      <c r="F273" s="636">
        <v>64.650000000000006</v>
      </c>
      <c r="G273" s="636">
        <v>66.3</v>
      </c>
      <c r="H273" s="636">
        <v>56.3</v>
      </c>
      <c r="I273" s="636">
        <v>56.95</v>
      </c>
      <c r="J273" s="617" t="str">
        <f t="shared" si="4"/>
        <v>C</v>
      </c>
    </row>
    <row r="274" spans="1:10">
      <c r="A274" s="614">
        <v>41910</v>
      </c>
      <c r="B274" s="617">
        <v>9</v>
      </c>
      <c r="C274" s="617">
        <v>28</v>
      </c>
      <c r="D274" s="636">
        <v>73.3</v>
      </c>
      <c r="E274" s="636">
        <v>75.5</v>
      </c>
      <c r="F274" s="636">
        <v>63.05</v>
      </c>
      <c r="G274" s="636">
        <v>64.45</v>
      </c>
      <c r="H274" s="636">
        <v>52.4</v>
      </c>
      <c r="I274" s="636">
        <v>53.7</v>
      </c>
      <c r="J274" s="617" t="str">
        <f t="shared" si="4"/>
        <v>C</v>
      </c>
    </row>
    <row r="275" spans="1:10">
      <c r="A275" s="614">
        <v>41911</v>
      </c>
      <c r="B275" s="617">
        <v>9</v>
      </c>
      <c r="C275" s="617">
        <v>29</v>
      </c>
      <c r="D275" s="636">
        <v>71.400000000000006</v>
      </c>
      <c r="E275" s="636">
        <v>73.2</v>
      </c>
      <c r="F275" s="636">
        <v>59.5</v>
      </c>
      <c r="G275" s="636">
        <v>61.4</v>
      </c>
      <c r="H275" s="636">
        <v>47.7</v>
      </c>
      <c r="I275" s="636">
        <v>49.9</v>
      </c>
      <c r="J275" s="617" t="str">
        <f t="shared" si="4"/>
        <v>C</v>
      </c>
    </row>
    <row r="276" spans="1:10">
      <c r="A276" s="614">
        <v>41912</v>
      </c>
      <c r="B276" s="617">
        <v>9</v>
      </c>
      <c r="C276" s="617">
        <v>30</v>
      </c>
      <c r="D276" s="636">
        <v>71.900000000000006</v>
      </c>
      <c r="E276" s="636">
        <v>73.849999999999994</v>
      </c>
      <c r="F276" s="636">
        <v>60.25</v>
      </c>
      <c r="G276" s="636">
        <v>61.65</v>
      </c>
      <c r="H276" s="636">
        <v>48.7</v>
      </c>
      <c r="I276" s="636">
        <v>49.8</v>
      </c>
      <c r="J276" s="617" t="str">
        <f t="shared" si="4"/>
        <v>C</v>
      </c>
    </row>
    <row r="277" spans="1:10">
      <c r="A277" s="614">
        <v>41913</v>
      </c>
      <c r="B277" s="617">
        <v>10</v>
      </c>
      <c r="C277" s="617">
        <v>1</v>
      </c>
      <c r="D277" s="636">
        <v>71.599999999999994</v>
      </c>
      <c r="E277" s="636">
        <v>73.599999999999994</v>
      </c>
      <c r="F277" s="636">
        <v>60.55</v>
      </c>
      <c r="G277" s="636">
        <v>62.35</v>
      </c>
      <c r="H277" s="636">
        <v>49.7</v>
      </c>
      <c r="I277" s="636">
        <v>51.1</v>
      </c>
      <c r="J277" s="617" t="str">
        <f t="shared" si="4"/>
        <v>C</v>
      </c>
    </row>
    <row r="278" spans="1:10">
      <c r="A278" s="614">
        <v>41914</v>
      </c>
      <c r="B278" s="617">
        <v>10</v>
      </c>
      <c r="C278" s="617">
        <v>2</v>
      </c>
      <c r="D278" s="636">
        <v>72.8</v>
      </c>
      <c r="E278" s="636">
        <v>73.900000000000006</v>
      </c>
      <c r="F278" s="636">
        <v>61.8</v>
      </c>
      <c r="G278" s="636">
        <v>62.75</v>
      </c>
      <c r="H278" s="636">
        <v>50.65</v>
      </c>
      <c r="I278" s="636">
        <v>51.5</v>
      </c>
      <c r="J278" s="617" t="str">
        <f t="shared" si="4"/>
        <v>C</v>
      </c>
    </row>
    <row r="279" spans="1:10">
      <c r="A279" s="614">
        <v>41915</v>
      </c>
      <c r="B279" s="617">
        <v>10</v>
      </c>
      <c r="C279" s="617">
        <v>3</v>
      </c>
      <c r="D279" s="636">
        <v>72</v>
      </c>
      <c r="E279" s="636">
        <v>73.349999999999994</v>
      </c>
      <c r="F279" s="636">
        <v>61.25</v>
      </c>
      <c r="G279" s="636">
        <v>62.45</v>
      </c>
      <c r="H279" s="636">
        <v>50.5</v>
      </c>
      <c r="I279" s="636">
        <v>51.75</v>
      </c>
      <c r="J279" s="617" t="str">
        <f t="shared" si="4"/>
        <v>C</v>
      </c>
    </row>
    <row r="280" spans="1:10">
      <c r="A280" s="614">
        <v>41916</v>
      </c>
      <c r="B280" s="617">
        <v>10</v>
      </c>
      <c r="C280" s="617">
        <v>4</v>
      </c>
      <c r="D280" s="636">
        <v>72.55</v>
      </c>
      <c r="E280" s="636">
        <v>73.900000000000006</v>
      </c>
      <c r="F280" s="636">
        <v>62.15</v>
      </c>
      <c r="G280" s="636">
        <v>63.2</v>
      </c>
      <c r="H280" s="636">
        <v>51.95</v>
      </c>
      <c r="I280" s="636">
        <v>52.8</v>
      </c>
      <c r="J280" s="617" t="str">
        <f t="shared" si="4"/>
        <v>C</v>
      </c>
    </row>
    <row r="281" spans="1:10">
      <c r="A281" s="614">
        <v>41917</v>
      </c>
      <c r="B281" s="617">
        <v>10</v>
      </c>
      <c r="C281" s="617">
        <v>5</v>
      </c>
      <c r="D281" s="636">
        <v>73</v>
      </c>
      <c r="E281" s="636">
        <v>74.849999999999994</v>
      </c>
      <c r="F281" s="636">
        <v>61.75</v>
      </c>
      <c r="G281" s="636">
        <v>62.8</v>
      </c>
      <c r="H281" s="636">
        <v>50.55</v>
      </c>
      <c r="I281" s="636">
        <v>50.95</v>
      </c>
      <c r="J281" s="617" t="str">
        <f t="shared" si="4"/>
        <v>C</v>
      </c>
    </row>
    <row r="282" spans="1:10">
      <c r="A282" s="614">
        <v>41918</v>
      </c>
      <c r="B282" s="617">
        <v>10</v>
      </c>
      <c r="C282" s="617">
        <v>6</v>
      </c>
      <c r="D282" s="636">
        <v>73.55</v>
      </c>
      <c r="E282" s="636">
        <v>75.5</v>
      </c>
      <c r="F282" s="636">
        <v>61.45</v>
      </c>
      <c r="G282" s="636">
        <v>62.55</v>
      </c>
      <c r="H282" s="636">
        <v>48.9</v>
      </c>
      <c r="I282" s="636">
        <v>50.2</v>
      </c>
      <c r="J282" s="617" t="str">
        <f t="shared" si="4"/>
        <v>C</v>
      </c>
    </row>
    <row r="283" spans="1:10">
      <c r="A283" s="614">
        <v>41919</v>
      </c>
      <c r="B283" s="617">
        <v>10</v>
      </c>
      <c r="C283" s="617">
        <v>7</v>
      </c>
      <c r="D283" s="636">
        <v>72.75</v>
      </c>
      <c r="E283" s="636">
        <v>75.150000000000006</v>
      </c>
      <c r="F283" s="636">
        <v>61.3</v>
      </c>
      <c r="G283" s="636">
        <v>62.8</v>
      </c>
      <c r="H283" s="636">
        <v>49.65</v>
      </c>
      <c r="I283" s="636">
        <v>50.25</v>
      </c>
      <c r="J283" s="617" t="str">
        <f t="shared" si="4"/>
        <v>C</v>
      </c>
    </row>
    <row r="284" spans="1:10">
      <c r="A284" s="614">
        <v>41920</v>
      </c>
      <c r="B284" s="617">
        <v>10</v>
      </c>
      <c r="C284" s="617">
        <v>8</v>
      </c>
      <c r="D284" s="636">
        <v>72.3</v>
      </c>
      <c r="E284" s="636">
        <v>73.55</v>
      </c>
      <c r="F284" s="636">
        <v>61.15</v>
      </c>
      <c r="G284" s="636">
        <v>62.45</v>
      </c>
      <c r="H284" s="636">
        <v>50.35</v>
      </c>
      <c r="I284" s="636">
        <v>51.25</v>
      </c>
      <c r="J284" s="617" t="str">
        <f t="shared" si="4"/>
        <v>C</v>
      </c>
    </row>
    <row r="285" spans="1:10">
      <c r="A285" s="614">
        <v>41921</v>
      </c>
      <c r="B285" s="617">
        <v>10</v>
      </c>
      <c r="C285" s="617">
        <v>9</v>
      </c>
      <c r="D285" s="636">
        <v>70.25</v>
      </c>
      <c r="E285" s="636">
        <v>71.7</v>
      </c>
      <c r="F285" s="636">
        <v>60.25</v>
      </c>
      <c r="G285" s="636">
        <v>61.55</v>
      </c>
      <c r="H285" s="636">
        <v>50.55</v>
      </c>
      <c r="I285" s="636">
        <v>51.25</v>
      </c>
      <c r="J285" s="617" t="str">
        <f t="shared" si="4"/>
        <v>C</v>
      </c>
    </row>
    <row r="286" spans="1:10">
      <c r="A286" s="614">
        <v>41922</v>
      </c>
      <c r="B286" s="617">
        <v>10</v>
      </c>
      <c r="C286" s="617">
        <v>10</v>
      </c>
      <c r="D286" s="636">
        <v>68.75</v>
      </c>
      <c r="E286" s="636">
        <v>70</v>
      </c>
      <c r="F286" s="636">
        <v>59.5</v>
      </c>
      <c r="G286" s="636">
        <v>60.5</v>
      </c>
      <c r="H286" s="636">
        <v>50</v>
      </c>
      <c r="I286" s="636">
        <v>51</v>
      </c>
      <c r="J286" s="617" t="str">
        <f t="shared" si="4"/>
        <v>C</v>
      </c>
    </row>
    <row r="287" spans="1:10">
      <c r="A287" s="614">
        <v>41923</v>
      </c>
      <c r="B287" s="617">
        <v>10</v>
      </c>
      <c r="C287" s="617">
        <v>11</v>
      </c>
      <c r="D287" s="636">
        <v>68.900000000000006</v>
      </c>
      <c r="E287" s="636">
        <v>71.5</v>
      </c>
      <c r="F287" s="636">
        <v>58.55</v>
      </c>
      <c r="G287" s="636">
        <v>60.8</v>
      </c>
      <c r="H287" s="636">
        <v>48.25</v>
      </c>
      <c r="I287" s="636">
        <v>49.85</v>
      </c>
      <c r="J287" s="617" t="str">
        <f t="shared" si="4"/>
        <v>C</v>
      </c>
    </row>
    <row r="288" spans="1:10">
      <c r="A288" s="614">
        <v>41924</v>
      </c>
      <c r="B288" s="617">
        <v>10</v>
      </c>
      <c r="C288" s="617">
        <v>12</v>
      </c>
      <c r="D288" s="636">
        <v>70.3</v>
      </c>
      <c r="E288" s="636">
        <v>71.95</v>
      </c>
      <c r="F288" s="636">
        <v>59.7</v>
      </c>
      <c r="G288" s="636">
        <v>61.1</v>
      </c>
      <c r="H288" s="636">
        <v>48.9</v>
      </c>
      <c r="I288" s="636">
        <v>50.1</v>
      </c>
      <c r="J288" s="617" t="str">
        <f t="shared" si="4"/>
        <v>C</v>
      </c>
    </row>
    <row r="289" spans="1:10">
      <c r="A289" s="614">
        <v>41925</v>
      </c>
      <c r="B289" s="617">
        <v>10</v>
      </c>
      <c r="C289" s="617">
        <v>13</v>
      </c>
      <c r="D289" s="636">
        <v>69.5</v>
      </c>
      <c r="E289" s="636">
        <v>70.8</v>
      </c>
      <c r="F289" s="636">
        <v>59.15</v>
      </c>
      <c r="G289" s="636">
        <v>60.65</v>
      </c>
      <c r="H289" s="636">
        <v>49.15</v>
      </c>
      <c r="I289" s="636">
        <v>50.2</v>
      </c>
      <c r="J289" s="617" t="str">
        <f t="shared" si="4"/>
        <v>C</v>
      </c>
    </row>
    <row r="290" spans="1:10">
      <c r="A290" s="614">
        <v>41926</v>
      </c>
      <c r="B290" s="617">
        <v>10</v>
      </c>
      <c r="C290" s="617">
        <v>14</v>
      </c>
      <c r="D290" s="636">
        <v>66.95</v>
      </c>
      <c r="E290" s="636">
        <v>69.349999999999994</v>
      </c>
      <c r="F290" s="636">
        <v>57.55</v>
      </c>
      <c r="G290" s="636">
        <v>59.7</v>
      </c>
      <c r="H290" s="636">
        <v>48.05</v>
      </c>
      <c r="I290" s="636">
        <v>49.85</v>
      </c>
      <c r="J290" s="617" t="str">
        <f t="shared" si="4"/>
        <v>C</v>
      </c>
    </row>
    <row r="291" spans="1:10">
      <c r="A291" s="614">
        <v>41927</v>
      </c>
      <c r="B291" s="617">
        <v>10</v>
      </c>
      <c r="C291" s="617">
        <v>15</v>
      </c>
      <c r="D291" s="636">
        <v>66.95</v>
      </c>
      <c r="E291" s="636">
        <v>69.2</v>
      </c>
      <c r="F291" s="636">
        <v>56.7</v>
      </c>
      <c r="G291" s="636">
        <v>58.35</v>
      </c>
      <c r="H291" s="636">
        <v>46.1</v>
      </c>
      <c r="I291" s="636">
        <v>47.25</v>
      </c>
      <c r="J291" s="617" t="str">
        <f t="shared" si="4"/>
        <v>C</v>
      </c>
    </row>
    <row r="292" spans="1:10">
      <c r="A292" s="614">
        <v>41928</v>
      </c>
      <c r="B292" s="617">
        <v>10</v>
      </c>
      <c r="C292" s="617">
        <v>16</v>
      </c>
      <c r="D292" s="636">
        <v>65.75</v>
      </c>
      <c r="E292" s="636">
        <v>67.95</v>
      </c>
      <c r="F292" s="636">
        <v>55.7</v>
      </c>
      <c r="G292" s="636">
        <v>57.8</v>
      </c>
      <c r="H292" s="636">
        <v>45.5</v>
      </c>
      <c r="I292" s="636">
        <v>47.45</v>
      </c>
      <c r="J292" s="617" t="str">
        <f t="shared" si="4"/>
        <v>C</v>
      </c>
    </row>
    <row r="293" spans="1:10">
      <c r="A293" s="614">
        <v>41929</v>
      </c>
      <c r="B293" s="617">
        <v>10</v>
      </c>
      <c r="C293" s="617">
        <v>17</v>
      </c>
      <c r="D293" s="636">
        <v>66.099999999999994</v>
      </c>
      <c r="E293" s="636">
        <v>67.7</v>
      </c>
      <c r="F293" s="636">
        <v>56.2</v>
      </c>
      <c r="G293" s="636">
        <v>57.45</v>
      </c>
      <c r="H293" s="636">
        <v>46.2</v>
      </c>
      <c r="I293" s="636">
        <v>46.75</v>
      </c>
      <c r="J293" s="617" t="str">
        <f t="shared" si="4"/>
        <v>C</v>
      </c>
    </row>
    <row r="294" spans="1:10">
      <c r="A294" s="614">
        <v>41930</v>
      </c>
      <c r="B294" s="617">
        <v>10</v>
      </c>
      <c r="C294" s="617">
        <v>18</v>
      </c>
      <c r="D294" s="636">
        <v>65.849999999999994</v>
      </c>
      <c r="E294" s="636">
        <v>66.7</v>
      </c>
      <c r="F294" s="636">
        <v>55.75</v>
      </c>
      <c r="G294" s="636">
        <v>57</v>
      </c>
      <c r="H294" s="636">
        <v>45.45</v>
      </c>
      <c r="I294" s="636">
        <v>47.15</v>
      </c>
      <c r="J294" s="617" t="str">
        <f t="shared" si="4"/>
        <v>C</v>
      </c>
    </row>
    <row r="295" spans="1:10">
      <c r="A295" s="614">
        <v>41931</v>
      </c>
      <c r="B295" s="617">
        <v>10</v>
      </c>
      <c r="C295" s="617">
        <v>19</v>
      </c>
      <c r="D295" s="636">
        <v>63.5</v>
      </c>
      <c r="E295" s="636">
        <v>64.650000000000006</v>
      </c>
      <c r="F295" s="636">
        <v>54.6</v>
      </c>
      <c r="G295" s="636">
        <v>55.35</v>
      </c>
      <c r="H295" s="636">
        <v>45.5</v>
      </c>
      <c r="I295" s="636">
        <v>46.55</v>
      </c>
      <c r="J295" s="617" t="str">
        <f t="shared" si="4"/>
        <v>C</v>
      </c>
    </row>
    <row r="296" spans="1:10">
      <c r="A296" s="614">
        <v>41932</v>
      </c>
      <c r="B296" s="617">
        <v>10</v>
      </c>
      <c r="C296" s="617">
        <v>20</v>
      </c>
      <c r="D296" s="636">
        <v>64.400000000000006</v>
      </c>
      <c r="E296" s="636">
        <v>65.7</v>
      </c>
      <c r="F296" s="636">
        <v>54.5</v>
      </c>
      <c r="G296" s="636">
        <v>55.75</v>
      </c>
      <c r="H296" s="636">
        <v>44.75</v>
      </c>
      <c r="I296" s="636">
        <v>45.3</v>
      </c>
      <c r="J296" s="617" t="str">
        <f t="shared" si="4"/>
        <v>C</v>
      </c>
    </row>
    <row r="297" spans="1:10">
      <c r="A297" s="614">
        <v>41933</v>
      </c>
      <c r="B297" s="617">
        <v>10</v>
      </c>
      <c r="C297" s="617">
        <v>21</v>
      </c>
      <c r="D297" s="636">
        <v>64.45</v>
      </c>
      <c r="E297" s="636">
        <v>65.900000000000006</v>
      </c>
      <c r="F297" s="636">
        <v>54.5</v>
      </c>
      <c r="G297" s="636">
        <v>55.55</v>
      </c>
      <c r="H297" s="636">
        <v>44.35</v>
      </c>
      <c r="I297" s="636">
        <v>44.75</v>
      </c>
      <c r="J297" s="617" t="str">
        <f t="shared" si="4"/>
        <v>C</v>
      </c>
    </row>
    <row r="298" spans="1:10">
      <c r="A298" s="614">
        <v>41934</v>
      </c>
      <c r="B298" s="617">
        <v>10</v>
      </c>
      <c r="C298" s="617">
        <v>22</v>
      </c>
      <c r="D298" s="636">
        <v>63.8</v>
      </c>
      <c r="E298" s="636">
        <v>66.45</v>
      </c>
      <c r="F298" s="636">
        <v>53.55</v>
      </c>
      <c r="G298" s="636">
        <v>55.75</v>
      </c>
      <c r="H298" s="636">
        <v>43.15</v>
      </c>
      <c r="I298" s="636">
        <v>44.95</v>
      </c>
      <c r="J298" s="617" t="str">
        <f t="shared" si="4"/>
        <v>C</v>
      </c>
    </row>
    <row r="299" spans="1:10">
      <c r="A299" s="614">
        <v>41935</v>
      </c>
      <c r="B299" s="617">
        <v>10</v>
      </c>
      <c r="C299" s="617">
        <v>23</v>
      </c>
      <c r="D299" s="636">
        <v>63.75</v>
      </c>
      <c r="E299" s="636">
        <v>65.45</v>
      </c>
      <c r="F299" s="636">
        <v>53.5</v>
      </c>
      <c r="G299" s="636">
        <v>55.6</v>
      </c>
      <c r="H299" s="636">
        <v>43.3</v>
      </c>
      <c r="I299" s="636">
        <v>45.2</v>
      </c>
      <c r="J299" s="617" t="str">
        <f t="shared" si="4"/>
        <v>C</v>
      </c>
    </row>
    <row r="300" spans="1:10">
      <c r="A300" s="614">
        <v>41936</v>
      </c>
      <c r="B300" s="617">
        <v>10</v>
      </c>
      <c r="C300" s="617">
        <v>24</v>
      </c>
      <c r="D300" s="636">
        <v>63.15</v>
      </c>
      <c r="E300" s="636">
        <v>65.849999999999994</v>
      </c>
      <c r="F300" s="636">
        <v>53.85</v>
      </c>
      <c r="G300" s="636">
        <v>56</v>
      </c>
      <c r="H300" s="636">
        <v>44.15</v>
      </c>
      <c r="I300" s="636">
        <v>45.4</v>
      </c>
      <c r="J300" s="617" t="str">
        <f t="shared" si="4"/>
        <v>C</v>
      </c>
    </row>
    <row r="301" spans="1:10">
      <c r="A301" s="614">
        <v>41937</v>
      </c>
      <c r="B301" s="617">
        <v>10</v>
      </c>
      <c r="C301" s="617">
        <v>25</v>
      </c>
      <c r="D301" s="636">
        <v>62.85</v>
      </c>
      <c r="E301" s="636">
        <v>64.55</v>
      </c>
      <c r="F301" s="636">
        <v>53.15</v>
      </c>
      <c r="G301" s="636">
        <v>54.3</v>
      </c>
      <c r="H301" s="636">
        <v>43.2</v>
      </c>
      <c r="I301" s="636">
        <v>44</v>
      </c>
      <c r="J301" s="617" t="str">
        <f t="shared" si="4"/>
        <v>C</v>
      </c>
    </row>
    <row r="302" spans="1:10">
      <c r="A302" s="614">
        <v>41938</v>
      </c>
      <c r="B302" s="617">
        <v>10</v>
      </c>
      <c r="C302" s="617">
        <v>26</v>
      </c>
      <c r="D302" s="636">
        <v>63.5</v>
      </c>
      <c r="E302" s="636">
        <v>64.849999999999994</v>
      </c>
      <c r="F302" s="636">
        <v>54.45</v>
      </c>
      <c r="G302" s="636">
        <v>55</v>
      </c>
      <c r="H302" s="636">
        <v>44.95</v>
      </c>
      <c r="I302" s="636">
        <v>45</v>
      </c>
      <c r="J302" s="617" t="str">
        <f t="shared" si="4"/>
        <v>C</v>
      </c>
    </row>
    <row r="303" spans="1:10">
      <c r="A303" s="614">
        <v>41939</v>
      </c>
      <c r="B303" s="617">
        <v>10</v>
      </c>
      <c r="C303" s="617">
        <v>27</v>
      </c>
      <c r="D303" s="636">
        <v>58.7</v>
      </c>
      <c r="E303" s="636">
        <v>60.8</v>
      </c>
      <c r="F303" s="636">
        <v>51.15</v>
      </c>
      <c r="G303" s="636">
        <v>52.85</v>
      </c>
      <c r="H303" s="636">
        <v>43.4</v>
      </c>
      <c r="I303" s="636">
        <v>44.95</v>
      </c>
      <c r="J303" s="617" t="str">
        <f t="shared" si="4"/>
        <v>C</v>
      </c>
    </row>
    <row r="304" spans="1:10">
      <c r="A304" s="614">
        <v>41940</v>
      </c>
      <c r="B304" s="617">
        <v>10</v>
      </c>
      <c r="C304" s="617">
        <v>28</v>
      </c>
      <c r="D304" s="636">
        <v>56.6</v>
      </c>
      <c r="E304" s="636">
        <v>59.6</v>
      </c>
      <c r="F304" s="636">
        <v>48.65</v>
      </c>
      <c r="G304" s="636">
        <v>50.5</v>
      </c>
      <c r="H304" s="636">
        <v>40.299999999999997</v>
      </c>
      <c r="I304" s="636">
        <v>41.45</v>
      </c>
      <c r="J304" s="617" t="str">
        <f t="shared" si="4"/>
        <v>C</v>
      </c>
    </row>
    <row r="305" spans="1:10">
      <c r="A305" s="614">
        <v>41941</v>
      </c>
      <c r="B305" s="617">
        <v>10</v>
      </c>
      <c r="C305" s="617">
        <v>29</v>
      </c>
      <c r="D305" s="636">
        <v>60.9</v>
      </c>
      <c r="E305" s="636">
        <v>63.85</v>
      </c>
      <c r="F305" s="636">
        <v>50.8</v>
      </c>
      <c r="G305" s="636">
        <v>52.65</v>
      </c>
      <c r="H305" s="636">
        <v>40.5</v>
      </c>
      <c r="I305" s="636">
        <v>41.25</v>
      </c>
      <c r="J305" s="617" t="str">
        <f t="shared" si="4"/>
        <v>C</v>
      </c>
    </row>
    <row r="306" spans="1:10">
      <c r="A306" s="614">
        <v>41942</v>
      </c>
      <c r="B306" s="617">
        <v>10</v>
      </c>
      <c r="C306" s="617">
        <v>30</v>
      </c>
      <c r="D306" s="636">
        <v>63.65</v>
      </c>
      <c r="E306" s="636">
        <v>65.900000000000006</v>
      </c>
      <c r="F306" s="636">
        <v>52.9</v>
      </c>
      <c r="G306" s="636">
        <v>54.35</v>
      </c>
      <c r="H306" s="636">
        <v>41.75</v>
      </c>
      <c r="I306" s="636">
        <v>42.65</v>
      </c>
      <c r="J306" s="617" t="str">
        <f t="shared" si="4"/>
        <v>C</v>
      </c>
    </row>
    <row r="307" spans="1:10">
      <c r="A307" s="614">
        <v>41943</v>
      </c>
      <c r="B307" s="617">
        <v>10</v>
      </c>
      <c r="C307" s="617">
        <v>31</v>
      </c>
      <c r="D307" s="636">
        <v>62</v>
      </c>
      <c r="E307" s="636">
        <v>63.65</v>
      </c>
      <c r="F307" s="636">
        <v>53.75</v>
      </c>
      <c r="G307" s="636">
        <v>54.95</v>
      </c>
      <c r="H307" s="636">
        <v>45</v>
      </c>
      <c r="I307" s="636">
        <v>45.85</v>
      </c>
      <c r="J307" s="617" t="str">
        <f t="shared" si="4"/>
        <v>C</v>
      </c>
    </row>
    <row r="308" spans="1:10">
      <c r="A308" s="614">
        <v>41944</v>
      </c>
      <c r="B308" s="617">
        <v>11</v>
      </c>
      <c r="C308" s="617">
        <v>1</v>
      </c>
      <c r="D308" s="636">
        <v>60.55</v>
      </c>
      <c r="E308" s="636">
        <v>62.85</v>
      </c>
      <c r="F308" s="636">
        <v>51.8</v>
      </c>
      <c r="G308" s="636">
        <v>53.7</v>
      </c>
      <c r="H308" s="636">
        <v>42.25</v>
      </c>
      <c r="I308" s="636">
        <v>43.65</v>
      </c>
      <c r="J308" s="617" t="str">
        <f t="shared" si="4"/>
        <v>H</v>
      </c>
    </row>
    <row r="309" spans="1:10">
      <c r="A309" s="614">
        <v>41945</v>
      </c>
      <c r="B309" s="617">
        <v>11</v>
      </c>
      <c r="C309" s="617">
        <v>2</v>
      </c>
      <c r="D309" s="636">
        <v>59.9</v>
      </c>
      <c r="E309" s="636">
        <v>62</v>
      </c>
      <c r="F309" s="636">
        <v>50</v>
      </c>
      <c r="G309" s="636">
        <v>51.35</v>
      </c>
      <c r="H309" s="636">
        <v>39.450000000000003</v>
      </c>
      <c r="I309" s="636">
        <v>40.35</v>
      </c>
      <c r="J309" s="617" t="str">
        <f t="shared" si="4"/>
        <v>H</v>
      </c>
    </row>
    <row r="310" spans="1:10">
      <c r="A310" s="614">
        <v>41946</v>
      </c>
      <c r="B310" s="617">
        <v>11</v>
      </c>
      <c r="C310" s="617">
        <v>3</v>
      </c>
      <c r="D310" s="636">
        <v>55.5</v>
      </c>
      <c r="E310" s="636">
        <v>56.95</v>
      </c>
      <c r="F310" s="636">
        <v>46.7</v>
      </c>
      <c r="G310" s="636">
        <v>48.3</v>
      </c>
      <c r="H310" s="636">
        <v>37.6</v>
      </c>
      <c r="I310" s="636">
        <v>39.950000000000003</v>
      </c>
      <c r="J310" s="617" t="str">
        <f t="shared" si="4"/>
        <v>H</v>
      </c>
    </row>
    <row r="311" spans="1:10">
      <c r="A311" s="614">
        <v>41947</v>
      </c>
      <c r="B311" s="617">
        <v>11</v>
      </c>
      <c r="C311" s="617">
        <v>4</v>
      </c>
      <c r="D311" s="636">
        <v>57.95</v>
      </c>
      <c r="E311" s="636">
        <v>59.8</v>
      </c>
      <c r="F311" s="636">
        <v>48.3</v>
      </c>
      <c r="G311" s="636">
        <v>50.2</v>
      </c>
      <c r="H311" s="636">
        <v>38.35</v>
      </c>
      <c r="I311" s="636">
        <v>40.450000000000003</v>
      </c>
      <c r="J311" s="617" t="str">
        <f t="shared" si="4"/>
        <v>H</v>
      </c>
    </row>
    <row r="312" spans="1:10">
      <c r="A312" s="614">
        <v>41948</v>
      </c>
      <c r="B312" s="617">
        <v>11</v>
      </c>
      <c r="C312" s="617">
        <v>5</v>
      </c>
      <c r="D312" s="636">
        <v>57.65</v>
      </c>
      <c r="E312" s="636">
        <v>59.4</v>
      </c>
      <c r="F312" s="636">
        <v>48.15</v>
      </c>
      <c r="G312" s="636">
        <v>50.1</v>
      </c>
      <c r="H312" s="636">
        <v>38.549999999999997</v>
      </c>
      <c r="I312" s="636">
        <v>40.65</v>
      </c>
      <c r="J312" s="617" t="str">
        <f t="shared" si="4"/>
        <v>H</v>
      </c>
    </row>
    <row r="313" spans="1:10">
      <c r="A313" s="614">
        <v>41949</v>
      </c>
      <c r="B313" s="617">
        <v>11</v>
      </c>
      <c r="C313" s="617">
        <v>6</v>
      </c>
      <c r="D313" s="636">
        <v>55.35</v>
      </c>
      <c r="E313" s="636">
        <v>57.4</v>
      </c>
      <c r="F313" s="636">
        <v>46.85</v>
      </c>
      <c r="G313" s="636">
        <v>49.05</v>
      </c>
      <c r="H313" s="636">
        <v>38.15</v>
      </c>
      <c r="I313" s="636">
        <v>40.15</v>
      </c>
      <c r="J313" s="617" t="str">
        <f t="shared" si="4"/>
        <v>H</v>
      </c>
    </row>
    <row r="314" spans="1:10">
      <c r="A314" s="614">
        <v>41950</v>
      </c>
      <c r="B314" s="617">
        <v>11</v>
      </c>
      <c r="C314" s="617">
        <v>7</v>
      </c>
      <c r="D314" s="636">
        <v>56.55</v>
      </c>
      <c r="E314" s="636">
        <v>58.75</v>
      </c>
      <c r="F314" s="636">
        <v>47.5</v>
      </c>
      <c r="G314" s="636">
        <v>49.25</v>
      </c>
      <c r="H314" s="636">
        <v>38.1</v>
      </c>
      <c r="I314" s="636">
        <v>39.200000000000003</v>
      </c>
      <c r="J314" s="617" t="str">
        <f t="shared" si="4"/>
        <v>H</v>
      </c>
    </row>
    <row r="315" spans="1:10">
      <c r="A315" s="614">
        <v>41951</v>
      </c>
      <c r="B315" s="617">
        <v>11</v>
      </c>
      <c r="C315" s="617">
        <v>8</v>
      </c>
      <c r="D315" s="636">
        <v>57.25</v>
      </c>
      <c r="E315" s="636">
        <v>60.4</v>
      </c>
      <c r="F315" s="636">
        <v>47.95</v>
      </c>
      <c r="G315" s="636">
        <v>50.15</v>
      </c>
      <c r="H315" s="636">
        <v>38.549999999999997</v>
      </c>
      <c r="I315" s="636">
        <v>40</v>
      </c>
      <c r="J315" s="617" t="str">
        <f t="shared" si="4"/>
        <v>H</v>
      </c>
    </row>
    <row r="316" spans="1:10">
      <c r="A316" s="614">
        <v>41952</v>
      </c>
      <c r="B316" s="617">
        <v>11</v>
      </c>
      <c r="C316" s="617">
        <v>9</v>
      </c>
      <c r="D316" s="636">
        <v>58.75</v>
      </c>
      <c r="E316" s="636">
        <v>60.85</v>
      </c>
      <c r="F316" s="636">
        <v>48.7</v>
      </c>
      <c r="G316" s="636">
        <v>51.1</v>
      </c>
      <c r="H316" s="636">
        <v>38.6</v>
      </c>
      <c r="I316" s="636">
        <v>40.9</v>
      </c>
      <c r="J316" s="617" t="str">
        <f t="shared" si="4"/>
        <v>H</v>
      </c>
    </row>
    <row r="317" spans="1:10">
      <c r="A317" s="614">
        <v>41953</v>
      </c>
      <c r="B317" s="617">
        <v>11</v>
      </c>
      <c r="C317" s="617">
        <v>10</v>
      </c>
      <c r="D317" s="636">
        <v>59.6</v>
      </c>
      <c r="E317" s="636">
        <v>61.8</v>
      </c>
      <c r="F317" s="636">
        <v>50.1</v>
      </c>
      <c r="G317" s="636">
        <v>51.8</v>
      </c>
      <c r="H317" s="636">
        <v>39.950000000000003</v>
      </c>
      <c r="I317" s="636">
        <v>41.9</v>
      </c>
      <c r="J317" s="617" t="str">
        <f t="shared" si="4"/>
        <v>H</v>
      </c>
    </row>
    <row r="318" spans="1:10">
      <c r="A318" s="614">
        <v>41954</v>
      </c>
      <c r="B318" s="617">
        <v>11</v>
      </c>
      <c r="C318" s="617">
        <v>11</v>
      </c>
      <c r="D318" s="636">
        <v>56</v>
      </c>
      <c r="E318" s="636">
        <v>58.55</v>
      </c>
      <c r="F318" s="636">
        <v>47.1</v>
      </c>
      <c r="G318" s="636">
        <v>49.85</v>
      </c>
      <c r="H318" s="636">
        <v>37.9</v>
      </c>
      <c r="I318" s="636">
        <v>40.65</v>
      </c>
      <c r="J318" s="617" t="str">
        <f t="shared" si="4"/>
        <v>H</v>
      </c>
    </row>
    <row r="319" spans="1:10">
      <c r="A319" s="614">
        <v>41955</v>
      </c>
      <c r="B319" s="617">
        <v>11</v>
      </c>
      <c r="C319" s="617">
        <v>12</v>
      </c>
      <c r="D319" s="636">
        <v>55.9</v>
      </c>
      <c r="E319" s="636">
        <v>58.35</v>
      </c>
      <c r="F319" s="636">
        <v>46.55</v>
      </c>
      <c r="G319" s="636">
        <v>48.55</v>
      </c>
      <c r="H319" s="636">
        <v>36.549999999999997</v>
      </c>
      <c r="I319" s="636">
        <v>37.9</v>
      </c>
      <c r="J319" s="617" t="str">
        <f t="shared" si="4"/>
        <v>H</v>
      </c>
    </row>
    <row r="320" spans="1:10">
      <c r="A320" s="614">
        <v>41956</v>
      </c>
      <c r="B320" s="617">
        <v>11</v>
      </c>
      <c r="C320" s="617">
        <v>13</v>
      </c>
      <c r="D320" s="636">
        <v>55.4</v>
      </c>
      <c r="E320" s="636">
        <v>58.05</v>
      </c>
      <c r="F320" s="636">
        <v>47.35</v>
      </c>
      <c r="G320" s="636">
        <v>49.25</v>
      </c>
      <c r="H320" s="636">
        <v>39</v>
      </c>
      <c r="I320" s="636">
        <v>40.200000000000003</v>
      </c>
      <c r="J320" s="617" t="str">
        <f t="shared" si="4"/>
        <v>H</v>
      </c>
    </row>
    <row r="321" spans="1:10">
      <c r="A321" s="614">
        <v>41957</v>
      </c>
      <c r="B321" s="617">
        <v>11</v>
      </c>
      <c r="C321" s="617">
        <v>14</v>
      </c>
      <c r="D321" s="636">
        <v>55.2</v>
      </c>
      <c r="E321" s="636">
        <v>58.3</v>
      </c>
      <c r="F321" s="636">
        <v>47.05</v>
      </c>
      <c r="G321" s="636">
        <v>49.8</v>
      </c>
      <c r="H321" s="636">
        <v>38.700000000000003</v>
      </c>
      <c r="I321" s="636">
        <v>40.950000000000003</v>
      </c>
      <c r="J321" s="617" t="str">
        <f t="shared" si="4"/>
        <v>H</v>
      </c>
    </row>
    <row r="322" spans="1:10">
      <c r="A322" s="614">
        <v>41958</v>
      </c>
      <c r="B322" s="617">
        <v>11</v>
      </c>
      <c r="C322" s="617">
        <v>15</v>
      </c>
      <c r="D322" s="636">
        <v>52.5</v>
      </c>
      <c r="E322" s="636">
        <v>54.35</v>
      </c>
      <c r="F322" s="636">
        <v>44.75</v>
      </c>
      <c r="G322" s="636">
        <v>46.2</v>
      </c>
      <c r="H322" s="636">
        <v>36.65</v>
      </c>
      <c r="I322" s="636">
        <v>37.549999999999997</v>
      </c>
      <c r="J322" s="617" t="str">
        <f t="shared" si="4"/>
        <v>H</v>
      </c>
    </row>
    <row r="323" spans="1:10">
      <c r="A323" s="614">
        <v>41959</v>
      </c>
      <c r="B323" s="617">
        <v>11</v>
      </c>
      <c r="C323" s="617">
        <v>16</v>
      </c>
      <c r="D323" s="636">
        <v>52.3</v>
      </c>
      <c r="E323" s="636">
        <v>53.5</v>
      </c>
      <c r="F323" s="636">
        <v>43.75</v>
      </c>
      <c r="G323" s="636">
        <v>45.35</v>
      </c>
      <c r="H323" s="636">
        <v>34.9</v>
      </c>
      <c r="I323" s="636">
        <v>37.049999999999997</v>
      </c>
      <c r="J323" s="617" t="str">
        <f t="shared" si="4"/>
        <v>H</v>
      </c>
    </row>
    <row r="324" spans="1:10">
      <c r="A324" s="614">
        <v>41960</v>
      </c>
      <c r="B324" s="617">
        <v>11</v>
      </c>
      <c r="C324" s="617">
        <v>17</v>
      </c>
      <c r="D324" s="636">
        <v>51.6</v>
      </c>
      <c r="E324" s="636">
        <v>53.75</v>
      </c>
      <c r="F324" s="636">
        <v>43.75</v>
      </c>
      <c r="G324" s="636">
        <v>45.6</v>
      </c>
      <c r="H324" s="636">
        <v>35.549999999999997</v>
      </c>
      <c r="I324" s="636">
        <v>37.35</v>
      </c>
      <c r="J324" s="617" t="str">
        <f t="shared" si="4"/>
        <v>H</v>
      </c>
    </row>
    <row r="325" spans="1:10">
      <c r="A325" s="614">
        <v>41961</v>
      </c>
      <c r="B325" s="617">
        <v>11</v>
      </c>
      <c r="C325" s="617">
        <v>18</v>
      </c>
      <c r="D325" s="636">
        <v>54.3</v>
      </c>
      <c r="E325" s="636">
        <v>56.2</v>
      </c>
      <c r="F325" s="636">
        <v>45.35</v>
      </c>
      <c r="G325" s="636">
        <v>46.8</v>
      </c>
      <c r="H325" s="636">
        <v>36</v>
      </c>
      <c r="I325" s="636">
        <v>37.15</v>
      </c>
      <c r="J325" s="617" t="str">
        <f t="shared" ref="J325:J368" si="5">IF(OR(B325&lt;=4,B325&gt;=11),"H","C")</f>
        <v>H</v>
      </c>
    </row>
    <row r="326" spans="1:10">
      <c r="A326" s="614">
        <v>41962</v>
      </c>
      <c r="B326" s="617">
        <v>11</v>
      </c>
      <c r="C326" s="617">
        <v>19</v>
      </c>
      <c r="D326" s="636">
        <v>55.9</v>
      </c>
      <c r="E326" s="636">
        <v>57.2</v>
      </c>
      <c r="F326" s="636">
        <v>47.45</v>
      </c>
      <c r="G326" s="636">
        <v>48.9</v>
      </c>
      <c r="H326" s="636">
        <v>38.549999999999997</v>
      </c>
      <c r="I326" s="636">
        <v>39.950000000000003</v>
      </c>
      <c r="J326" s="617" t="str">
        <f t="shared" si="5"/>
        <v>H</v>
      </c>
    </row>
    <row r="327" spans="1:10">
      <c r="A327" s="614">
        <v>41963</v>
      </c>
      <c r="B327" s="617">
        <v>11</v>
      </c>
      <c r="C327" s="617">
        <v>20</v>
      </c>
      <c r="D327" s="636">
        <v>55.4</v>
      </c>
      <c r="E327" s="636">
        <v>57.6</v>
      </c>
      <c r="F327" s="636">
        <v>46.9</v>
      </c>
      <c r="G327" s="636">
        <v>48.95</v>
      </c>
      <c r="H327" s="636">
        <v>38.6</v>
      </c>
      <c r="I327" s="636">
        <v>39.950000000000003</v>
      </c>
      <c r="J327" s="617" t="str">
        <f t="shared" si="5"/>
        <v>H</v>
      </c>
    </row>
    <row r="328" spans="1:10">
      <c r="A328" s="614">
        <v>41964</v>
      </c>
      <c r="B328" s="617">
        <v>11</v>
      </c>
      <c r="C328" s="617">
        <v>21</v>
      </c>
      <c r="D328" s="636">
        <v>55.3</v>
      </c>
      <c r="E328" s="636">
        <v>56.75</v>
      </c>
      <c r="F328" s="636">
        <v>47.2</v>
      </c>
      <c r="G328" s="636">
        <v>48.9</v>
      </c>
      <c r="H328" s="636">
        <v>38.85</v>
      </c>
      <c r="I328" s="636">
        <v>40.75</v>
      </c>
      <c r="J328" s="617" t="str">
        <f t="shared" si="5"/>
        <v>H</v>
      </c>
    </row>
    <row r="329" spans="1:10">
      <c r="A329" s="614">
        <v>41965</v>
      </c>
      <c r="B329" s="617">
        <v>11</v>
      </c>
      <c r="C329" s="617">
        <v>22</v>
      </c>
      <c r="D329" s="636">
        <v>54.2</v>
      </c>
      <c r="E329" s="636">
        <v>56.6</v>
      </c>
      <c r="F329" s="636">
        <v>46</v>
      </c>
      <c r="G329" s="636">
        <v>47.65</v>
      </c>
      <c r="H329" s="636">
        <v>37.1</v>
      </c>
      <c r="I329" s="636">
        <v>38.700000000000003</v>
      </c>
      <c r="J329" s="617" t="str">
        <f t="shared" si="5"/>
        <v>H</v>
      </c>
    </row>
    <row r="330" spans="1:10">
      <c r="A330" s="614">
        <v>41966</v>
      </c>
      <c r="B330" s="617">
        <v>11</v>
      </c>
      <c r="C330" s="617">
        <v>23</v>
      </c>
      <c r="D330" s="636">
        <v>54.3</v>
      </c>
      <c r="E330" s="636">
        <v>56.1</v>
      </c>
      <c r="F330" s="636">
        <v>44.8</v>
      </c>
      <c r="G330" s="636">
        <v>46.6</v>
      </c>
      <c r="H330" s="636">
        <v>35</v>
      </c>
      <c r="I330" s="636">
        <v>36.85</v>
      </c>
      <c r="J330" s="617" t="str">
        <f t="shared" si="5"/>
        <v>H</v>
      </c>
    </row>
    <row r="331" spans="1:10">
      <c r="A331" s="614">
        <v>41967</v>
      </c>
      <c r="B331" s="617">
        <v>11</v>
      </c>
      <c r="C331" s="617">
        <v>24</v>
      </c>
      <c r="D331" s="636">
        <v>52.8</v>
      </c>
      <c r="E331" s="636">
        <v>54.3</v>
      </c>
      <c r="F331" s="636">
        <v>43.85</v>
      </c>
      <c r="G331" s="636">
        <v>45.1</v>
      </c>
      <c r="H331" s="636">
        <v>34.35</v>
      </c>
      <c r="I331" s="636">
        <v>35.35</v>
      </c>
      <c r="J331" s="617" t="str">
        <f t="shared" si="5"/>
        <v>H</v>
      </c>
    </row>
    <row r="332" spans="1:10">
      <c r="A332" s="614">
        <v>41968</v>
      </c>
      <c r="B332" s="617">
        <v>11</v>
      </c>
      <c r="C332" s="617">
        <v>25</v>
      </c>
      <c r="D332" s="636">
        <v>52.45</v>
      </c>
      <c r="E332" s="636">
        <v>53.8</v>
      </c>
      <c r="F332" s="636">
        <v>43.6</v>
      </c>
      <c r="G332" s="636">
        <v>44.15</v>
      </c>
      <c r="H332" s="636">
        <v>34.4</v>
      </c>
      <c r="I332" s="636">
        <v>34.4</v>
      </c>
      <c r="J332" s="617" t="str">
        <f t="shared" si="5"/>
        <v>H</v>
      </c>
    </row>
    <row r="333" spans="1:10">
      <c r="A333" s="614">
        <v>41969</v>
      </c>
      <c r="B333" s="617">
        <v>11</v>
      </c>
      <c r="C333" s="617">
        <v>26</v>
      </c>
      <c r="D333" s="636">
        <v>53.4</v>
      </c>
      <c r="E333" s="636">
        <v>54.25</v>
      </c>
      <c r="F333" s="636">
        <v>44.5</v>
      </c>
      <c r="G333" s="636">
        <v>45.05</v>
      </c>
      <c r="H333" s="636">
        <v>35.049999999999997</v>
      </c>
      <c r="I333" s="636">
        <v>35.9</v>
      </c>
      <c r="J333" s="617" t="str">
        <f t="shared" si="5"/>
        <v>H</v>
      </c>
    </row>
    <row r="334" spans="1:10">
      <c r="A334" s="614">
        <v>41970</v>
      </c>
      <c r="B334" s="617">
        <v>11</v>
      </c>
      <c r="C334" s="617">
        <v>27</v>
      </c>
      <c r="D334" s="636">
        <v>50.9</v>
      </c>
      <c r="E334" s="636">
        <v>52.95</v>
      </c>
      <c r="F334" s="636">
        <v>43.5</v>
      </c>
      <c r="G334" s="636">
        <v>44.85</v>
      </c>
      <c r="H334" s="636">
        <v>35.65</v>
      </c>
      <c r="I334" s="636">
        <v>36.450000000000003</v>
      </c>
      <c r="J334" s="617" t="str">
        <f t="shared" si="5"/>
        <v>H</v>
      </c>
    </row>
    <row r="335" spans="1:10">
      <c r="A335" s="614">
        <v>41971</v>
      </c>
      <c r="B335" s="617">
        <v>11</v>
      </c>
      <c r="C335" s="617">
        <v>28</v>
      </c>
      <c r="D335" s="636">
        <v>50.65</v>
      </c>
      <c r="E335" s="636">
        <v>52.1</v>
      </c>
      <c r="F335" s="636">
        <v>42.2</v>
      </c>
      <c r="G335" s="636">
        <v>43.65</v>
      </c>
      <c r="H335" s="636">
        <v>33.450000000000003</v>
      </c>
      <c r="I335" s="636">
        <v>35.25</v>
      </c>
      <c r="J335" s="617" t="str">
        <f t="shared" si="5"/>
        <v>H</v>
      </c>
    </row>
    <row r="336" spans="1:10">
      <c r="A336" s="614">
        <v>41972</v>
      </c>
      <c r="B336" s="617">
        <v>11</v>
      </c>
      <c r="C336" s="617">
        <v>29</v>
      </c>
      <c r="D336" s="636">
        <v>50.4</v>
      </c>
      <c r="E336" s="636">
        <v>52.75</v>
      </c>
      <c r="F336" s="636">
        <v>42.65</v>
      </c>
      <c r="G336" s="636">
        <v>44.8</v>
      </c>
      <c r="H336" s="636">
        <v>34.5</v>
      </c>
      <c r="I336" s="636">
        <v>36.65</v>
      </c>
      <c r="J336" s="617" t="str">
        <f t="shared" si="5"/>
        <v>H</v>
      </c>
    </row>
    <row r="337" spans="1:10">
      <c r="A337" s="614">
        <v>41973</v>
      </c>
      <c r="B337" s="617">
        <v>11</v>
      </c>
      <c r="C337" s="617">
        <v>30</v>
      </c>
      <c r="D337" s="636">
        <v>50.95</v>
      </c>
      <c r="E337" s="636">
        <v>52.2</v>
      </c>
      <c r="F337" s="636">
        <v>42.7</v>
      </c>
      <c r="G337" s="636">
        <v>44.5</v>
      </c>
      <c r="H337" s="636">
        <v>34.25</v>
      </c>
      <c r="I337" s="636">
        <v>36.299999999999997</v>
      </c>
      <c r="J337" s="617" t="str">
        <f t="shared" si="5"/>
        <v>H</v>
      </c>
    </row>
    <row r="338" spans="1:10">
      <c r="A338" s="614">
        <v>41974</v>
      </c>
      <c r="B338" s="617">
        <v>12</v>
      </c>
      <c r="C338" s="617">
        <v>1</v>
      </c>
      <c r="D338" s="636">
        <v>47.85</v>
      </c>
      <c r="E338" s="636">
        <v>49.75</v>
      </c>
      <c r="F338" s="636">
        <v>39.15</v>
      </c>
      <c r="G338" s="636">
        <v>41</v>
      </c>
      <c r="H338" s="636">
        <v>30.2</v>
      </c>
      <c r="I338" s="636">
        <v>31.25</v>
      </c>
      <c r="J338" s="617" t="str">
        <f t="shared" si="5"/>
        <v>H</v>
      </c>
    </row>
    <row r="339" spans="1:10">
      <c r="A339" s="614">
        <v>41975</v>
      </c>
      <c r="B339" s="617">
        <v>12</v>
      </c>
      <c r="C339" s="617">
        <v>2</v>
      </c>
      <c r="D339" s="636">
        <v>49.4</v>
      </c>
      <c r="E339" s="636">
        <v>50.8</v>
      </c>
      <c r="F339" s="636">
        <v>40.549999999999997</v>
      </c>
      <c r="G339" s="636">
        <v>41.6</v>
      </c>
      <c r="H339" s="636">
        <v>31.55</v>
      </c>
      <c r="I339" s="636">
        <v>32.25</v>
      </c>
      <c r="J339" s="617" t="str">
        <f t="shared" si="5"/>
        <v>H</v>
      </c>
    </row>
    <row r="340" spans="1:10">
      <c r="A340" s="614">
        <v>41976</v>
      </c>
      <c r="B340" s="617">
        <v>12</v>
      </c>
      <c r="C340" s="617">
        <v>3</v>
      </c>
      <c r="D340" s="636">
        <v>50.8</v>
      </c>
      <c r="E340" s="636">
        <v>51.3</v>
      </c>
      <c r="F340" s="636">
        <v>43.35</v>
      </c>
      <c r="G340" s="636">
        <v>44.95</v>
      </c>
      <c r="H340" s="636">
        <v>35.549999999999997</v>
      </c>
      <c r="I340" s="636">
        <v>38.049999999999997</v>
      </c>
      <c r="J340" s="617" t="str">
        <f t="shared" si="5"/>
        <v>H</v>
      </c>
    </row>
    <row r="341" spans="1:10">
      <c r="A341" s="614">
        <v>41977</v>
      </c>
      <c r="B341" s="617">
        <v>12</v>
      </c>
      <c r="C341" s="617">
        <v>4</v>
      </c>
      <c r="D341" s="636">
        <v>48.85</v>
      </c>
      <c r="E341" s="636">
        <v>50.421052631578945</v>
      </c>
      <c r="F341" s="636">
        <v>42.05</v>
      </c>
      <c r="G341" s="636">
        <v>43.789473684210527</v>
      </c>
      <c r="H341" s="636">
        <v>35</v>
      </c>
      <c r="I341" s="636">
        <v>36.789473684210527</v>
      </c>
      <c r="J341" s="617" t="str">
        <f t="shared" si="5"/>
        <v>H</v>
      </c>
    </row>
    <row r="342" spans="1:10">
      <c r="A342" s="614">
        <v>41978</v>
      </c>
      <c r="B342" s="617">
        <v>12</v>
      </c>
      <c r="C342" s="617">
        <v>5</v>
      </c>
      <c r="D342" s="636">
        <v>45.25</v>
      </c>
      <c r="E342" s="636">
        <v>46.263157894736842</v>
      </c>
      <c r="F342" s="636">
        <v>38.6</v>
      </c>
      <c r="G342" s="636">
        <v>40.210526315789473</v>
      </c>
      <c r="H342" s="636">
        <v>31.5</v>
      </c>
      <c r="I342" s="636">
        <v>33.842105263157897</v>
      </c>
      <c r="J342" s="617" t="str">
        <f t="shared" si="5"/>
        <v>H</v>
      </c>
    </row>
    <row r="343" spans="1:10">
      <c r="A343" s="614">
        <v>41979</v>
      </c>
      <c r="B343" s="617">
        <v>12</v>
      </c>
      <c r="C343" s="617">
        <v>6</v>
      </c>
      <c r="D343" s="636">
        <v>42</v>
      </c>
      <c r="E343" s="636">
        <v>44.8</v>
      </c>
      <c r="F343" s="636">
        <v>35.75</v>
      </c>
      <c r="G343" s="636">
        <v>38.1</v>
      </c>
      <c r="H343" s="636">
        <v>29.2</v>
      </c>
      <c r="I343" s="636">
        <v>31.3</v>
      </c>
      <c r="J343" s="617" t="str">
        <f t="shared" si="5"/>
        <v>H</v>
      </c>
    </row>
    <row r="344" spans="1:10">
      <c r="A344" s="614">
        <v>41980</v>
      </c>
      <c r="B344" s="617">
        <v>12</v>
      </c>
      <c r="C344" s="617">
        <v>7</v>
      </c>
      <c r="D344" s="636">
        <v>42.85</v>
      </c>
      <c r="E344" s="636">
        <v>45.05</v>
      </c>
      <c r="F344" s="636">
        <v>36.5</v>
      </c>
      <c r="G344" s="636">
        <v>38.200000000000003</v>
      </c>
      <c r="H344" s="636">
        <v>29.4</v>
      </c>
      <c r="I344" s="636">
        <v>31.05</v>
      </c>
      <c r="J344" s="617" t="str">
        <f t="shared" si="5"/>
        <v>H</v>
      </c>
    </row>
    <row r="345" spans="1:10">
      <c r="A345" s="614">
        <v>41981</v>
      </c>
      <c r="B345" s="617">
        <v>12</v>
      </c>
      <c r="C345" s="617">
        <v>8</v>
      </c>
      <c r="D345" s="636">
        <v>42.45</v>
      </c>
      <c r="E345" s="636">
        <v>44.1</v>
      </c>
      <c r="F345" s="636">
        <v>35.65</v>
      </c>
      <c r="G345" s="636">
        <v>37.5</v>
      </c>
      <c r="H345" s="636">
        <v>28.55</v>
      </c>
      <c r="I345" s="636">
        <v>30.65</v>
      </c>
      <c r="J345" s="617" t="str">
        <f t="shared" si="5"/>
        <v>H</v>
      </c>
    </row>
    <row r="346" spans="1:10">
      <c r="A346" s="614">
        <v>41982</v>
      </c>
      <c r="B346" s="617">
        <v>12</v>
      </c>
      <c r="C346" s="617">
        <v>9</v>
      </c>
      <c r="D346" s="636">
        <v>47.25</v>
      </c>
      <c r="E346" s="636">
        <v>47.75</v>
      </c>
      <c r="F346" s="636">
        <v>38.799999999999997</v>
      </c>
      <c r="G346" s="636">
        <v>39.4</v>
      </c>
      <c r="H346" s="636">
        <v>29.95</v>
      </c>
      <c r="I346" s="636">
        <v>30.85</v>
      </c>
      <c r="J346" s="617" t="str">
        <f t="shared" si="5"/>
        <v>H</v>
      </c>
    </row>
    <row r="347" spans="1:10">
      <c r="A347" s="614">
        <v>41983</v>
      </c>
      <c r="B347" s="617">
        <v>12</v>
      </c>
      <c r="C347" s="617">
        <v>10</v>
      </c>
      <c r="D347" s="636">
        <v>46.35</v>
      </c>
      <c r="E347" s="636">
        <v>46.05</v>
      </c>
      <c r="F347" s="636">
        <v>38.15</v>
      </c>
      <c r="G347" s="636">
        <v>38.799999999999997</v>
      </c>
      <c r="H347" s="636">
        <v>29.65</v>
      </c>
      <c r="I347" s="636">
        <v>31.25</v>
      </c>
      <c r="J347" s="617" t="str">
        <f t="shared" si="5"/>
        <v>H</v>
      </c>
    </row>
    <row r="348" spans="1:10">
      <c r="A348" s="614">
        <v>41984</v>
      </c>
      <c r="B348" s="617">
        <v>12</v>
      </c>
      <c r="C348" s="617">
        <v>11</v>
      </c>
      <c r="D348" s="636">
        <v>42.25</v>
      </c>
      <c r="E348" s="636">
        <v>45.15</v>
      </c>
      <c r="F348" s="636">
        <v>36.15</v>
      </c>
      <c r="G348" s="636">
        <v>38.25</v>
      </c>
      <c r="H348" s="636">
        <v>29.85</v>
      </c>
      <c r="I348" s="636">
        <v>31.3</v>
      </c>
      <c r="J348" s="617" t="str">
        <f t="shared" si="5"/>
        <v>H</v>
      </c>
    </row>
    <row r="349" spans="1:10">
      <c r="A349" s="614">
        <v>41985</v>
      </c>
      <c r="B349" s="617">
        <v>12</v>
      </c>
      <c r="C349" s="617">
        <v>12</v>
      </c>
      <c r="D349" s="636">
        <v>44.1</v>
      </c>
      <c r="E349" s="636">
        <v>45.2</v>
      </c>
      <c r="F349" s="636">
        <v>36.85</v>
      </c>
      <c r="G349" s="636">
        <v>38.549999999999997</v>
      </c>
      <c r="H349" s="636">
        <v>29.3</v>
      </c>
      <c r="I349" s="636">
        <v>31.6</v>
      </c>
      <c r="J349" s="617" t="str">
        <f t="shared" si="5"/>
        <v>H</v>
      </c>
    </row>
    <row r="350" spans="1:10">
      <c r="A350" s="614">
        <v>41986</v>
      </c>
      <c r="B350" s="617">
        <v>12</v>
      </c>
      <c r="C350" s="617">
        <v>13</v>
      </c>
      <c r="D350" s="636">
        <v>43.4</v>
      </c>
      <c r="E350" s="636">
        <v>44.6</v>
      </c>
      <c r="F350" s="636">
        <v>37.200000000000003</v>
      </c>
      <c r="G350" s="636">
        <v>38.450000000000003</v>
      </c>
      <c r="H350" s="636">
        <v>30.75</v>
      </c>
      <c r="I350" s="636">
        <v>32.15</v>
      </c>
      <c r="J350" s="617" t="str">
        <f t="shared" si="5"/>
        <v>H</v>
      </c>
    </row>
    <row r="351" spans="1:10">
      <c r="A351" s="614">
        <v>41987</v>
      </c>
      <c r="B351" s="617">
        <v>12</v>
      </c>
      <c r="C351" s="617">
        <v>14</v>
      </c>
      <c r="D351" s="636">
        <v>46.7</v>
      </c>
      <c r="E351" s="636">
        <v>49.45</v>
      </c>
      <c r="F351" s="636">
        <v>39.450000000000003</v>
      </c>
      <c r="G351" s="636">
        <v>41.75</v>
      </c>
      <c r="H351" s="636">
        <v>31.9</v>
      </c>
      <c r="I351" s="636">
        <v>34</v>
      </c>
      <c r="J351" s="617" t="str">
        <f t="shared" si="5"/>
        <v>H</v>
      </c>
    </row>
    <row r="352" spans="1:10">
      <c r="A352" s="614">
        <v>41988</v>
      </c>
      <c r="B352" s="617">
        <v>12</v>
      </c>
      <c r="C352" s="617">
        <v>15</v>
      </c>
      <c r="D352" s="636">
        <v>48.7</v>
      </c>
      <c r="E352" s="636">
        <v>49.8</v>
      </c>
      <c r="F352" s="636">
        <v>39.4</v>
      </c>
      <c r="G352" s="636">
        <v>41.15</v>
      </c>
      <c r="H352" s="636">
        <v>29.95</v>
      </c>
      <c r="I352" s="636">
        <v>32.049999999999997</v>
      </c>
      <c r="J352" s="617" t="str">
        <f t="shared" si="5"/>
        <v>H</v>
      </c>
    </row>
    <row r="353" spans="1:10">
      <c r="A353" s="614">
        <v>41989</v>
      </c>
      <c r="B353" s="617">
        <v>12</v>
      </c>
      <c r="C353" s="617">
        <v>16</v>
      </c>
      <c r="D353" s="636">
        <v>46.6</v>
      </c>
      <c r="E353" s="636">
        <v>46.9</v>
      </c>
      <c r="F353" s="636">
        <v>39.65</v>
      </c>
      <c r="G353" s="636">
        <v>40.25</v>
      </c>
      <c r="H353" s="636">
        <v>32.4</v>
      </c>
      <c r="I353" s="636">
        <v>33.450000000000003</v>
      </c>
      <c r="J353" s="617" t="str">
        <f t="shared" si="5"/>
        <v>H</v>
      </c>
    </row>
    <row r="354" spans="1:10">
      <c r="A354" s="614">
        <v>41990</v>
      </c>
      <c r="B354" s="617">
        <v>12</v>
      </c>
      <c r="C354" s="617">
        <v>17</v>
      </c>
      <c r="D354" s="636">
        <v>45.4</v>
      </c>
      <c r="E354" s="636">
        <v>46.3</v>
      </c>
      <c r="F354" s="636">
        <v>38.799999999999997</v>
      </c>
      <c r="G354" s="636">
        <v>40.200000000000003</v>
      </c>
      <c r="H354" s="636">
        <v>31.75</v>
      </c>
      <c r="I354" s="636">
        <v>33.700000000000003</v>
      </c>
      <c r="J354" s="617" t="str">
        <f t="shared" si="5"/>
        <v>H</v>
      </c>
    </row>
    <row r="355" spans="1:10">
      <c r="A355" s="614">
        <v>41991</v>
      </c>
      <c r="B355" s="617">
        <v>12</v>
      </c>
      <c r="C355" s="617">
        <v>18</v>
      </c>
      <c r="D355" s="636">
        <v>43.85</v>
      </c>
      <c r="E355" s="636">
        <v>45.5</v>
      </c>
      <c r="F355" s="636">
        <v>37.700000000000003</v>
      </c>
      <c r="G355" s="636">
        <v>39.1</v>
      </c>
      <c r="H355" s="636">
        <v>31.35</v>
      </c>
      <c r="I355" s="636">
        <v>32.25</v>
      </c>
      <c r="J355" s="617" t="str">
        <f t="shared" si="5"/>
        <v>H</v>
      </c>
    </row>
    <row r="356" spans="1:10">
      <c r="A356" s="614">
        <v>41992</v>
      </c>
      <c r="B356" s="617">
        <v>12</v>
      </c>
      <c r="C356" s="617">
        <v>19</v>
      </c>
      <c r="D356" s="636">
        <v>44.15</v>
      </c>
      <c r="E356" s="636">
        <v>44.35</v>
      </c>
      <c r="F356" s="636">
        <v>37.049999999999997</v>
      </c>
      <c r="G356" s="636">
        <v>37.700000000000003</v>
      </c>
      <c r="H356" s="636">
        <v>29.45</v>
      </c>
      <c r="I356" s="636">
        <v>30.5</v>
      </c>
      <c r="J356" s="617" t="str">
        <f t="shared" si="5"/>
        <v>H</v>
      </c>
    </row>
    <row r="357" spans="1:10">
      <c r="A357" s="614">
        <v>41993</v>
      </c>
      <c r="B357" s="617">
        <v>12</v>
      </c>
      <c r="C357" s="617">
        <v>20</v>
      </c>
      <c r="D357" s="636">
        <v>41.45</v>
      </c>
      <c r="E357" s="636">
        <v>42.9</v>
      </c>
      <c r="F357" s="636">
        <v>33.700000000000003</v>
      </c>
      <c r="G357" s="636">
        <v>35.9</v>
      </c>
      <c r="H357" s="636">
        <v>25.8</v>
      </c>
      <c r="I357" s="636">
        <v>28.65</v>
      </c>
      <c r="J357" s="617" t="str">
        <f t="shared" si="5"/>
        <v>H</v>
      </c>
    </row>
    <row r="358" spans="1:10">
      <c r="A358" s="614">
        <v>41994</v>
      </c>
      <c r="B358" s="617">
        <v>12</v>
      </c>
      <c r="C358" s="617">
        <v>21</v>
      </c>
      <c r="D358" s="636">
        <v>43.3</v>
      </c>
      <c r="E358" s="636">
        <v>45.35</v>
      </c>
      <c r="F358" s="636">
        <v>35.5</v>
      </c>
      <c r="G358" s="636">
        <v>37.85</v>
      </c>
      <c r="H358" s="636">
        <v>27.4</v>
      </c>
      <c r="I358" s="636">
        <v>30.2</v>
      </c>
      <c r="J358" s="617" t="str">
        <f t="shared" si="5"/>
        <v>H</v>
      </c>
    </row>
    <row r="359" spans="1:10">
      <c r="A359" s="614">
        <v>41995</v>
      </c>
      <c r="B359" s="617">
        <v>12</v>
      </c>
      <c r="C359" s="617">
        <v>22</v>
      </c>
      <c r="D359" s="636">
        <v>43.6</v>
      </c>
      <c r="E359" s="636">
        <v>45.45</v>
      </c>
      <c r="F359" s="636">
        <v>36.15</v>
      </c>
      <c r="G359" s="636">
        <v>38.049999999999997</v>
      </c>
      <c r="H359" s="636">
        <v>28.2</v>
      </c>
      <c r="I359" s="636">
        <v>30.6</v>
      </c>
      <c r="J359" s="617" t="str">
        <f t="shared" si="5"/>
        <v>H</v>
      </c>
    </row>
    <row r="360" spans="1:10">
      <c r="A360" s="614">
        <v>41996</v>
      </c>
      <c r="B360" s="617">
        <v>12</v>
      </c>
      <c r="C360" s="617">
        <v>23</v>
      </c>
      <c r="D360" s="636">
        <v>42.9</v>
      </c>
      <c r="E360" s="636">
        <v>44.95</v>
      </c>
      <c r="F360" s="636">
        <v>35.9</v>
      </c>
      <c r="G360" s="636">
        <v>37.75</v>
      </c>
      <c r="H360" s="636">
        <v>28.25</v>
      </c>
      <c r="I360" s="636">
        <v>30.25</v>
      </c>
      <c r="J360" s="617" t="str">
        <f t="shared" si="5"/>
        <v>H</v>
      </c>
    </row>
    <row r="361" spans="1:10">
      <c r="A361" s="614">
        <v>41997</v>
      </c>
      <c r="B361" s="617">
        <v>12</v>
      </c>
      <c r="C361" s="617">
        <v>24</v>
      </c>
      <c r="D361" s="636">
        <v>38.9</v>
      </c>
      <c r="E361" s="636">
        <v>40.25</v>
      </c>
      <c r="F361" s="636">
        <v>32.5</v>
      </c>
      <c r="G361" s="636">
        <v>34.35</v>
      </c>
      <c r="H361" s="636">
        <v>25.95</v>
      </c>
      <c r="I361" s="636">
        <v>27.85</v>
      </c>
      <c r="J361" s="617" t="str">
        <f t="shared" si="5"/>
        <v>H</v>
      </c>
    </row>
    <row r="362" spans="1:10">
      <c r="A362" s="614">
        <v>41998</v>
      </c>
      <c r="B362" s="617">
        <v>12</v>
      </c>
      <c r="C362" s="617">
        <v>25</v>
      </c>
      <c r="D362" s="636">
        <v>37.25</v>
      </c>
      <c r="E362" s="636">
        <v>38.299999999999997</v>
      </c>
      <c r="F362" s="636">
        <v>30.4</v>
      </c>
      <c r="G362" s="636">
        <v>31.7</v>
      </c>
      <c r="H362" s="636">
        <v>23.25</v>
      </c>
      <c r="I362" s="636">
        <v>24.8</v>
      </c>
      <c r="J362" s="617" t="str">
        <f t="shared" si="5"/>
        <v>H</v>
      </c>
    </row>
    <row r="363" spans="1:10">
      <c r="A363" s="614">
        <v>41999</v>
      </c>
      <c r="B363" s="617">
        <v>12</v>
      </c>
      <c r="C363" s="617">
        <v>26</v>
      </c>
      <c r="D363" s="636">
        <v>38.049999999999997</v>
      </c>
      <c r="E363" s="636">
        <v>38.85</v>
      </c>
      <c r="F363" s="636">
        <v>30.7</v>
      </c>
      <c r="G363" s="636">
        <v>32.35</v>
      </c>
      <c r="H363" s="636">
        <v>23.15</v>
      </c>
      <c r="I363" s="636">
        <v>25.55</v>
      </c>
      <c r="J363" s="617" t="str">
        <f t="shared" si="5"/>
        <v>H</v>
      </c>
    </row>
    <row r="364" spans="1:10">
      <c r="A364" s="614">
        <v>42000</v>
      </c>
      <c r="B364" s="617">
        <v>12</v>
      </c>
      <c r="C364" s="617">
        <v>27</v>
      </c>
      <c r="D364" s="636">
        <v>39.950000000000003</v>
      </c>
      <c r="E364" s="636">
        <v>41.5</v>
      </c>
      <c r="F364" s="636">
        <v>33.5</v>
      </c>
      <c r="G364" s="636">
        <v>34.65</v>
      </c>
      <c r="H364" s="636">
        <v>26.65</v>
      </c>
      <c r="I364" s="636">
        <v>28.05</v>
      </c>
      <c r="J364" s="617" t="str">
        <f t="shared" si="5"/>
        <v>H</v>
      </c>
    </row>
    <row r="365" spans="1:10">
      <c r="A365" s="614">
        <v>42001</v>
      </c>
      <c r="B365" s="617">
        <v>12</v>
      </c>
      <c r="C365" s="617">
        <v>28</v>
      </c>
      <c r="D365" s="636">
        <v>44.8</v>
      </c>
      <c r="E365" s="636">
        <v>46.5</v>
      </c>
      <c r="F365" s="636">
        <v>36.65</v>
      </c>
      <c r="G365" s="636">
        <v>38.299999999999997</v>
      </c>
      <c r="H365" s="636">
        <v>28.2</v>
      </c>
      <c r="I365" s="636">
        <v>30</v>
      </c>
      <c r="J365" s="617" t="str">
        <f t="shared" si="5"/>
        <v>H</v>
      </c>
    </row>
    <row r="366" spans="1:10">
      <c r="A366" s="614">
        <v>42002</v>
      </c>
      <c r="B366" s="617">
        <v>12</v>
      </c>
      <c r="C366" s="617">
        <v>29</v>
      </c>
      <c r="D366" s="636">
        <v>43.85</v>
      </c>
      <c r="E366" s="636">
        <v>45.7</v>
      </c>
      <c r="F366" s="636">
        <v>36.85</v>
      </c>
      <c r="G366" s="636">
        <v>37.950000000000003</v>
      </c>
      <c r="H366" s="636">
        <v>29.4</v>
      </c>
      <c r="I366" s="636">
        <v>29.85</v>
      </c>
      <c r="J366" s="617" t="str">
        <f t="shared" si="5"/>
        <v>H</v>
      </c>
    </row>
    <row r="367" spans="1:10">
      <c r="A367" s="614">
        <v>42003</v>
      </c>
      <c r="B367" s="617">
        <v>12</v>
      </c>
      <c r="C367" s="617">
        <v>30</v>
      </c>
      <c r="D367" s="636">
        <v>45.35</v>
      </c>
      <c r="E367" s="636">
        <v>46.7</v>
      </c>
      <c r="F367" s="636">
        <v>37.549999999999997</v>
      </c>
      <c r="G367" s="636">
        <v>39.049999999999997</v>
      </c>
      <c r="H367" s="636">
        <v>29.5</v>
      </c>
      <c r="I367" s="636">
        <v>31.65</v>
      </c>
      <c r="J367" s="617" t="str">
        <f t="shared" si="5"/>
        <v>H</v>
      </c>
    </row>
    <row r="368" spans="1:10">
      <c r="A368" s="614">
        <v>42004</v>
      </c>
      <c r="B368" s="617">
        <v>12</v>
      </c>
      <c r="C368" s="617">
        <v>31</v>
      </c>
      <c r="D368" s="636">
        <v>46.7</v>
      </c>
      <c r="E368" s="636">
        <v>48</v>
      </c>
      <c r="F368" s="636">
        <v>39.6</v>
      </c>
      <c r="G368" s="636">
        <v>41.1</v>
      </c>
      <c r="H368" s="636">
        <v>32.1</v>
      </c>
      <c r="I368" s="636">
        <v>33.85</v>
      </c>
      <c r="J368" s="617" t="str">
        <f t="shared" si="5"/>
        <v>H</v>
      </c>
    </row>
    <row r="369" spans="1:10">
      <c r="A369" s="614"/>
      <c r="B369" s="615"/>
      <c r="C369" s="615"/>
      <c r="D369" s="616"/>
      <c r="E369" s="616"/>
      <c r="F369" s="616"/>
      <c r="G369" s="616"/>
      <c r="H369" s="616"/>
      <c r="I369" s="616"/>
      <c r="J369" s="617"/>
    </row>
  </sheetData>
  <mergeCells count="3"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"/>
  <sheetViews>
    <sheetView showGridLines="0" zoomScale="90" zoomScaleNormal="90" workbookViewId="0">
      <selection sqref="A1:Z1048576"/>
    </sheetView>
  </sheetViews>
  <sheetFormatPr defaultRowHeight="12.75"/>
  <sheetData/>
  <pageMargins left="0.7" right="0.7" top="0.75" bottom="0.75" header="0.3" footer="0.3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"/>
  <sheetViews>
    <sheetView showGridLines="0" zoomScale="90" zoomScaleNormal="90" workbookViewId="0"/>
  </sheetViews>
  <sheetFormatPr defaultRowHeight="12.75"/>
  <sheetData/>
  <pageMargins left="0.7" right="0.7" top="0.75" bottom="0.75" header="0.3" footer="0.3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392"/>
  <sheetViews>
    <sheetView zoomScale="88" zoomScaleNormal="88" workbookViewId="0">
      <selection sqref="A1:XFD1048576"/>
    </sheetView>
  </sheetViews>
  <sheetFormatPr defaultRowHeight="12.75"/>
  <cols>
    <col min="1" max="1" width="4.140625" style="6" customWidth="1"/>
    <col min="2" max="2" width="9.5703125" style="6" customWidth="1"/>
    <col min="3" max="3" width="37.140625" style="6" customWidth="1"/>
    <col min="4" max="6" width="11.42578125" style="570" bestFit="1" customWidth="1"/>
    <col min="7" max="7" width="12.85546875" style="570" customWidth="1"/>
    <col min="8" max="8" width="11.7109375" style="570" bestFit="1" customWidth="1"/>
    <col min="9" max="9" width="12.28515625" style="570" customWidth="1"/>
    <col min="10" max="13" width="11.7109375" style="570" bestFit="1" customWidth="1"/>
    <col min="14" max="14" width="12" style="570" bestFit="1" customWidth="1"/>
    <col min="15" max="15" width="11.7109375" style="570" bestFit="1" customWidth="1"/>
    <col min="16" max="16" width="15.7109375" style="12" bestFit="1" customWidth="1"/>
    <col min="17" max="17" width="9.85546875" bestFit="1" customWidth="1"/>
    <col min="18" max="18" width="10.140625" bestFit="1" customWidth="1"/>
  </cols>
  <sheetData>
    <row r="1" spans="1:18" ht="15.75">
      <c r="B1" s="7" t="s">
        <v>5</v>
      </c>
      <c r="C1" s="8"/>
    </row>
    <row r="2" spans="1:18" ht="15.75">
      <c r="B2" s="7" t="s">
        <v>324</v>
      </c>
      <c r="C2" s="8"/>
    </row>
    <row r="6" spans="1:18">
      <c r="A6" s="6">
        <v>1</v>
      </c>
      <c r="B6" s="9"/>
      <c r="C6" s="9"/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1" t="s">
        <v>18</v>
      </c>
    </row>
    <row r="7" spans="1:18">
      <c r="A7" s="6">
        <v>2</v>
      </c>
      <c r="C7" s="12" t="s">
        <v>19</v>
      </c>
      <c r="D7" s="570">
        <v>31</v>
      </c>
      <c r="E7" s="570">
        <v>28</v>
      </c>
      <c r="F7" s="570">
        <v>31</v>
      </c>
      <c r="G7" s="570">
        <v>30</v>
      </c>
      <c r="H7" s="570">
        <v>31</v>
      </c>
      <c r="I7" s="570">
        <v>30</v>
      </c>
      <c r="J7" s="570">
        <v>31</v>
      </c>
      <c r="K7" s="570">
        <v>31</v>
      </c>
      <c r="L7" s="570">
        <v>30</v>
      </c>
      <c r="M7" s="570">
        <v>31</v>
      </c>
      <c r="N7" s="570">
        <v>30</v>
      </c>
      <c r="O7" s="570">
        <v>31</v>
      </c>
    </row>
    <row r="8" spans="1:18">
      <c r="A8" s="6">
        <v>3</v>
      </c>
      <c r="B8" s="13" t="s">
        <v>20</v>
      </c>
      <c r="C8" s="12"/>
      <c r="P8" s="571"/>
    </row>
    <row r="9" spans="1:18">
      <c r="A9" s="6">
        <v>4</v>
      </c>
      <c r="C9" s="12" t="s">
        <v>21</v>
      </c>
      <c r="D9" s="572">
        <v>83396</v>
      </c>
      <c r="E9" s="572">
        <v>23253.1</v>
      </c>
      <c r="F9" s="572">
        <v>1387.3999999999999</v>
      </c>
      <c r="G9" s="572">
        <v>0</v>
      </c>
      <c r="H9" s="572">
        <v>65482.500000000015</v>
      </c>
      <c r="I9" s="572">
        <v>21972.3</v>
      </c>
      <c r="J9" s="572">
        <v>13530</v>
      </c>
      <c r="K9" s="572">
        <v>8207.7999999999993</v>
      </c>
      <c r="L9" s="572">
        <v>33544.000000000007</v>
      </c>
      <c r="M9" s="572">
        <v>732.4</v>
      </c>
      <c r="N9" s="572">
        <v>2377.6000000000004</v>
      </c>
      <c r="O9" s="572">
        <v>18942.899999999998</v>
      </c>
      <c r="P9" s="573">
        <f>SUM(D9:O9)</f>
        <v>272826</v>
      </c>
    </row>
    <row r="10" spans="1:18">
      <c r="A10" s="6">
        <v>5</v>
      </c>
      <c r="C10" s="12"/>
    </row>
    <row r="11" spans="1:18">
      <c r="A11" s="6">
        <v>6</v>
      </c>
      <c r="B11" s="14" t="s">
        <v>22</v>
      </c>
      <c r="C11" s="12" t="s">
        <v>121</v>
      </c>
      <c r="D11" s="572">
        <v>3329005.5</v>
      </c>
      <c r="E11" s="572">
        <v>904067.9</v>
      </c>
      <c r="F11" s="572">
        <v>58401.799999999996</v>
      </c>
      <c r="G11" s="572">
        <v>0</v>
      </c>
      <c r="H11" s="572">
        <v>2927675.4</v>
      </c>
      <c r="I11" s="572">
        <v>909595.1</v>
      </c>
      <c r="J11" s="572">
        <v>606452</v>
      </c>
      <c r="K11" s="572">
        <v>334965.59999999998</v>
      </c>
      <c r="L11" s="572">
        <v>1413177.2000000002</v>
      </c>
      <c r="M11" s="572">
        <v>27754.2</v>
      </c>
      <c r="N11" s="572">
        <v>87986.2</v>
      </c>
      <c r="O11" s="572">
        <v>787728.3</v>
      </c>
      <c r="P11" s="572">
        <f>SUM(D11:O11)</f>
        <v>11386809.199999999</v>
      </c>
    </row>
    <row r="12" spans="1:18">
      <c r="A12" s="6">
        <v>7</v>
      </c>
      <c r="C12" s="548" t="s">
        <v>23</v>
      </c>
      <c r="D12" s="574">
        <f>IFERROR(D11/D9,"-")</f>
        <v>39.918047628183608</v>
      </c>
      <c r="E12" s="574">
        <f t="shared" ref="E12:O12" si="0">IFERROR(E11/E9,"-")</f>
        <v>38.879456932624038</v>
      </c>
      <c r="F12" s="574">
        <f t="shared" si="0"/>
        <v>42.094421219547357</v>
      </c>
      <c r="G12" s="574" t="str">
        <f t="shared" si="0"/>
        <v>-</v>
      </c>
      <c r="H12" s="574">
        <f t="shared" si="0"/>
        <v>44.709279578513332</v>
      </c>
      <c r="I12" s="574">
        <f t="shared" si="0"/>
        <v>41.397354851335542</v>
      </c>
      <c r="J12" s="574">
        <f t="shared" si="0"/>
        <v>44.822764227642274</v>
      </c>
      <c r="K12" s="574">
        <f t="shared" si="0"/>
        <v>40.81064353419918</v>
      </c>
      <c r="L12" s="574">
        <f t="shared" si="0"/>
        <v>42.12906033865967</v>
      </c>
      <c r="M12" s="574">
        <f t="shared" si="0"/>
        <v>37.894866193336973</v>
      </c>
      <c r="N12" s="574">
        <f t="shared" si="0"/>
        <v>37.006308882907128</v>
      </c>
      <c r="O12" s="574">
        <f t="shared" si="0"/>
        <v>41.584356143990632</v>
      </c>
      <c r="P12" s="574"/>
    </row>
    <row r="13" spans="1:18">
      <c r="A13" s="6">
        <v>8</v>
      </c>
      <c r="C13" s="12" t="s">
        <v>120</v>
      </c>
      <c r="D13" s="572">
        <f>D11+D58</f>
        <v>3329005.5</v>
      </c>
      <c r="E13" s="572">
        <f t="shared" ref="E13:O13" si="1">E11+E58</f>
        <v>904067.9</v>
      </c>
      <c r="F13" s="572">
        <f t="shared" si="1"/>
        <v>58401.799999999996</v>
      </c>
      <c r="G13" s="572">
        <f t="shared" si="1"/>
        <v>0</v>
      </c>
      <c r="H13" s="572">
        <f t="shared" si="1"/>
        <v>2927675.4</v>
      </c>
      <c r="I13" s="572">
        <f t="shared" si="1"/>
        <v>909595.1</v>
      </c>
      <c r="J13" s="572">
        <f t="shared" si="1"/>
        <v>606452</v>
      </c>
      <c r="K13" s="572">
        <f t="shared" si="1"/>
        <v>334965.59999999998</v>
      </c>
      <c r="L13" s="572">
        <f t="shared" si="1"/>
        <v>1413177.2000000002</v>
      </c>
      <c r="M13" s="572">
        <f t="shared" si="1"/>
        <v>27754.2</v>
      </c>
      <c r="N13" s="572">
        <f t="shared" si="1"/>
        <v>87986.2</v>
      </c>
      <c r="O13" s="572">
        <f t="shared" si="1"/>
        <v>787728.3</v>
      </c>
      <c r="P13" s="573">
        <f>SUM(D13:O13)</f>
        <v>11386809.199999999</v>
      </c>
      <c r="R13" s="258"/>
    </row>
    <row r="14" spans="1:18">
      <c r="A14" s="6">
        <v>9</v>
      </c>
      <c r="C14" s="12"/>
    </row>
    <row r="15" spans="1:18">
      <c r="A15" s="6">
        <v>10</v>
      </c>
      <c r="B15" s="14" t="s">
        <v>24</v>
      </c>
      <c r="C15" s="12"/>
      <c r="P15" s="575"/>
    </row>
    <row r="16" spans="1:18">
      <c r="A16" s="6">
        <v>11</v>
      </c>
      <c r="B16" s="14"/>
      <c r="C16" s="548" t="s">
        <v>25</v>
      </c>
      <c r="D16" s="572">
        <v>485.20000000000005</v>
      </c>
      <c r="E16" s="572">
        <v>0</v>
      </c>
      <c r="F16" s="572">
        <v>0</v>
      </c>
      <c r="G16" s="572">
        <v>0</v>
      </c>
      <c r="H16" s="572">
        <v>0</v>
      </c>
      <c r="I16" s="572">
        <v>0</v>
      </c>
      <c r="J16" s="572">
        <v>0</v>
      </c>
      <c r="K16" s="572">
        <v>0</v>
      </c>
      <c r="L16" s="572">
        <v>0</v>
      </c>
      <c r="M16" s="572">
        <v>0</v>
      </c>
      <c r="N16" s="572">
        <v>0</v>
      </c>
      <c r="O16" s="572">
        <v>611.79999999999995</v>
      </c>
      <c r="P16" s="573">
        <f>SUM(D16:O16)</f>
        <v>1097</v>
      </c>
    </row>
    <row r="17" spans="1:16">
      <c r="A17" s="6">
        <v>12</v>
      </c>
      <c r="C17" s="548" t="s">
        <v>26</v>
      </c>
      <c r="D17" s="574">
        <f>IFERROR(D18/D16,"-")</f>
        <v>54.93672712283594</v>
      </c>
      <c r="E17" s="574" t="str">
        <f t="shared" ref="E17:O17" si="2">IFERROR(E18/E16,"-")</f>
        <v>-</v>
      </c>
      <c r="F17" s="574" t="str">
        <f t="shared" si="2"/>
        <v>-</v>
      </c>
      <c r="G17" s="574" t="str">
        <f t="shared" si="2"/>
        <v>-</v>
      </c>
      <c r="H17" s="574" t="str">
        <f t="shared" si="2"/>
        <v>-</v>
      </c>
      <c r="I17" s="574" t="str">
        <f t="shared" si="2"/>
        <v>-</v>
      </c>
      <c r="J17" s="574" t="str">
        <f t="shared" si="2"/>
        <v>-</v>
      </c>
      <c r="K17" s="574" t="str">
        <f t="shared" si="2"/>
        <v>-</v>
      </c>
      <c r="L17" s="574" t="str">
        <f t="shared" si="2"/>
        <v>-</v>
      </c>
      <c r="M17" s="574" t="str">
        <f t="shared" si="2"/>
        <v>-</v>
      </c>
      <c r="N17" s="574" t="str">
        <f t="shared" si="2"/>
        <v>-</v>
      </c>
      <c r="O17" s="574">
        <f t="shared" si="2"/>
        <v>52.780974174566857</v>
      </c>
      <c r="P17" s="574"/>
    </row>
    <row r="18" spans="1:16">
      <c r="A18" s="6">
        <v>13</v>
      </c>
      <c r="C18" s="548" t="s">
        <v>27</v>
      </c>
      <c r="D18" s="572">
        <v>26655.3</v>
      </c>
      <c r="E18" s="572">
        <v>0</v>
      </c>
      <c r="F18" s="572">
        <v>0</v>
      </c>
      <c r="G18" s="572">
        <v>0</v>
      </c>
      <c r="H18" s="572">
        <v>0</v>
      </c>
      <c r="I18" s="572">
        <v>0</v>
      </c>
      <c r="J18" s="572">
        <v>0</v>
      </c>
      <c r="K18" s="572">
        <v>0</v>
      </c>
      <c r="L18" s="572">
        <v>0</v>
      </c>
      <c r="M18" s="572">
        <v>0</v>
      </c>
      <c r="N18" s="572">
        <v>0</v>
      </c>
      <c r="O18" s="572">
        <v>32291.4</v>
      </c>
      <c r="P18" s="573">
        <f>SUM(D18:O18)</f>
        <v>58946.7</v>
      </c>
    </row>
    <row r="19" spans="1:16">
      <c r="A19" s="6">
        <v>14</v>
      </c>
      <c r="C19" s="548"/>
      <c r="D19" s="572"/>
      <c r="E19" s="572"/>
      <c r="F19" s="572"/>
      <c r="G19" s="572"/>
      <c r="H19" s="572"/>
      <c r="I19" s="572"/>
      <c r="J19" s="572"/>
      <c r="K19" s="572"/>
      <c r="L19" s="572"/>
      <c r="M19" s="572"/>
      <c r="N19" s="572"/>
      <c r="O19" s="572"/>
      <c r="P19" s="572"/>
    </row>
    <row r="20" spans="1:16">
      <c r="A20" s="6">
        <v>15</v>
      </c>
      <c r="C20" s="1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2"/>
      <c r="P20" s="572"/>
    </row>
    <row r="21" spans="1:16">
      <c r="A21" s="6">
        <v>16</v>
      </c>
      <c r="C21" s="12" t="s">
        <v>145</v>
      </c>
      <c r="D21" s="572"/>
      <c r="E21" s="572"/>
      <c r="F21" s="572"/>
      <c r="G21" s="572"/>
      <c r="H21" s="572"/>
      <c r="I21" s="572"/>
      <c r="J21" s="572"/>
      <c r="K21" s="572"/>
      <c r="L21" s="572"/>
      <c r="M21" s="572"/>
      <c r="N21" s="572"/>
      <c r="O21" s="572"/>
      <c r="P21" s="572"/>
    </row>
    <row r="22" spans="1:16">
      <c r="A22" s="6">
        <v>17</v>
      </c>
      <c r="C22" s="548" t="s">
        <v>28</v>
      </c>
      <c r="D22" s="572">
        <v>0</v>
      </c>
      <c r="E22" s="572">
        <v>0</v>
      </c>
      <c r="F22" s="572">
        <v>0</v>
      </c>
      <c r="G22" s="572">
        <v>0</v>
      </c>
      <c r="H22" s="572">
        <v>0</v>
      </c>
      <c r="I22" s="572">
        <v>0</v>
      </c>
      <c r="J22" s="572">
        <v>0</v>
      </c>
      <c r="K22" s="572">
        <v>0</v>
      </c>
      <c r="L22" s="572">
        <v>0</v>
      </c>
      <c r="M22" s="572">
        <v>0</v>
      </c>
      <c r="N22" s="572">
        <v>0</v>
      </c>
      <c r="O22" s="572">
        <v>0</v>
      </c>
      <c r="P22" s="573">
        <f>SUM(D22:O22)</f>
        <v>0</v>
      </c>
    </row>
    <row r="23" spans="1:16">
      <c r="A23" s="6">
        <v>18</v>
      </c>
      <c r="C23" s="12"/>
      <c r="P23" s="572"/>
    </row>
    <row r="24" spans="1:16">
      <c r="A24" s="6">
        <v>19</v>
      </c>
      <c r="C24" s="12"/>
      <c r="D24" s="576"/>
      <c r="P24" s="572"/>
    </row>
    <row r="25" spans="1:16">
      <c r="A25" s="6">
        <v>20</v>
      </c>
      <c r="C25" s="548"/>
      <c r="P25" s="572"/>
    </row>
    <row r="26" spans="1:16">
      <c r="A26" s="6">
        <v>21</v>
      </c>
      <c r="C26" s="548" t="s">
        <v>198</v>
      </c>
      <c r="D26" s="572">
        <v>126096.90000000001</v>
      </c>
      <c r="E26" s="572">
        <v>27597</v>
      </c>
      <c r="F26" s="572">
        <v>1623.8</v>
      </c>
      <c r="G26" s="572">
        <v>0</v>
      </c>
      <c r="H26" s="572">
        <v>118634.1</v>
      </c>
      <c r="I26" s="572">
        <v>40817</v>
      </c>
      <c r="J26" s="572">
        <v>40849.9</v>
      </c>
      <c r="K26" s="572">
        <v>15262.6</v>
      </c>
      <c r="L26" s="572">
        <v>60090.1</v>
      </c>
      <c r="M26" s="572">
        <v>717.7</v>
      </c>
      <c r="N26" s="572">
        <v>3022.8</v>
      </c>
      <c r="O26" s="572">
        <v>43663</v>
      </c>
      <c r="P26" s="573">
        <f>SUM(D26:O26)</f>
        <v>478374.9</v>
      </c>
    </row>
    <row r="27" spans="1:16">
      <c r="A27" s="6">
        <v>22</v>
      </c>
      <c r="C27" s="548"/>
      <c r="D27" s="572"/>
      <c r="E27" s="572"/>
      <c r="F27" s="572"/>
      <c r="G27" s="572"/>
      <c r="H27" s="572"/>
      <c r="I27" s="572"/>
      <c r="J27" s="572"/>
      <c r="K27" s="572"/>
      <c r="L27" s="572"/>
      <c r="M27" s="572"/>
      <c r="N27" s="572"/>
      <c r="O27" s="572"/>
      <c r="P27" s="572"/>
    </row>
    <row r="28" spans="1:16">
      <c r="A28" s="6">
        <v>23</v>
      </c>
      <c r="C28" s="12" t="s">
        <v>216</v>
      </c>
      <c r="D28" s="572">
        <v>258016.24049999999</v>
      </c>
      <c r="E28" s="572">
        <v>62306.246500000001</v>
      </c>
      <c r="F28" s="572">
        <v>4374.4549999999999</v>
      </c>
      <c r="G28" s="572">
        <v>0</v>
      </c>
      <c r="H28" s="572">
        <v>213932.35249999998</v>
      </c>
      <c r="I28" s="572">
        <v>59413.641499999998</v>
      </c>
      <c r="J28" s="572">
        <v>40433.64</v>
      </c>
      <c r="K28" s="572">
        <v>21278.722999999998</v>
      </c>
      <c r="L28" s="572">
        <v>116059.36099999999</v>
      </c>
      <c r="M28" s="572">
        <v>1527.0540000000001</v>
      </c>
      <c r="N28" s="572">
        <v>5838.8839999999991</v>
      </c>
      <c r="O28" s="572">
        <v>65771.028000000006</v>
      </c>
      <c r="P28" s="573">
        <f>SUM(D28:O28)</f>
        <v>848951.62600000005</v>
      </c>
    </row>
    <row r="29" spans="1:16">
      <c r="A29" s="6">
        <v>24</v>
      </c>
      <c r="C29" s="548"/>
      <c r="D29" s="572"/>
      <c r="E29" s="572"/>
      <c r="F29" s="572"/>
      <c r="G29" s="572"/>
      <c r="H29" s="572"/>
      <c r="I29" s="572"/>
      <c r="J29" s="572"/>
      <c r="K29" s="572"/>
      <c r="L29" s="572"/>
      <c r="M29" s="572"/>
      <c r="N29" s="572"/>
      <c r="O29" s="572"/>
      <c r="P29" s="572"/>
    </row>
    <row r="30" spans="1:16">
      <c r="A30" s="6">
        <v>25</v>
      </c>
      <c r="C30" s="548"/>
      <c r="P30" s="572"/>
    </row>
    <row r="31" spans="1:16">
      <c r="A31" s="6">
        <v>26</v>
      </c>
      <c r="C31" s="548" t="s">
        <v>29</v>
      </c>
      <c r="D31" s="572">
        <v>82910.799999999988</v>
      </c>
      <c r="E31" s="572">
        <v>23253.1</v>
      </c>
      <c r="F31" s="572">
        <v>1387.3999999999999</v>
      </c>
      <c r="G31" s="572">
        <v>0</v>
      </c>
      <c r="H31" s="572">
        <v>65482.500000000015</v>
      </c>
      <c r="I31" s="572">
        <v>21972.3</v>
      </c>
      <c r="J31" s="572">
        <v>13530</v>
      </c>
      <c r="K31" s="572">
        <v>8207.7999999999993</v>
      </c>
      <c r="L31" s="572">
        <v>33544.000000000007</v>
      </c>
      <c r="M31" s="572">
        <v>732.4</v>
      </c>
      <c r="N31" s="572">
        <v>2377.6000000000004</v>
      </c>
      <c r="O31" s="572">
        <v>18331.099999999999</v>
      </c>
      <c r="P31" s="572">
        <f>SUM(D31:O31)</f>
        <v>271728.99999999994</v>
      </c>
    </row>
    <row r="32" spans="1:16">
      <c r="A32" s="6">
        <v>27</v>
      </c>
      <c r="C32" s="12" t="s">
        <v>30</v>
      </c>
      <c r="D32" s="574">
        <f>IFERROR(D33/D31,"-")</f>
        <v>28.174814378826404</v>
      </c>
      <c r="E32" s="574">
        <f>IFERROR(E33/E31,"-")</f>
        <v>29.346345218487006</v>
      </c>
      <c r="F32" s="574">
        <f t="shared" ref="F32:O32" si="3">IFERROR(F33/F31,"-")</f>
        <v>32.664192013838843</v>
      </c>
      <c r="G32" s="574" t="str">
        <f t="shared" si="3"/>
        <v>-</v>
      </c>
      <c r="H32" s="574">
        <f t="shared" si="3"/>
        <v>28.774032756843425</v>
      </c>
      <c r="I32" s="574">
        <f t="shared" si="3"/>
        <v>29.24258270640761</v>
      </c>
      <c r="J32" s="574">
        <f t="shared" si="3"/>
        <v>30.139090909090907</v>
      </c>
      <c r="K32" s="574">
        <f t="shared" si="3"/>
        <v>30.749762421111626</v>
      </c>
      <c r="L32" s="574">
        <f t="shared" si="3"/>
        <v>29.188021702838057</v>
      </c>
      <c r="M32" s="574">
        <f t="shared" si="3"/>
        <v>29.353358820316771</v>
      </c>
      <c r="N32" s="574">
        <f t="shared" si="3"/>
        <v>28.472955921938087</v>
      </c>
      <c r="O32" s="574">
        <f t="shared" si="3"/>
        <v>29.610367081080792</v>
      </c>
      <c r="P32" s="574">
        <f>P33/P31</f>
        <v>28.9320230818205</v>
      </c>
    </row>
    <row r="33" spans="1:16">
      <c r="A33" s="6">
        <v>28</v>
      </c>
      <c r="C33" s="548" t="s">
        <v>31</v>
      </c>
      <c r="D33" s="572">
        <v>2335996.4</v>
      </c>
      <c r="E33" s="572">
        <v>682393.50000000012</v>
      </c>
      <c r="F33" s="572">
        <v>45318.3</v>
      </c>
      <c r="G33" s="572">
        <v>0</v>
      </c>
      <c r="H33" s="572">
        <v>1884195.6</v>
      </c>
      <c r="I33" s="572">
        <v>642526.79999999993</v>
      </c>
      <c r="J33" s="572">
        <v>407781.89999999997</v>
      </c>
      <c r="K33" s="572">
        <v>252387.9</v>
      </c>
      <c r="L33" s="572">
        <v>979083</v>
      </c>
      <c r="M33" s="572">
        <v>21498.400000000001</v>
      </c>
      <c r="N33" s="572">
        <v>67697.3</v>
      </c>
      <c r="O33" s="572">
        <v>542790.60000000009</v>
      </c>
      <c r="P33" s="573">
        <f>SUM(D33:O33)</f>
        <v>7861669.7000000011</v>
      </c>
    </row>
    <row r="34" spans="1:16">
      <c r="A34" s="6">
        <v>29</v>
      </c>
      <c r="C34" s="12"/>
    </row>
    <row r="35" spans="1:16">
      <c r="A35" s="6">
        <v>30</v>
      </c>
      <c r="C35" s="548" t="s">
        <v>32</v>
      </c>
      <c r="D35" s="574">
        <f t="shared" ref="D35:O35" si="4">IFERROR(D36/(D16+D31),"-")</f>
        <v>32.936409905750878</v>
      </c>
      <c r="E35" s="574">
        <f t="shared" si="4"/>
        <v>33.212636014122857</v>
      </c>
      <c r="F35" s="574">
        <f t="shared" si="4"/>
        <v>36.987570275335166</v>
      </c>
      <c r="G35" s="574" t="str">
        <f t="shared" si="4"/>
        <v>-</v>
      </c>
      <c r="H35" s="574">
        <f t="shared" si="4"/>
        <v>33.85274008322834</v>
      </c>
      <c r="I35" s="574">
        <f t="shared" si="4"/>
        <v>33.804264528520001</v>
      </c>
      <c r="J35" s="574">
        <f t="shared" si="4"/>
        <v>36.146743532889872</v>
      </c>
      <c r="K35" s="574">
        <f t="shared" si="4"/>
        <v>35.201786471405249</v>
      </c>
      <c r="L35" s="574">
        <f t="shared" si="4"/>
        <v>34.439317344383483</v>
      </c>
      <c r="M35" s="574">
        <f t="shared" si="4"/>
        <v>32.418287820862922</v>
      </c>
      <c r="N35" s="574">
        <f t="shared" si="4"/>
        <v>32.200111036339159</v>
      </c>
      <c r="O35" s="574">
        <f t="shared" si="4"/>
        <v>36.135756827096181</v>
      </c>
      <c r="P35" s="574">
        <f>P36/(P16+P31)</f>
        <v>33.896853401068824</v>
      </c>
    </row>
    <row r="36" spans="1:16">
      <c r="A36" s="6">
        <v>31</v>
      </c>
      <c r="C36" s="549" t="s">
        <v>33</v>
      </c>
      <c r="D36" s="572">
        <f>D18+D22+D26+D28+D33</f>
        <v>2746764.8404999999</v>
      </c>
      <c r="E36" s="572">
        <f t="shared" ref="E36:O36" si="5">E18+E22+E26+E28+E33</f>
        <v>772296.74650000012</v>
      </c>
      <c r="F36" s="572">
        <f t="shared" si="5"/>
        <v>51316.555</v>
      </c>
      <c r="G36" s="572">
        <f t="shared" si="5"/>
        <v>0</v>
      </c>
      <c r="H36" s="572">
        <f t="shared" si="5"/>
        <v>2216762.0525000002</v>
      </c>
      <c r="I36" s="572">
        <f t="shared" si="5"/>
        <v>742757.44149999996</v>
      </c>
      <c r="J36" s="572">
        <f t="shared" si="5"/>
        <v>489065.43999999994</v>
      </c>
      <c r="K36" s="572">
        <f t="shared" si="5"/>
        <v>288929.223</v>
      </c>
      <c r="L36" s="572">
        <f t="shared" si="5"/>
        <v>1155232.4609999999</v>
      </c>
      <c r="M36" s="572">
        <f t="shared" si="5"/>
        <v>23743.154000000002</v>
      </c>
      <c r="N36" s="572">
        <f t="shared" si="5"/>
        <v>76558.983999999997</v>
      </c>
      <c r="O36" s="572">
        <f t="shared" si="5"/>
        <v>684516.02800000017</v>
      </c>
      <c r="P36" s="577">
        <f>SUM(D36:O36)</f>
        <v>9247942.9260000009</v>
      </c>
    </row>
    <row r="37" spans="1:16">
      <c r="A37" s="6">
        <v>32</v>
      </c>
      <c r="C37" s="12"/>
    </row>
    <row r="38" spans="1:16">
      <c r="A38" s="6">
        <v>33</v>
      </c>
      <c r="B38" s="14" t="s">
        <v>34</v>
      </c>
      <c r="C38" s="12"/>
    </row>
    <row r="39" spans="1:16">
      <c r="A39" s="6">
        <v>34</v>
      </c>
      <c r="C39" s="12" t="s">
        <v>35</v>
      </c>
      <c r="D39" s="574">
        <f t="shared" ref="D39:O39" si="6">IFERROR(D40/D9,"-")</f>
        <v>6.9816377224327315</v>
      </c>
      <c r="E39" s="574">
        <f t="shared" si="6"/>
        <v>5.6668209185011849</v>
      </c>
      <c r="F39" s="574">
        <f t="shared" si="6"/>
        <v>5.1068509442121925</v>
      </c>
      <c r="G39" s="574" t="str">
        <f t="shared" si="6"/>
        <v>-</v>
      </c>
      <c r="H39" s="574">
        <f t="shared" si="6"/>
        <v>10.856539495284993</v>
      </c>
      <c r="I39" s="574">
        <f t="shared" si="6"/>
        <v>7.593090322815546</v>
      </c>
      <c r="J39" s="574">
        <f t="shared" si="6"/>
        <v>8.6760206947524061</v>
      </c>
      <c r="K39" s="574">
        <f t="shared" si="6"/>
        <v>5.608857062793926</v>
      </c>
      <c r="L39" s="574">
        <f t="shared" si="6"/>
        <v>7.6897429942761812</v>
      </c>
      <c r="M39" s="574">
        <f t="shared" si="6"/>
        <v>5.476578372474056</v>
      </c>
      <c r="N39" s="574">
        <f t="shared" si="6"/>
        <v>4.8061978465679669</v>
      </c>
      <c r="O39" s="574">
        <f t="shared" si="6"/>
        <v>5.4485993168944509</v>
      </c>
      <c r="P39" s="574">
        <f>P40/P9</f>
        <v>7.839671710174251</v>
      </c>
    </row>
    <row r="40" spans="1:16">
      <c r="A40" s="6">
        <v>35</v>
      </c>
      <c r="C40" s="548" t="s">
        <v>36</v>
      </c>
      <c r="D40" s="572">
        <f>D13-D36</f>
        <v>582240.65950000007</v>
      </c>
      <c r="E40" s="572">
        <f t="shared" ref="E40:O40" si="7">E13-E36</f>
        <v>131771.1534999999</v>
      </c>
      <c r="F40" s="572">
        <f t="shared" si="7"/>
        <v>7085.2449999999953</v>
      </c>
      <c r="G40" s="572">
        <f t="shared" si="7"/>
        <v>0</v>
      </c>
      <c r="H40" s="572">
        <f t="shared" si="7"/>
        <v>710913.34749999968</v>
      </c>
      <c r="I40" s="572">
        <f t="shared" si="7"/>
        <v>166837.65850000002</v>
      </c>
      <c r="J40" s="572">
        <f t="shared" si="7"/>
        <v>117386.56000000006</v>
      </c>
      <c r="K40" s="572">
        <f t="shared" si="7"/>
        <v>46036.376999999979</v>
      </c>
      <c r="L40" s="572">
        <f t="shared" si="7"/>
        <v>257944.73900000029</v>
      </c>
      <c r="M40" s="572">
        <f t="shared" si="7"/>
        <v>4011.0459999999985</v>
      </c>
      <c r="N40" s="572">
        <f t="shared" si="7"/>
        <v>11427.216</v>
      </c>
      <c r="O40" s="572">
        <f t="shared" si="7"/>
        <v>103212.27199999988</v>
      </c>
      <c r="P40" s="573">
        <f>SUM(D40:O40)</f>
        <v>2138866.2740000002</v>
      </c>
    </row>
    <row r="41" spans="1:16">
      <c r="A41" s="6">
        <v>36</v>
      </c>
      <c r="C41" s="12"/>
      <c r="D41" s="572"/>
      <c r="E41" s="572"/>
      <c r="F41" s="572"/>
      <c r="G41" s="572"/>
      <c r="H41" s="572"/>
      <c r="I41" s="572"/>
      <c r="J41" s="572"/>
      <c r="K41" s="572"/>
      <c r="L41" s="572"/>
      <c r="M41" s="572"/>
      <c r="N41" s="572"/>
      <c r="O41" s="572"/>
      <c r="P41" s="572"/>
    </row>
    <row r="42" spans="1:16">
      <c r="A42" s="6">
        <v>37</v>
      </c>
      <c r="C42" s="12"/>
      <c r="D42" s="572"/>
      <c r="E42" s="572"/>
      <c r="F42" s="572"/>
      <c r="G42" s="574"/>
      <c r="H42" s="574"/>
      <c r="I42" s="572"/>
      <c r="J42" s="572">
        <f>J40/J7</f>
        <v>3786.6632258064533</v>
      </c>
      <c r="K42" s="572"/>
      <c r="L42" s="572"/>
      <c r="M42" s="572"/>
      <c r="N42" s="572"/>
      <c r="O42" s="572"/>
      <c r="P42" s="572"/>
    </row>
    <row r="43" spans="1:16">
      <c r="A43" s="6">
        <v>38</v>
      </c>
      <c r="C43" s="12"/>
      <c r="D43" s="572"/>
      <c r="E43" s="572"/>
      <c r="F43" s="572"/>
      <c r="G43" s="572"/>
      <c r="H43" s="572"/>
      <c r="I43" s="572"/>
      <c r="J43" s="572"/>
      <c r="K43" s="572"/>
      <c r="L43" s="572"/>
      <c r="M43" s="572"/>
      <c r="N43" s="572"/>
      <c r="O43" s="572"/>
      <c r="P43" s="572">
        <f>SUM(D43:O43)</f>
        <v>0</v>
      </c>
    </row>
    <row r="44" spans="1:16">
      <c r="A44" s="6">
        <v>39</v>
      </c>
      <c r="C44" s="12"/>
      <c r="D44" s="572"/>
      <c r="E44" s="572"/>
      <c r="F44" s="572"/>
      <c r="P44" s="572">
        <f>SUM(D44:O44)</f>
        <v>0</v>
      </c>
    </row>
    <row r="45" spans="1:16">
      <c r="A45" s="6">
        <v>40</v>
      </c>
      <c r="C45" s="550" t="s">
        <v>122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">
        <v>10</v>
      </c>
      <c r="I45" s="10" t="s">
        <v>91</v>
      </c>
      <c r="J45" s="10" t="s">
        <v>92</v>
      </c>
      <c r="K45" s="10" t="s">
        <v>93</v>
      </c>
      <c r="L45" s="10" t="s">
        <v>94</v>
      </c>
      <c r="M45" s="10" t="s">
        <v>95</v>
      </c>
      <c r="N45" s="10" t="s">
        <v>96</v>
      </c>
      <c r="O45" s="10" t="s">
        <v>97</v>
      </c>
    </row>
    <row r="46" spans="1:16">
      <c r="A46" s="6">
        <v>41</v>
      </c>
      <c r="B46" s="14"/>
      <c r="C46" s="12" t="s">
        <v>119</v>
      </c>
      <c r="D46" s="576">
        <f>IFERROR((D13-D26-D28)/(D16+D31),"-")</f>
        <v>35.312153574511974</v>
      </c>
      <c r="E46" s="576">
        <f t="shared" ref="E46:O46" si="8">IFERROR((E13-E26-E28)/(E16+E31),"-")</f>
        <v>35.01316613698819</v>
      </c>
      <c r="F46" s="576">
        <f t="shared" si="8"/>
        <v>37.771042958051027</v>
      </c>
      <c r="G46" s="576" t="str">
        <f t="shared" si="8"/>
        <v>-</v>
      </c>
      <c r="H46" s="576">
        <f t="shared" si="8"/>
        <v>39.630572252128417</v>
      </c>
      <c r="I46" s="576">
        <f t="shared" si="8"/>
        <v>36.835673029223159</v>
      </c>
      <c r="J46" s="576">
        <f t="shared" si="8"/>
        <v>38.815111603843306</v>
      </c>
      <c r="K46" s="576">
        <f t="shared" si="8"/>
        <v>36.358619483905557</v>
      </c>
      <c r="L46" s="576">
        <f t="shared" si="8"/>
        <v>36.87776469711423</v>
      </c>
      <c r="M46" s="576">
        <f t="shared" si="8"/>
        <v>34.829937192790823</v>
      </c>
      <c r="N46" s="576">
        <f t="shared" si="8"/>
        <v>33.279153768506049</v>
      </c>
      <c r="O46" s="576">
        <f t="shared" si="8"/>
        <v>35.807308912574108</v>
      </c>
      <c r="P46" s="570"/>
    </row>
    <row r="47" spans="1:16">
      <c r="A47" s="6">
        <v>42</v>
      </c>
      <c r="B47" s="17"/>
      <c r="C47" s="12" t="s">
        <v>117</v>
      </c>
      <c r="D47" s="576">
        <f>IFERROR((D33+D22+D84)/(D16+D31),"-")</f>
        <v>28.330515852079238</v>
      </c>
      <c r="E47" s="576">
        <f t="shared" ref="E47:O47" si="9">IFERROR((E33+E22+E84)/(E16+E31),"-")</f>
        <v>29.346345218487006</v>
      </c>
      <c r="F47" s="576">
        <f t="shared" si="9"/>
        <v>32.664192013838843</v>
      </c>
      <c r="G47" s="576" t="str">
        <f t="shared" si="9"/>
        <v>-</v>
      </c>
      <c r="H47" s="576">
        <f t="shared" si="9"/>
        <v>28.774032756843425</v>
      </c>
      <c r="I47" s="576">
        <f t="shared" si="9"/>
        <v>29.24258270640761</v>
      </c>
      <c r="J47" s="576">
        <f t="shared" si="9"/>
        <v>30.139090909090907</v>
      </c>
      <c r="K47" s="576">
        <f t="shared" si="9"/>
        <v>30.749762421111626</v>
      </c>
      <c r="L47" s="576">
        <f t="shared" si="9"/>
        <v>29.188021702838057</v>
      </c>
      <c r="M47" s="576">
        <f t="shared" si="9"/>
        <v>29.353358820316771</v>
      </c>
      <c r="N47" s="576">
        <f t="shared" si="9"/>
        <v>28.472955921938087</v>
      </c>
      <c r="O47" s="576">
        <f t="shared" si="9"/>
        <v>30.358709595679656</v>
      </c>
      <c r="P47" s="11"/>
    </row>
    <row r="48" spans="1:16">
      <c r="A48" s="6">
        <v>43</v>
      </c>
      <c r="C48" s="548"/>
    </row>
    <row r="49" spans="1:16">
      <c r="A49" s="6">
        <v>44</v>
      </c>
      <c r="B49" s="15"/>
      <c r="C49" s="548"/>
    </row>
    <row r="50" spans="1:16">
      <c r="A50" s="6">
        <v>45</v>
      </c>
      <c r="C50" s="545" t="s">
        <v>157</v>
      </c>
      <c r="D50" s="572">
        <v>0</v>
      </c>
      <c r="E50" s="572">
        <v>0</v>
      </c>
      <c r="F50" s="572">
        <v>0</v>
      </c>
      <c r="G50" s="572">
        <v>0</v>
      </c>
      <c r="H50" s="572">
        <v>0</v>
      </c>
      <c r="I50" s="572">
        <v>0</v>
      </c>
      <c r="J50" s="572">
        <v>0</v>
      </c>
      <c r="K50" s="572">
        <v>0</v>
      </c>
      <c r="L50" s="572">
        <v>0</v>
      </c>
      <c r="M50" s="572">
        <v>0</v>
      </c>
      <c r="N50" s="572">
        <v>0</v>
      </c>
      <c r="O50" s="572">
        <v>0</v>
      </c>
      <c r="P50" s="573">
        <f>SUM(D50:O50)</f>
        <v>0</v>
      </c>
    </row>
    <row r="51" spans="1:16">
      <c r="A51" s="6">
        <v>46</v>
      </c>
      <c r="C51" s="545"/>
      <c r="P51" s="578"/>
    </row>
    <row r="52" spans="1:16">
      <c r="A52" s="6">
        <v>47</v>
      </c>
      <c r="C52" s="545"/>
      <c r="P52" s="578"/>
    </row>
    <row r="53" spans="1:16">
      <c r="A53" s="6">
        <v>48</v>
      </c>
      <c r="B53" s="19"/>
      <c r="C53" s="12" t="s">
        <v>217</v>
      </c>
      <c r="D53" s="570">
        <v>0</v>
      </c>
      <c r="E53" s="570">
        <v>0</v>
      </c>
      <c r="F53" s="570">
        <v>0</v>
      </c>
      <c r="G53" s="570">
        <v>0</v>
      </c>
      <c r="H53" s="570">
        <v>0</v>
      </c>
      <c r="I53" s="570">
        <v>0</v>
      </c>
      <c r="J53" s="570">
        <v>0</v>
      </c>
      <c r="K53" s="570">
        <v>0</v>
      </c>
      <c r="L53" s="570">
        <v>0</v>
      </c>
      <c r="M53" s="570">
        <v>0</v>
      </c>
      <c r="N53" s="570">
        <v>0</v>
      </c>
      <c r="O53" s="570">
        <v>0</v>
      </c>
      <c r="P53" s="572">
        <f>SUM(D53:O53)</f>
        <v>0</v>
      </c>
    </row>
    <row r="54" spans="1:16">
      <c r="A54" s="6">
        <v>49</v>
      </c>
      <c r="B54" s="15"/>
      <c r="C54" s="12" t="s">
        <v>218</v>
      </c>
      <c r="D54" s="572">
        <v>0</v>
      </c>
      <c r="E54" s="572">
        <v>0</v>
      </c>
      <c r="F54" s="572">
        <v>0</v>
      </c>
      <c r="G54" s="572">
        <v>0</v>
      </c>
      <c r="H54" s="572">
        <v>0</v>
      </c>
      <c r="I54" s="572">
        <v>0</v>
      </c>
      <c r="J54" s="572">
        <v>0</v>
      </c>
      <c r="K54" s="572">
        <v>0</v>
      </c>
      <c r="L54" s="572">
        <v>0</v>
      </c>
      <c r="M54" s="572">
        <v>0</v>
      </c>
      <c r="N54" s="572">
        <v>0</v>
      </c>
      <c r="O54" s="572">
        <v>0</v>
      </c>
      <c r="P54" s="572">
        <f>SUM(D54:O54)</f>
        <v>0</v>
      </c>
    </row>
    <row r="55" spans="1:16">
      <c r="A55" s="6">
        <v>50</v>
      </c>
      <c r="B55" s="15"/>
      <c r="C55" s="548"/>
      <c r="D55" s="579"/>
      <c r="E55" s="579"/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80"/>
    </row>
    <row r="56" spans="1:16">
      <c r="A56" s="6">
        <v>51</v>
      </c>
      <c r="C56" s="548"/>
      <c r="P56" s="578"/>
    </row>
    <row r="57" spans="1:16">
      <c r="A57" s="6">
        <v>52</v>
      </c>
      <c r="C57" s="12" t="s">
        <v>156</v>
      </c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8">
        <f>SUM(D57:O57)</f>
        <v>0</v>
      </c>
    </row>
    <row r="58" spans="1:16">
      <c r="A58" s="6">
        <v>53</v>
      </c>
      <c r="C58" s="12" t="s">
        <v>143</v>
      </c>
      <c r="D58" s="572">
        <v>0</v>
      </c>
      <c r="E58" s="572">
        <v>0</v>
      </c>
      <c r="F58" s="572">
        <v>0</v>
      </c>
      <c r="G58" s="572">
        <v>0</v>
      </c>
      <c r="H58" s="572">
        <v>0</v>
      </c>
      <c r="I58" s="572">
        <v>0</v>
      </c>
      <c r="J58" s="572">
        <v>0</v>
      </c>
      <c r="K58" s="572">
        <v>0</v>
      </c>
      <c r="L58" s="572">
        <v>0</v>
      </c>
      <c r="M58" s="572">
        <v>0</v>
      </c>
      <c r="N58" s="572">
        <v>0</v>
      </c>
      <c r="O58" s="572">
        <v>0</v>
      </c>
      <c r="P58" s="578">
        <f>SUM(D58:O58)</f>
        <v>0</v>
      </c>
    </row>
    <row r="59" spans="1:16">
      <c r="A59" s="6">
        <v>54</v>
      </c>
      <c r="B59" s="15"/>
      <c r="C59" s="15"/>
      <c r="P59" s="578"/>
    </row>
    <row r="60" spans="1:16">
      <c r="A60" s="6">
        <v>55</v>
      </c>
      <c r="C60" s="18"/>
      <c r="D60" s="572"/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P60" s="581"/>
    </row>
    <row r="61" spans="1:16">
      <c r="A61" s="6">
        <v>56</v>
      </c>
      <c r="C61" s="545" t="s">
        <v>317</v>
      </c>
      <c r="D61" s="582">
        <v>29.924504103343221</v>
      </c>
      <c r="E61" s="574">
        <v>30.031520105215556</v>
      </c>
      <c r="F61" s="574">
        <v>29.085871938820809</v>
      </c>
      <c r="G61" s="574">
        <v>27.390282043074169</v>
      </c>
      <c r="H61" s="574">
        <v>26.032489528388389</v>
      </c>
      <c r="I61" s="574">
        <v>28.121760603219595</v>
      </c>
      <c r="J61" s="574">
        <v>28.850748360646211</v>
      </c>
      <c r="K61" s="574">
        <v>28.605809304923476</v>
      </c>
      <c r="L61" s="574">
        <v>28.054954564786755</v>
      </c>
      <c r="M61" s="574">
        <v>25.972631571941424</v>
      </c>
      <c r="N61" s="574">
        <v>26.773564728805223</v>
      </c>
      <c r="O61" s="574">
        <v>28.416478936020891</v>
      </c>
      <c r="P61" s="573">
        <f>AVERAGE(D61:O61)</f>
        <v>28.105051315765479</v>
      </c>
    </row>
    <row r="62" spans="1:16">
      <c r="A62" s="6">
        <v>57</v>
      </c>
      <c r="C62" s="546" t="s">
        <v>213</v>
      </c>
      <c r="D62" s="572">
        <v>53591093.813403003</v>
      </c>
      <c r="E62" s="572">
        <v>54321315.4464994</v>
      </c>
      <c r="F62" s="572">
        <v>54913071.171729229</v>
      </c>
      <c r="G62" s="572">
        <v>55945847.916465104</v>
      </c>
      <c r="H62" s="572">
        <v>58406290.243242897</v>
      </c>
      <c r="I62" s="572">
        <v>62230746.490457311</v>
      </c>
      <c r="J62" s="572">
        <v>65037997.651062466</v>
      </c>
      <c r="K62" s="572">
        <v>65795547.109465726</v>
      </c>
      <c r="L62" s="572">
        <v>65466906.665720016</v>
      </c>
      <c r="M62" s="572">
        <v>59580879.839901686</v>
      </c>
      <c r="N62" s="572">
        <v>58001981.995337203</v>
      </c>
      <c r="O62" s="572">
        <v>58986151.588585809</v>
      </c>
      <c r="P62" s="573">
        <f>SUM(D62:O62)</f>
        <v>712277829.93186998</v>
      </c>
    </row>
    <row r="63" spans="1:16">
      <c r="A63" s="6">
        <v>58</v>
      </c>
      <c r="B63" s="19"/>
      <c r="C63" s="12"/>
      <c r="J63" s="570">
        <f>J62/J7</f>
        <v>2097999.9242278216</v>
      </c>
      <c r="P63" s="581"/>
    </row>
    <row r="64" spans="1:16">
      <c r="A64" s="6">
        <v>59</v>
      </c>
      <c r="B64" s="15"/>
      <c r="C64" s="12"/>
      <c r="D64" s="583"/>
      <c r="E64" s="583"/>
      <c r="F64" s="583"/>
      <c r="G64" s="583"/>
      <c r="H64" s="583"/>
      <c r="I64" s="583"/>
      <c r="J64" s="583"/>
      <c r="P64" s="581"/>
    </row>
    <row r="65" spans="1:16">
      <c r="A65" s="6">
        <v>60</v>
      </c>
      <c r="B65" s="15"/>
      <c r="C65" s="545" t="s">
        <v>316</v>
      </c>
      <c r="D65" s="583">
        <v>29.924504103343221</v>
      </c>
      <c r="E65" s="583">
        <v>30.031520105215556</v>
      </c>
      <c r="F65" s="583">
        <v>29.085871938820809</v>
      </c>
      <c r="G65" s="583">
        <v>27.390282043074169</v>
      </c>
      <c r="H65" s="583">
        <v>26.032489528388389</v>
      </c>
      <c r="I65" s="583">
        <v>28.121760603219595</v>
      </c>
      <c r="J65" s="583">
        <v>27.196316521208896</v>
      </c>
      <c r="K65" s="583">
        <v>26.718803509198285</v>
      </c>
      <c r="L65" s="583">
        <v>26.784430993773892</v>
      </c>
      <c r="M65" s="583">
        <v>26.498459712792506</v>
      </c>
      <c r="N65" s="583">
        <v>26.69177170724614</v>
      </c>
      <c r="O65" s="583">
        <v>26.88541572002395</v>
      </c>
      <c r="P65" s="573">
        <f>AVERAGE(D65:O65)</f>
        <v>27.613468873858782</v>
      </c>
    </row>
    <row r="66" spans="1:16">
      <c r="A66" s="6">
        <v>61</v>
      </c>
      <c r="C66" s="547" t="s">
        <v>308</v>
      </c>
      <c r="D66" s="572">
        <v>53591093.813403003</v>
      </c>
      <c r="E66" s="572">
        <v>54321315.4464994</v>
      </c>
      <c r="F66" s="572">
        <v>54913071.171729229</v>
      </c>
      <c r="G66" s="572">
        <v>55945847.916465104</v>
      </c>
      <c r="H66" s="572">
        <v>58406290.243242897</v>
      </c>
      <c r="I66" s="572">
        <v>62230746.490457311</v>
      </c>
      <c r="J66" s="572">
        <v>65059543.454757735</v>
      </c>
      <c r="K66" s="572">
        <v>65795082.103962921</v>
      </c>
      <c r="L66" s="572">
        <v>65467012.438519232</v>
      </c>
      <c r="M66" s="572">
        <v>59536085.484692328</v>
      </c>
      <c r="N66" s="572">
        <v>57815078.492145784</v>
      </c>
      <c r="O66" s="572">
        <v>57518781.718458131</v>
      </c>
      <c r="P66" s="573">
        <f>SUM(D66:O66)</f>
        <v>710599948.77433312</v>
      </c>
    </row>
    <row r="67" spans="1:16">
      <c r="A67" s="6">
        <v>62</v>
      </c>
      <c r="C67" s="15"/>
      <c r="J67" s="584"/>
    </row>
    <row r="68" spans="1:16">
      <c r="A68" s="6">
        <v>63</v>
      </c>
      <c r="C68" s="15"/>
    </row>
    <row r="69" spans="1:16">
      <c r="A69" s="6">
        <v>64</v>
      </c>
      <c r="B69" s="15"/>
      <c r="C69" s="15"/>
      <c r="D69" s="576"/>
      <c r="J69" s="570">
        <f t="shared" ref="J69" si="10">J66/J7</f>
        <v>2098694.9501534752</v>
      </c>
    </row>
    <row r="70" spans="1:16">
      <c r="A70" s="6">
        <v>65</v>
      </c>
      <c r="C70" s="18"/>
      <c r="D70" s="396"/>
      <c r="P70" s="578"/>
    </row>
    <row r="71" spans="1:16">
      <c r="A71" s="6">
        <v>66</v>
      </c>
      <c r="C71" s="18"/>
      <c r="P71" s="578"/>
    </row>
    <row r="72" spans="1:16">
      <c r="A72" s="6">
        <v>67</v>
      </c>
      <c r="C72" s="18"/>
      <c r="P72" s="578"/>
    </row>
    <row r="73" spans="1:16">
      <c r="A73" s="6">
        <v>68</v>
      </c>
      <c r="B73" s="19"/>
      <c r="P73" s="578"/>
    </row>
    <row r="74" spans="1:16">
      <c r="A74" s="6">
        <v>69</v>
      </c>
      <c r="B74" s="15"/>
      <c r="P74" s="578"/>
    </row>
    <row r="75" spans="1:16">
      <c r="A75" s="6">
        <v>70</v>
      </c>
      <c r="B75" s="15"/>
      <c r="C75" s="15"/>
      <c r="D75" s="579"/>
      <c r="E75" s="579"/>
      <c r="F75" s="579"/>
      <c r="G75" s="579"/>
      <c r="H75" s="579"/>
      <c r="I75" s="579"/>
      <c r="J75" s="579"/>
      <c r="K75" s="579"/>
      <c r="L75" s="579"/>
      <c r="M75" s="579"/>
      <c r="N75" s="579"/>
      <c r="O75" s="579"/>
      <c r="P75" s="580"/>
    </row>
    <row r="76" spans="1:16">
      <c r="A76" s="6">
        <v>71</v>
      </c>
      <c r="C76" s="15"/>
      <c r="P76" s="578"/>
    </row>
    <row r="77" spans="1:16">
      <c r="A77" s="6">
        <v>72</v>
      </c>
      <c r="C77" s="15"/>
    </row>
    <row r="78" spans="1:16">
      <c r="A78" s="6">
        <v>73</v>
      </c>
      <c r="C78" s="15"/>
    </row>
    <row r="79" spans="1:16">
      <c r="A79" s="6">
        <v>74</v>
      </c>
      <c r="B79" s="14" t="s">
        <v>37</v>
      </c>
      <c r="C79" s="15"/>
    </row>
    <row r="80" spans="1:16">
      <c r="A80" s="6">
        <v>75</v>
      </c>
      <c r="B80" s="13" t="s">
        <v>115</v>
      </c>
      <c r="C80" s="15"/>
      <c r="D80" s="11">
        <v>38354</v>
      </c>
      <c r="E80" s="11">
        <v>38385</v>
      </c>
      <c r="F80" s="11">
        <v>38413</v>
      </c>
      <c r="G80" s="11">
        <v>38444</v>
      </c>
      <c r="H80" s="11">
        <v>38474</v>
      </c>
      <c r="I80" s="11">
        <v>38505</v>
      </c>
      <c r="J80" s="11">
        <v>38535</v>
      </c>
      <c r="K80" s="11">
        <v>38566</v>
      </c>
      <c r="L80" s="11">
        <v>38597</v>
      </c>
      <c r="M80" s="11">
        <v>38627</v>
      </c>
      <c r="N80" s="11">
        <v>38658</v>
      </c>
      <c r="O80" s="11">
        <v>38688</v>
      </c>
      <c r="P80" s="11" t="s">
        <v>18</v>
      </c>
    </row>
    <row r="81" spans="1:16">
      <c r="A81" s="6">
        <v>76</v>
      </c>
      <c r="B81" s="15" t="s">
        <v>38</v>
      </c>
      <c r="C81" s="15"/>
    </row>
    <row r="82" spans="1:16">
      <c r="A82" s="6">
        <v>77</v>
      </c>
      <c r="C82" s="16" t="s">
        <v>144</v>
      </c>
      <c r="D82" s="570">
        <f>D16</f>
        <v>485.20000000000005</v>
      </c>
      <c r="E82" s="570">
        <f t="shared" ref="E82:O82" si="11">E16</f>
        <v>0</v>
      </c>
      <c r="F82" s="570">
        <f t="shared" si="11"/>
        <v>0</v>
      </c>
      <c r="G82" s="570">
        <f t="shared" si="11"/>
        <v>0</v>
      </c>
      <c r="H82" s="570">
        <f t="shared" si="11"/>
        <v>0</v>
      </c>
      <c r="I82" s="570">
        <f t="shared" si="11"/>
        <v>0</v>
      </c>
      <c r="J82" s="570">
        <f t="shared" si="11"/>
        <v>0</v>
      </c>
      <c r="K82" s="570">
        <f t="shared" si="11"/>
        <v>0</v>
      </c>
      <c r="L82" s="570">
        <f t="shared" si="11"/>
        <v>0</v>
      </c>
      <c r="M82" s="570">
        <f t="shared" si="11"/>
        <v>0</v>
      </c>
      <c r="N82" s="570">
        <f t="shared" si="11"/>
        <v>0</v>
      </c>
      <c r="O82" s="570">
        <f t="shared" si="11"/>
        <v>611.79999999999995</v>
      </c>
      <c r="P82" s="578">
        <f>SUM(D82:O82)</f>
        <v>1097</v>
      </c>
    </row>
    <row r="83" spans="1:16">
      <c r="A83" s="6">
        <v>78</v>
      </c>
      <c r="C83" s="15" t="s">
        <v>39</v>
      </c>
      <c r="D83" s="570">
        <f t="shared" ref="D83:P83" si="12">D84/D82</f>
        <v>54.93672712283594</v>
      </c>
      <c r="E83" s="570" t="e">
        <f t="shared" si="12"/>
        <v>#DIV/0!</v>
      </c>
      <c r="F83" s="570" t="e">
        <f t="shared" si="12"/>
        <v>#DIV/0!</v>
      </c>
      <c r="G83" s="570" t="e">
        <f t="shared" si="12"/>
        <v>#DIV/0!</v>
      </c>
      <c r="H83" s="570" t="e">
        <f t="shared" si="12"/>
        <v>#DIV/0!</v>
      </c>
      <c r="I83" s="570" t="e">
        <f t="shared" si="12"/>
        <v>#DIV/0!</v>
      </c>
      <c r="J83" s="570" t="e">
        <f t="shared" si="12"/>
        <v>#DIV/0!</v>
      </c>
      <c r="K83" s="570" t="e">
        <f t="shared" si="12"/>
        <v>#DIV/0!</v>
      </c>
      <c r="L83" s="570" t="e">
        <f t="shared" si="12"/>
        <v>#DIV/0!</v>
      </c>
      <c r="M83" s="570" t="e">
        <f t="shared" si="12"/>
        <v>#DIV/0!</v>
      </c>
      <c r="N83" s="570" t="e">
        <f t="shared" si="12"/>
        <v>#DIV/0!</v>
      </c>
      <c r="O83" s="570">
        <f t="shared" si="12"/>
        <v>52.780974174566857</v>
      </c>
      <c r="P83" s="581">
        <f t="shared" si="12"/>
        <v>53.734457611668184</v>
      </c>
    </row>
    <row r="84" spans="1:16">
      <c r="A84" s="6">
        <v>79</v>
      </c>
      <c r="C84" s="16" t="s">
        <v>40</v>
      </c>
      <c r="D84" s="570">
        <f>D18</f>
        <v>26655.3</v>
      </c>
      <c r="E84" s="570">
        <f t="shared" ref="E84:O84" si="13">E18</f>
        <v>0</v>
      </c>
      <c r="F84" s="570">
        <f t="shared" si="13"/>
        <v>0</v>
      </c>
      <c r="G84" s="570">
        <f t="shared" si="13"/>
        <v>0</v>
      </c>
      <c r="H84" s="570">
        <f t="shared" si="13"/>
        <v>0</v>
      </c>
      <c r="I84" s="570">
        <f t="shared" si="13"/>
        <v>0</v>
      </c>
      <c r="J84" s="570">
        <f t="shared" si="13"/>
        <v>0</v>
      </c>
      <c r="K84" s="570">
        <f t="shared" si="13"/>
        <v>0</v>
      </c>
      <c r="L84" s="570">
        <f t="shared" si="13"/>
        <v>0</v>
      </c>
      <c r="M84" s="570">
        <f t="shared" si="13"/>
        <v>0</v>
      </c>
      <c r="N84" s="570">
        <f t="shared" si="13"/>
        <v>0</v>
      </c>
      <c r="O84" s="570">
        <f t="shared" si="13"/>
        <v>32291.4</v>
      </c>
      <c r="P84" s="578">
        <f>SUM(D84:O84)</f>
        <v>58946.7</v>
      </c>
    </row>
    <row r="85" spans="1:16">
      <c r="A85" s="6">
        <v>80</v>
      </c>
      <c r="C85" s="15"/>
    </row>
    <row r="86" spans="1:16">
      <c r="A86" s="6">
        <v>81</v>
      </c>
      <c r="B86" s="16" t="s">
        <v>41</v>
      </c>
    </row>
    <row r="87" spans="1:16">
      <c r="A87" s="6">
        <v>82</v>
      </c>
      <c r="C87" s="16" t="s">
        <v>144</v>
      </c>
      <c r="D87" s="570">
        <v>0</v>
      </c>
      <c r="E87" s="570">
        <v>0</v>
      </c>
      <c r="F87" s="570">
        <v>0</v>
      </c>
      <c r="G87" s="570">
        <v>0</v>
      </c>
      <c r="H87" s="570">
        <v>0</v>
      </c>
      <c r="I87" s="570">
        <v>0</v>
      </c>
      <c r="J87" s="570">
        <v>0</v>
      </c>
      <c r="K87" s="570">
        <v>0</v>
      </c>
      <c r="L87" s="570">
        <v>0</v>
      </c>
      <c r="M87" s="570">
        <v>0</v>
      </c>
      <c r="N87" s="570">
        <v>0</v>
      </c>
      <c r="O87" s="570">
        <v>0</v>
      </c>
      <c r="P87" s="578">
        <f>SUM(D87:O87)</f>
        <v>0</v>
      </c>
    </row>
    <row r="88" spans="1:16">
      <c r="A88" s="6">
        <v>83</v>
      </c>
      <c r="C88" s="15" t="s">
        <v>39</v>
      </c>
      <c r="D88" s="585" t="e">
        <f>D89/D87</f>
        <v>#DIV/0!</v>
      </c>
      <c r="E88" s="585" t="e">
        <f t="shared" ref="E88:O88" si="14">E89/E87</f>
        <v>#DIV/0!</v>
      </c>
      <c r="F88" s="585" t="e">
        <f t="shared" si="14"/>
        <v>#DIV/0!</v>
      </c>
      <c r="G88" s="585" t="e">
        <f t="shared" si="14"/>
        <v>#DIV/0!</v>
      </c>
      <c r="H88" s="585" t="e">
        <f t="shared" si="14"/>
        <v>#DIV/0!</v>
      </c>
      <c r="I88" s="585" t="e">
        <f t="shared" si="14"/>
        <v>#DIV/0!</v>
      </c>
      <c r="J88" s="585" t="e">
        <f t="shared" si="14"/>
        <v>#DIV/0!</v>
      </c>
      <c r="K88" s="585" t="e">
        <f t="shared" si="14"/>
        <v>#DIV/0!</v>
      </c>
      <c r="L88" s="585" t="e">
        <f t="shared" si="14"/>
        <v>#DIV/0!</v>
      </c>
      <c r="M88" s="585" t="e">
        <f t="shared" si="14"/>
        <v>#DIV/0!</v>
      </c>
      <c r="N88" s="585" t="e">
        <f t="shared" si="14"/>
        <v>#DIV/0!</v>
      </c>
      <c r="O88" s="585" t="e">
        <f t="shared" si="14"/>
        <v>#DIV/0!</v>
      </c>
      <c r="P88" s="581" t="e">
        <f>P89/P87</f>
        <v>#DIV/0!</v>
      </c>
    </row>
    <row r="89" spans="1:16">
      <c r="A89" s="6">
        <v>84</v>
      </c>
      <c r="C89" s="16" t="s">
        <v>40</v>
      </c>
      <c r="D89" s="570">
        <v>0</v>
      </c>
      <c r="E89" s="570">
        <v>0</v>
      </c>
      <c r="F89" s="570">
        <v>0</v>
      </c>
      <c r="G89" s="570">
        <v>0</v>
      </c>
      <c r="H89" s="570">
        <v>0</v>
      </c>
      <c r="I89" s="570">
        <v>0</v>
      </c>
      <c r="J89" s="570">
        <v>0</v>
      </c>
      <c r="K89" s="570">
        <v>0</v>
      </c>
      <c r="L89" s="570">
        <v>0</v>
      </c>
      <c r="M89" s="570">
        <v>0</v>
      </c>
      <c r="N89" s="570">
        <v>0</v>
      </c>
      <c r="O89" s="570">
        <v>0</v>
      </c>
      <c r="P89" s="578">
        <f>SUM(D89:O89)</f>
        <v>0</v>
      </c>
    </row>
    <row r="90" spans="1:16">
      <c r="A90" s="6">
        <v>85</v>
      </c>
      <c r="C90" s="15"/>
    </row>
    <row r="91" spans="1:16">
      <c r="A91" s="6">
        <v>86</v>
      </c>
      <c r="B91" s="15" t="s">
        <v>42</v>
      </c>
    </row>
    <row r="92" spans="1:16">
      <c r="A92" s="6">
        <v>87</v>
      </c>
      <c r="C92" s="16" t="s">
        <v>144</v>
      </c>
      <c r="D92" s="570">
        <f>D82+D87</f>
        <v>485.20000000000005</v>
      </c>
      <c r="E92" s="570">
        <f t="shared" ref="E92:O92" si="15">E82+E87</f>
        <v>0</v>
      </c>
      <c r="F92" s="570">
        <f t="shared" si="15"/>
        <v>0</v>
      </c>
      <c r="G92" s="570">
        <f t="shared" si="15"/>
        <v>0</v>
      </c>
      <c r="H92" s="570">
        <f t="shared" si="15"/>
        <v>0</v>
      </c>
      <c r="I92" s="570">
        <f t="shared" si="15"/>
        <v>0</v>
      </c>
      <c r="J92" s="570">
        <f t="shared" si="15"/>
        <v>0</v>
      </c>
      <c r="K92" s="570">
        <f t="shared" si="15"/>
        <v>0</v>
      </c>
      <c r="L92" s="570">
        <f t="shared" si="15"/>
        <v>0</v>
      </c>
      <c r="M92" s="570">
        <f t="shared" si="15"/>
        <v>0</v>
      </c>
      <c r="N92" s="570">
        <f t="shared" si="15"/>
        <v>0</v>
      </c>
      <c r="O92" s="570">
        <f t="shared" si="15"/>
        <v>611.79999999999995</v>
      </c>
      <c r="P92" s="578">
        <f>SUM(D92:O92)</f>
        <v>1097</v>
      </c>
    </row>
    <row r="93" spans="1:16">
      <c r="A93" s="6">
        <v>88</v>
      </c>
      <c r="C93" s="15" t="s">
        <v>39</v>
      </c>
      <c r="D93" s="586">
        <f>D94/D92</f>
        <v>54.93672712283594</v>
      </c>
      <c r="E93" s="586" t="e">
        <f t="shared" ref="E93:O93" si="16">E94/E92</f>
        <v>#DIV/0!</v>
      </c>
      <c r="F93" s="586" t="e">
        <f t="shared" si="16"/>
        <v>#DIV/0!</v>
      </c>
      <c r="G93" s="586" t="e">
        <f t="shared" si="16"/>
        <v>#DIV/0!</v>
      </c>
      <c r="H93" s="586" t="e">
        <f t="shared" si="16"/>
        <v>#DIV/0!</v>
      </c>
      <c r="I93" s="586" t="e">
        <f t="shared" si="16"/>
        <v>#DIV/0!</v>
      </c>
      <c r="J93" s="586" t="e">
        <f t="shared" si="16"/>
        <v>#DIV/0!</v>
      </c>
      <c r="K93" s="586" t="e">
        <f t="shared" si="16"/>
        <v>#DIV/0!</v>
      </c>
      <c r="L93" s="586" t="e">
        <f t="shared" si="16"/>
        <v>#DIV/0!</v>
      </c>
      <c r="M93" s="586" t="e">
        <f t="shared" si="16"/>
        <v>#DIV/0!</v>
      </c>
      <c r="N93" s="586" t="e">
        <f t="shared" si="16"/>
        <v>#DIV/0!</v>
      </c>
      <c r="O93" s="586">
        <f t="shared" si="16"/>
        <v>52.780974174566857</v>
      </c>
      <c r="P93" s="581">
        <f>P94/P92</f>
        <v>53.734457611668184</v>
      </c>
    </row>
    <row r="94" spans="1:16">
      <c r="A94" s="6">
        <v>89</v>
      </c>
      <c r="C94" s="16" t="s">
        <v>40</v>
      </c>
      <c r="D94" s="570">
        <f>D84+D89</f>
        <v>26655.3</v>
      </c>
      <c r="E94" s="570">
        <f t="shared" ref="E94:O94" si="17">E84+E89</f>
        <v>0</v>
      </c>
      <c r="F94" s="570">
        <f t="shared" si="17"/>
        <v>0</v>
      </c>
      <c r="G94" s="570">
        <f t="shared" si="17"/>
        <v>0</v>
      </c>
      <c r="H94" s="570">
        <f t="shared" si="17"/>
        <v>0</v>
      </c>
      <c r="I94" s="570">
        <f t="shared" si="17"/>
        <v>0</v>
      </c>
      <c r="J94" s="570">
        <f t="shared" si="17"/>
        <v>0</v>
      </c>
      <c r="K94" s="570">
        <f t="shared" si="17"/>
        <v>0</v>
      </c>
      <c r="L94" s="570">
        <f t="shared" si="17"/>
        <v>0</v>
      </c>
      <c r="M94" s="570">
        <f t="shared" si="17"/>
        <v>0</v>
      </c>
      <c r="N94" s="570">
        <f t="shared" si="17"/>
        <v>0</v>
      </c>
      <c r="O94" s="570">
        <f t="shared" si="17"/>
        <v>32291.4</v>
      </c>
      <c r="P94" s="578">
        <f>SUM(D94:O94)</f>
        <v>58946.7</v>
      </c>
    </row>
    <row r="95" spans="1:16">
      <c r="A95" s="6">
        <v>90</v>
      </c>
      <c r="C95" s="15"/>
    </row>
    <row r="96" spans="1:16">
      <c r="A96" s="6">
        <v>91</v>
      </c>
      <c r="C96" s="15"/>
    </row>
    <row r="97" spans="2:16">
      <c r="B97" s="13"/>
      <c r="C97" s="15"/>
    </row>
    <row r="98" spans="2:16">
      <c r="B98" s="694"/>
      <c r="C98" s="694"/>
    </row>
    <row r="99" spans="2:16">
      <c r="C99" s="16"/>
      <c r="P99" s="578"/>
    </row>
    <row r="100" spans="2:16">
      <c r="C100" s="15"/>
      <c r="D100" s="572"/>
      <c r="E100" s="572"/>
      <c r="F100" s="572"/>
      <c r="G100" s="572"/>
      <c r="H100" s="572"/>
      <c r="I100" s="572"/>
      <c r="J100" s="572"/>
      <c r="K100" s="572"/>
      <c r="L100" s="572"/>
      <c r="M100" s="572"/>
      <c r="N100" s="572"/>
      <c r="O100" s="572"/>
      <c r="P100" s="581"/>
    </row>
    <row r="101" spans="2:16">
      <c r="C101" s="16"/>
      <c r="P101" s="578"/>
    </row>
    <row r="102" spans="2:16">
      <c r="C102" s="15"/>
    </row>
    <row r="103" spans="2:16">
      <c r="B103" s="15"/>
    </row>
    <row r="104" spans="2:16">
      <c r="C104" s="16"/>
      <c r="P104" s="578"/>
    </row>
    <row r="105" spans="2:16">
      <c r="C105" s="15"/>
      <c r="P105" s="581"/>
    </row>
    <row r="106" spans="2:16">
      <c r="C106" s="16"/>
      <c r="P106" s="578"/>
    </row>
    <row r="107" spans="2:16">
      <c r="C107" s="15"/>
    </row>
    <row r="108" spans="2:16">
      <c r="B108" s="15"/>
    </row>
    <row r="109" spans="2:16">
      <c r="C109" s="16"/>
      <c r="P109" s="578"/>
    </row>
    <row r="110" spans="2:16">
      <c r="C110" s="15"/>
      <c r="P110" s="581"/>
    </row>
    <row r="111" spans="2:16">
      <c r="C111" s="16"/>
      <c r="P111" s="578"/>
    </row>
    <row r="112" spans="2:16">
      <c r="C112" s="15"/>
    </row>
    <row r="113" spans="2:3">
      <c r="C113" s="15"/>
    </row>
    <row r="114" spans="2:3">
      <c r="C114" s="15"/>
    </row>
    <row r="115" spans="2:3">
      <c r="C115" s="15"/>
    </row>
    <row r="116" spans="2:3">
      <c r="C116" s="20"/>
    </row>
    <row r="117" spans="2:3">
      <c r="C117" s="15"/>
    </row>
    <row r="118" spans="2:3">
      <c r="C118" s="15"/>
    </row>
    <row r="119" spans="2:3">
      <c r="C119" s="15"/>
    </row>
    <row r="120" spans="2:3">
      <c r="B120" s="21"/>
    </row>
    <row r="121" spans="2:3">
      <c r="B121" s="21"/>
    </row>
    <row r="122" spans="2:3">
      <c r="B122" s="21"/>
    </row>
    <row r="123" spans="2:3">
      <c r="B123" s="21"/>
    </row>
    <row r="124" spans="2:3">
      <c r="B124" s="21"/>
    </row>
    <row r="125" spans="2:3">
      <c r="B125" s="21"/>
    </row>
    <row r="126" spans="2:3">
      <c r="B126" s="21"/>
    </row>
    <row r="127" spans="2:3">
      <c r="B127" s="21"/>
    </row>
    <row r="128" spans="2:3">
      <c r="B128" s="21"/>
    </row>
    <row r="129" spans="2:2">
      <c r="B129" s="21"/>
    </row>
    <row r="130" spans="2:2">
      <c r="B130" s="21"/>
    </row>
    <row r="131" spans="2:2">
      <c r="B131" s="21"/>
    </row>
    <row r="132" spans="2:2">
      <c r="B132" s="21"/>
    </row>
    <row r="133" spans="2:2">
      <c r="B133" s="21"/>
    </row>
    <row r="134" spans="2:2">
      <c r="B134" s="21"/>
    </row>
    <row r="135" spans="2:2">
      <c r="B135" s="21"/>
    </row>
    <row r="136" spans="2:2">
      <c r="B136" s="21"/>
    </row>
    <row r="137" spans="2:2">
      <c r="B137" s="21"/>
    </row>
    <row r="138" spans="2:2">
      <c r="B138" s="21"/>
    </row>
    <row r="139" spans="2:2">
      <c r="B139" s="21"/>
    </row>
    <row r="140" spans="2:2">
      <c r="B140" s="21"/>
    </row>
    <row r="141" spans="2:2">
      <c r="B141" s="21"/>
    </row>
    <row r="142" spans="2:2">
      <c r="B142" s="21"/>
    </row>
    <row r="143" spans="2:2">
      <c r="B143" s="21"/>
    </row>
    <row r="144" spans="2:2">
      <c r="B144" s="21"/>
    </row>
    <row r="145" spans="2:2">
      <c r="B145" s="21"/>
    </row>
    <row r="146" spans="2:2">
      <c r="B146" s="21"/>
    </row>
    <row r="147" spans="2:2">
      <c r="B147" s="21"/>
    </row>
    <row r="148" spans="2:2">
      <c r="B148" s="21"/>
    </row>
    <row r="149" spans="2:2">
      <c r="B149" s="21"/>
    </row>
    <row r="150" spans="2:2">
      <c r="B150" s="21"/>
    </row>
    <row r="151" spans="2:2">
      <c r="B151" s="21"/>
    </row>
    <row r="152" spans="2:2">
      <c r="B152" s="21"/>
    </row>
    <row r="153" spans="2:2">
      <c r="B153" s="21"/>
    </row>
    <row r="154" spans="2:2">
      <c r="B154" s="21"/>
    </row>
    <row r="155" spans="2:2">
      <c r="B155" s="21"/>
    </row>
    <row r="156" spans="2:2">
      <c r="B156" s="21"/>
    </row>
    <row r="157" spans="2:2">
      <c r="B157" s="21"/>
    </row>
    <row r="158" spans="2:2">
      <c r="B158" s="21"/>
    </row>
    <row r="159" spans="2:2">
      <c r="B159" s="21"/>
    </row>
    <row r="160" spans="2:2">
      <c r="B160" s="21"/>
    </row>
    <row r="161" spans="2:2">
      <c r="B161" s="21"/>
    </row>
    <row r="162" spans="2:2">
      <c r="B162" s="21"/>
    </row>
    <row r="163" spans="2:2">
      <c r="B163" s="21"/>
    </row>
    <row r="164" spans="2:2">
      <c r="B164" s="21"/>
    </row>
    <row r="165" spans="2:2">
      <c r="B165" s="21"/>
    </row>
    <row r="166" spans="2:2">
      <c r="B166" s="21"/>
    </row>
    <row r="167" spans="2:2">
      <c r="B167" s="21"/>
    </row>
    <row r="168" spans="2:2">
      <c r="B168" s="21"/>
    </row>
    <row r="169" spans="2:2">
      <c r="B169" s="21"/>
    </row>
    <row r="170" spans="2:2">
      <c r="B170" s="21"/>
    </row>
    <row r="171" spans="2:2">
      <c r="B171" s="21"/>
    </row>
    <row r="172" spans="2:2">
      <c r="B172" s="21"/>
    </row>
    <row r="173" spans="2:2">
      <c r="B173" s="21"/>
    </row>
    <row r="174" spans="2:2">
      <c r="B174" s="21"/>
    </row>
    <row r="175" spans="2:2">
      <c r="B175" s="21"/>
    </row>
    <row r="176" spans="2:2">
      <c r="B176" s="21"/>
    </row>
    <row r="177" spans="2:2">
      <c r="B177" s="21"/>
    </row>
    <row r="178" spans="2:2">
      <c r="B178" s="21"/>
    </row>
    <row r="179" spans="2:2">
      <c r="B179" s="21"/>
    </row>
    <row r="180" spans="2:2">
      <c r="B180" s="21"/>
    </row>
    <row r="181" spans="2:2">
      <c r="B181" s="21"/>
    </row>
    <row r="182" spans="2:2">
      <c r="B182" s="21"/>
    </row>
    <row r="183" spans="2:2">
      <c r="B183" s="21"/>
    </row>
    <row r="184" spans="2:2">
      <c r="B184" s="21"/>
    </row>
    <row r="185" spans="2:2">
      <c r="B185" s="21"/>
    </row>
    <row r="186" spans="2:2">
      <c r="B186" s="21"/>
    </row>
    <row r="187" spans="2:2">
      <c r="B187" s="21"/>
    </row>
    <row r="188" spans="2:2">
      <c r="B188" s="21"/>
    </row>
    <row r="189" spans="2:2">
      <c r="B189" s="21"/>
    </row>
    <row r="190" spans="2:2">
      <c r="B190" s="21"/>
    </row>
    <row r="191" spans="2:2">
      <c r="B191" s="21"/>
    </row>
    <row r="192" spans="2:2">
      <c r="B192" s="21"/>
    </row>
    <row r="193" spans="2:2">
      <c r="B193" s="21"/>
    </row>
    <row r="194" spans="2:2">
      <c r="B194" s="21"/>
    </row>
    <row r="195" spans="2:2">
      <c r="B195" s="21"/>
    </row>
    <row r="196" spans="2:2">
      <c r="B196" s="21"/>
    </row>
    <row r="197" spans="2:2">
      <c r="B197" s="21"/>
    </row>
    <row r="198" spans="2:2">
      <c r="B198" s="21"/>
    </row>
    <row r="199" spans="2:2">
      <c r="B199" s="21"/>
    </row>
    <row r="200" spans="2:2">
      <c r="B200" s="21"/>
    </row>
    <row r="201" spans="2:2">
      <c r="B201" s="21"/>
    </row>
    <row r="202" spans="2:2">
      <c r="B202" s="21"/>
    </row>
    <row r="203" spans="2:2">
      <c r="B203" s="21"/>
    </row>
    <row r="204" spans="2:2">
      <c r="B204" s="21"/>
    </row>
    <row r="205" spans="2:2">
      <c r="B205" s="21"/>
    </row>
    <row r="206" spans="2:2">
      <c r="B206" s="21"/>
    </row>
    <row r="207" spans="2:2">
      <c r="B207" s="21"/>
    </row>
    <row r="208" spans="2:2">
      <c r="B208" s="21"/>
    </row>
    <row r="209" spans="2:2">
      <c r="B209" s="21"/>
    </row>
    <row r="210" spans="2:2">
      <c r="B210" s="21"/>
    </row>
    <row r="211" spans="2:2">
      <c r="B211" s="21"/>
    </row>
    <row r="212" spans="2:2">
      <c r="B212" s="21"/>
    </row>
    <row r="213" spans="2:2">
      <c r="B213" s="21"/>
    </row>
    <row r="214" spans="2:2">
      <c r="B214" s="21"/>
    </row>
    <row r="215" spans="2:2">
      <c r="B215" s="21"/>
    </row>
    <row r="216" spans="2:2">
      <c r="B216" s="21"/>
    </row>
    <row r="217" spans="2:2">
      <c r="B217" s="21"/>
    </row>
    <row r="218" spans="2:2">
      <c r="B218" s="21"/>
    </row>
    <row r="219" spans="2:2">
      <c r="B219" s="21"/>
    </row>
    <row r="220" spans="2:2">
      <c r="B220" s="21"/>
    </row>
    <row r="221" spans="2:2">
      <c r="B221" s="21"/>
    </row>
    <row r="222" spans="2:2">
      <c r="B222" s="21"/>
    </row>
    <row r="223" spans="2:2">
      <c r="B223" s="21"/>
    </row>
    <row r="224" spans="2:2">
      <c r="B224" s="21"/>
    </row>
    <row r="225" spans="2:2">
      <c r="B225" s="21"/>
    </row>
    <row r="226" spans="2:2">
      <c r="B226" s="21"/>
    </row>
    <row r="227" spans="2:2">
      <c r="B227" s="21"/>
    </row>
    <row r="228" spans="2:2">
      <c r="B228" s="21"/>
    </row>
    <row r="229" spans="2:2">
      <c r="B229" s="21"/>
    </row>
    <row r="230" spans="2:2">
      <c r="B230" s="21"/>
    </row>
    <row r="231" spans="2:2">
      <c r="B231" s="21"/>
    </row>
    <row r="232" spans="2:2">
      <c r="B232" s="21"/>
    </row>
    <row r="233" spans="2:2">
      <c r="B233" s="21"/>
    </row>
    <row r="234" spans="2:2">
      <c r="B234" s="21"/>
    </row>
    <row r="235" spans="2:2">
      <c r="B235" s="21"/>
    </row>
    <row r="236" spans="2:2">
      <c r="B236" s="21"/>
    </row>
    <row r="237" spans="2:2">
      <c r="B237" s="21"/>
    </row>
    <row r="238" spans="2:2">
      <c r="B238" s="21"/>
    </row>
    <row r="239" spans="2:2">
      <c r="B239" s="21"/>
    </row>
    <row r="240" spans="2:2">
      <c r="B240" s="21"/>
    </row>
    <row r="241" spans="2:2">
      <c r="B241" s="21"/>
    </row>
    <row r="242" spans="2:2">
      <c r="B242" s="21"/>
    </row>
    <row r="243" spans="2:2">
      <c r="B243" s="21"/>
    </row>
    <row r="244" spans="2:2">
      <c r="B244" s="21"/>
    </row>
    <row r="245" spans="2:2">
      <c r="B245" s="21"/>
    </row>
    <row r="246" spans="2:2">
      <c r="B246" s="21"/>
    </row>
    <row r="247" spans="2:2">
      <c r="B247" s="21"/>
    </row>
    <row r="248" spans="2:2">
      <c r="B248" s="21"/>
    </row>
    <row r="249" spans="2:2">
      <c r="B249" s="21"/>
    </row>
    <row r="250" spans="2:2">
      <c r="B250" s="21"/>
    </row>
    <row r="251" spans="2:2">
      <c r="B251" s="21"/>
    </row>
    <row r="252" spans="2:2">
      <c r="B252" s="21"/>
    </row>
    <row r="253" spans="2:2">
      <c r="B253" s="21"/>
    </row>
    <row r="254" spans="2:2">
      <c r="B254" s="21"/>
    </row>
    <row r="255" spans="2:2">
      <c r="B255" s="21"/>
    </row>
    <row r="256" spans="2:2">
      <c r="B256" s="21"/>
    </row>
    <row r="257" spans="2:2">
      <c r="B257" s="21"/>
    </row>
    <row r="258" spans="2:2">
      <c r="B258" s="21"/>
    </row>
    <row r="259" spans="2:2">
      <c r="B259" s="21"/>
    </row>
    <row r="260" spans="2:2">
      <c r="B260" s="21"/>
    </row>
    <row r="261" spans="2:2">
      <c r="B261" s="21"/>
    </row>
    <row r="262" spans="2:2">
      <c r="B262" s="21"/>
    </row>
    <row r="263" spans="2:2">
      <c r="B263" s="21"/>
    </row>
    <row r="264" spans="2:2">
      <c r="B264" s="21"/>
    </row>
    <row r="265" spans="2:2">
      <c r="B265" s="21"/>
    </row>
    <row r="266" spans="2:2">
      <c r="B266" s="21"/>
    </row>
    <row r="267" spans="2:2">
      <c r="B267" s="21"/>
    </row>
    <row r="268" spans="2:2">
      <c r="B268" s="21"/>
    </row>
    <row r="269" spans="2:2">
      <c r="B269" s="21"/>
    </row>
    <row r="270" spans="2:2">
      <c r="B270" s="21"/>
    </row>
    <row r="271" spans="2:2">
      <c r="B271" s="21"/>
    </row>
    <row r="272" spans="2:2">
      <c r="B272" s="21"/>
    </row>
    <row r="273" spans="2:2">
      <c r="B273" s="21"/>
    </row>
    <row r="274" spans="2:2">
      <c r="B274" s="21"/>
    </row>
    <row r="275" spans="2:2">
      <c r="B275" s="21"/>
    </row>
    <row r="276" spans="2:2">
      <c r="B276" s="21"/>
    </row>
    <row r="277" spans="2:2">
      <c r="B277" s="21"/>
    </row>
    <row r="278" spans="2:2">
      <c r="B278" s="21"/>
    </row>
    <row r="279" spans="2:2">
      <c r="B279" s="21"/>
    </row>
    <row r="280" spans="2:2">
      <c r="B280" s="21"/>
    </row>
    <row r="281" spans="2:2">
      <c r="B281" s="21"/>
    </row>
    <row r="282" spans="2:2">
      <c r="B282" s="21"/>
    </row>
    <row r="283" spans="2:2">
      <c r="B283" s="21"/>
    </row>
    <row r="284" spans="2:2">
      <c r="B284" s="21"/>
    </row>
    <row r="285" spans="2:2">
      <c r="B285" s="21"/>
    </row>
    <row r="286" spans="2:2">
      <c r="B286" s="21"/>
    </row>
    <row r="287" spans="2:2">
      <c r="B287" s="21"/>
    </row>
    <row r="288" spans="2:2">
      <c r="B288" s="21"/>
    </row>
    <row r="289" spans="2:2">
      <c r="B289" s="21"/>
    </row>
    <row r="290" spans="2:2">
      <c r="B290" s="21"/>
    </row>
    <row r="291" spans="2:2">
      <c r="B291" s="21"/>
    </row>
    <row r="292" spans="2:2">
      <c r="B292" s="21"/>
    </row>
    <row r="293" spans="2:2">
      <c r="B293" s="21"/>
    </row>
    <row r="294" spans="2:2">
      <c r="B294" s="21"/>
    </row>
    <row r="295" spans="2:2">
      <c r="B295" s="21"/>
    </row>
    <row r="296" spans="2:2">
      <c r="B296" s="21"/>
    </row>
    <row r="297" spans="2:2">
      <c r="B297" s="21"/>
    </row>
    <row r="298" spans="2:2">
      <c r="B298" s="21"/>
    </row>
    <row r="299" spans="2:2">
      <c r="B299" s="21"/>
    </row>
    <row r="300" spans="2:2">
      <c r="B300" s="21"/>
    </row>
    <row r="301" spans="2:2">
      <c r="B301" s="21"/>
    </row>
    <row r="302" spans="2:2">
      <c r="B302" s="21"/>
    </row>
    <row r="303" spans="2:2">
      <c r="B303" s="21"/>
    </row>
    <row r="304" spans="2:2">
      <c r="B304" s="21"/>
    </row>
    <row r="305" spans="2:2">
      <c r="B305" s="21"/>
    </row>
    <row r="306" spans="2:2">
      <c r="B306" s="21"/>
    </row>
    <row r="307" spans="2:2">
      <c r="B307" s="21"/>
    </row>
    <row r="308" spans="2:2">
      <c r="B308" s="21"/>
    </row>
    <row r="309" spans="2:2">
      <c r="B309" s="21"/>
    </row>
    <row r="310" spans="2:2">
      <c r="B310" s="21"/>
    </row>
    <row r="311" spans="2:2">
      <c r="B311" s="21"/>
    </row>
    <row r="312" spans="2:2">
      <c r="B312" s="21"/>
    </row>
    <row r="313" spans="2:2">
      <c r="B313" s="21"/>
    </row>
    <row r="314" spans="2:2">
      <c r="B314" s="21"/>
    </row>
    <row r="315" spans="2:2">
      <c r="B315" s="21"/>
    </row>
    <row r="316" spans="2:2">
      <c r="B316" s="21"/>
    </row>
    <row r="317" spans="2:2">
      <c r="B317" s="21"/>
    </row>
    <row r="318" spans="2:2">
      <c r="B318" s="21"/>
    </row>
    <row r="319" spans="2:2">
      <c r="B319" s="21"/>
    </row>
    <row r="320" spans="2:2">
      <c r="B320" s="21"/>
    </row>
    <row r="321" spans="2:2">
      <c r="B321" s="21"/>
    </row>
    <row r="322" spans="2:2">
      <c r="B322" s="21"/>
    </row>
    <row r="323" spans="2:2">
      <c r="B323" s="21"/>
    </row>
    <row r="324" spans="2:2">
      <c r="B324" s="21"/>
    </row>
    <row r="325" spans="2:2">
      <c r="B325" s="21"/>
    </row>
    <row r="326" spans="2:2">
      <c r="B326" s="21"/>
    </row>
    <row r="327" spans="2:2">
      <c r="B327" s="21"/>
    </row>
    <row r="328" spans="2:2">
      <c r="B328" s="21"/>
    </row>
    <row r="329" spans="2:2">
      <c r="B329" s="21"/>
    </row>
    <row r="330" spans="2:2">
      <c r="B330" s="21"/>
    </row>
    <row r="331" spans="2:2">
      <c r="B331" s="21"/>
    </row>
    <row r="332" spans="2:2">
      <c r="B332" s="21"/>
    </row>
    <row r="333" spans="2:2">
      <c r="B333" s="21"/>
    </row>
    <row r="334" spans="2:2">
      <c r="B334" s="21"/>
    </row>
    <row r="335" spans="2:2">
      <c r="B335" s="21"/>
    </row>
    <row r="336" spans="2:2">
      <c r="B336" s="21"/>
    </row>
    <row r="337" spans="2:2">
      <c r="B337" s="21"/>
    </row>
    <row r="338" spans="2:2">
      <c r="B338" s="21"/>
    </row>
    <row r="339" spans="2:2">
      <c r="B339" s="21"/>
    </row>
    <row r="340" spans="2:2">
      <c r="B340" s="21"/>
    </row>
    <row r="341" spans="2:2">
      <c r="B341" s="21"/>
    </row>
    <row r="342" spans="2:2">
      <c r="B342" s="21"/>
    </row>
    <row r="343" spans="2:2">
      <c r="B343" s="21"/>
    </row>
    <row r="344" spans="2:2">
      <c r="B344" s="21"/>
    </row>
    <row r="345" spans="2:2">
      <c r="B345" s="21"/>
    </row>
    <row r="346" spans="2:2">
      <c r="B346" s="21"/>
    </row>
    <row r="347" spans="2:2">
      <c r="B347" s="21"/>
    </row>
    <row r="348" spans="2:2">
      <c r="B348" s="21"/>
    </row>
    <row r="349" spans="2:2">
      <c r="B349" s="21"/>
    </row>
    <row r="350" spans="2:2">
      <c r="B350" s="21"/>
    </row>
    <row r="351" spans="2:2">
      <c r="B351" s="21"/>
    </row>
    <row r="352" spans="2:2">
      <c r="B352" s="21"/>
    </row>
    <row r="353" spans="2:2">
      <c r="B353" s="21"/>
    </row>
    <row r="354" spans="2:2">
      <c r="B354" s="21"/>
    </row>
    <row r="355" spans="2:2">
      <c r="B355" s="21"/>
    </row>
    <row r="356" spans="2:2">
      <c r="B356" s="21"/>
    </row>
    <row r="357" spans="2:2">
      <c r="B357" s="21"/>
    </row>
    <row r="358" spans="2:2">
      <c r="B358" s="21"/>
    </row>
    <row r="359" spans="2:2">
      <c r="B359" s="21"/>
    </row>
    <row r="360" spans="2:2">
      <c r="B360" s="21"/>
    </row>
    <row r="361" spans="2:2">
      <c r="B361" s="21"/>
    </row>
    <row r="362" spans="2:2">
      <c r="B362" s="21"/>
    </row>
    <row r="363" spans="2:2">
      <c r="B363" s="21"/>
    </row>
    <row r="364" spans="2:2">
      <c r="B364" s="21"/>
    </row>
    <row r="365" spans="2:2">
      <c r="B365" s="21"/>
    </row>
    <row r="366" spans="2:2">
      <c r="B366" s="21"/>
    </row>
    <row r="367" spans="2:2">
      <c r="B367" s="21"/>
    </row>
    <row r="368" spans="2:2">
      <c r="B368" s="21"/>
    </row>
    <row r="369" spans="2:2">
      <c r="B369" s="21"/>
    </row>
    <row r="370" spans="2:2">
      <c r="B370" s="21"/>
    </row>
    <row r="371" spans="2:2">
      <c r="B371" s="21"/>
    </row>
    <row r="372" spans="2:2">
      <c r="B372" s="21"/>
    </row>
    <row r="373" spans="2:2">
      <c r="B373" s="21"/>
    </row>
    <row r="374" spans="2:2">
      <c r="B374" s="21"/>
    </row>
    <row r="375" spans="2:2">
      <c r="B375" s="21"/>
    </row>
    <row r="376" spans="2:2">
      <c r="B376" s="21"/>
    </row>
    <row r="377" spans="2:2">
      <c r="B377" s="21"/>
    </row>
    <row r="378" spans="2:2">
      <c r="B378" s="21"/>
    </row>
    <row r="379" spans="2:2">
      <c r="B379" s="21"/>
    </row>
    <row r="380" spans="2:2">
      <c r="B380" s="21"/>
    </row>
    <row r="381" spans="2:2">
      <c r="B381" s="21"/>
    </row>
    <row r="382" spans="2:2">
      <c r="B382" s="21"/>
    </row>
    <row r="383" spans="2:2">
      <c r="B383" s="21"/>
    </row>
    <row r="384" spans="2:2">
      <c r="B384" s="21"/>
    </row>
    <row r="385" spans="2:2">
      <c r="B385" s="21"/>
    </row>
    <row r="386" spans="2:2">
      <c r="B386" s="21"/>
    </row>
    <row r="387" spans="2:2">
      <c r="B387" s="21"/>
    </row>
    <row r="388" spans="2:2">
      <c r="B388" s="21"/>
    </row>
    <row r="389" spans="2:2">
      <c r="B389" s="21"/>
    </row>
    <row r="390" spans="2:2">
      <c r="B390" s="21"/>
    </row>
    <row r="391" spans="2:2">
      <c r="B391" s="21"/>
    </row>
    <row r="392" spans="2:2">
      <c r="B392" s="21"/>
    </row>
  </sheetData>
  <mergeCells count="1">
    <mergeCell ref="B98:C98"/>
  </mergeCells>
  <phoneticPr fontId="0" type="noConversion"/>
  <pageMargins left="0.75" right="0.75" top="1" bottom="1" header="0.5" footer="0.5"/>
  <pageSetup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40"/>
  <sheetViews>
    <sheetView zoomScale="90" zoomScaleNormal="90" workbookViewId="0">
      <pane xSplit="1" ySplit="3" topLeftCell="AH4" activePane="bottomRight" state="frozen"/>
      <selection activeCell="M28" sqref="M28"/>
      <selection pane="topRight" activeCell="M28" sqref="M28"/>
      <selection pane="bottomLeft" activeCell="M28" sqref="M28"/>
      <selection pane="bottomRight" sqref="A1:BF1048576"/>
    </sheetView>
  </sheetViews>
  <sheetFormatPr defaultRowHeight="12.75"/>
  <cols>
    <col min="2" max="2" width="30.28515625" customWidth="1"/>
    <col min="3" max="3" width="5.7109375" style="93" customWidth="1"/>
    <col min="4" max="6" width="12" customWidth="1"/>
    <col min="7" max="7" width="5.7109375" customWidth="1"/>
    <col min="8" max="8" width="9.85546875" bestFit="1" customWidth="1"/>
    <col min="10" max="10" width="11" customWidth="1"/>
    <col min="11" max="11" width="5.85546875" customWidth="1"/>
    <col min="15" max="15" width="5.7109375" customWidth="1"/>
    <col min="16" max="18" width="9" customWidth="1"/>
    <col min="19" max="19" width="5.7109375" customWidth="1"/>
    <col min="20" max="21" width="10.5703125" bestFit="1" customWidth="1"/>
    <col min="22" max="23" width="15.5703125" bestFit="1" customWidth="1"/>
    <col min="24" max="24" width="5.7109375" customWidth="1"/>
    <col min="28" max="28" width="5.7109375" customWidth="1"/>
    <col min="33" max="33" width="9.140625" style="396" customWidth="1"/>
    <col min="34" max="35" width="9.140625" customWidth="1"/>
    <col min="37" max="39" width="9.140625" style="396"/>
  </cols>
  <sheetData>
    <row r="1" spans="1:43" ht="14.25">
      <c r="B1" s="561" t="s">
        <v>287</v>
      </c>
      <c r="C1" s="192"/>
      <c r="D1" s="698" t="s">
        <v>288</v>
      </c>
      <c r="E1" s="699"/>
      <c r="F1" s="699"/>
      <c r="H1" s="698" t="s">
        <v>251</v>
      </c>
      <c r="I1" s="698"/>
      <c r="J1" s="698"/>
      <c r="L1" s="698" t="s">
        <v>252</v>
      </c>
      <c r="M1" s="699"/>
      <c r="N1" s="699"/>
      <c r="P1" s="698" t="s">
        <v>267</v>
      </c>
      <c r="Q1" s="699"/>
      <c r="R1" s="699"/>
      <c r="T1" s="700" t="s">
        <v>402</v>
      </c>
      <c r="U1" s="700"/>
      <c r="V1" s="700"/>
      <c r="W1" s="700"/>
      <c r="Y1" s="698" t="s">
        <v>253</v>
      </c>
      <c r="Z1" s="698"/>
      <c r="AA1" s="698"/>
      <c r="AC1" s="695" t="s">
        <v>254</v>
      </c>
      <c r="AD1" s="696"/>
      <c r="AE1" s="696"/>
      <c r="AG1" s="695" t="s">
        <v>261</v>
      </c>
      <c r="AH1" s="696"/>
      <c r="AI1" s="696"/>
      <c r="AK1" s="695" t="s">
        <v>262</v>
      </c>
      <c r="AL1" s="696"/>
      <c r="AM1" s="696"/>
      <c r="AO1" s="695" t="s">
        <v>268</v>
      </c>
      <c r="AP1" s="696"/>
      <c r="AQ1" s="696"/>
    </row>
    <row r="2" spans="1:43">
      <c r="B2" s="562" t="s">
        <v>286</v>
      </c>
      <c r="C2" s="192"/>
      <c r="D2" s="429" t="s">
        <v>71</v>
      </c>
      <c r="E2" s="429" t="s">
        <v>111</v>
      </c>
      <c r="F2" s="429" t="s">
        <v>72</v>
      </c>
      <c r="H2" s="356" t="s">
        <v>71</v>
      </c>
      <c r="I2" s="356" t="s">
        <v>111</v>
      </c>
      <c r="J2" s="356" t="s">
        <v>72</v>
      </c>
      <c r="L2" s="356" t="s">
        <v>71</v>
      </c>
      <c r="M2" s="356" t="s">
        <v>111</v>
      </c>
      <c r="N2" s="356" t="s">
        <v>72</v>
      </c>
      <c r="P2" s="409" t="s">
        <v>71</v>
      </c>
      <c r="Q2" s="409" t="s">
        <v>111</v>
      </c>
      <c r="R2" s="409" t="s">
        <v>72</v>
      </c>
      <c r="T2" s="697" t="s">
        <v>186</v>
      </c>
      <c r="U2" s="697"/>
      <c r="V2" s="697"/>
      <c r="W2" s="697"/>
      <c r="Y2" s="697" t="s">
        <v>82</v>
      </c>
      <c r="Z2" s="697"/>
      <c r="AA2" s="697"/>
      <c r="AC2" s="697" t="s">
        <v>82</v>
      </c>
      <c r="AD2" s="697"/>
      <c r="AE2" s="697"/>
      <c r="AG2" s="697" t="s">
        <v>82</v>
      </c>
      <c r="AH2" s="697"/>
      <c r="AI2" s="697"/>
      <c r="AK2" s="697" t="s">
        <v>82</v>
      </c>
      <c r="AL2" s="697"/>
      <c r="AM2" s="697"/>
      <c r="AO2" s="697" t="s">
        <v>82</v>
      </c>
      <c r="AP2" s="697"/>
      <c r="AQ2" s="697"/>
    </row>
    <row r="3" spans="1:43">
      <c r="B3" s="329" t="s">
        <v>67</v>
      </c>
      <c r="C3" s="105"/>
      <c r="D3" s="107" t="s">
        <v>67</v>
      </c>
      <c r="E3" s="107" t="s">
        <v>67</v>
      </c>
      <c r="F3" s="107" t="s">
        <v>67</v>
      </c>
      <c r="H3" s="351" t="s">
        <v>67</v>
      </c>
      <c r="I3" s="351" t="s">
        <v>67</v>
      </c>
      <c r="J3" s="352" t="s">
        <v>67</v>
      </c>
      <c r="L3" s="351" t="s">
        <v>67</v>
      </c>
      <c r="M3" s="351" t="s">
        <v>67</v>
      </c>
      <c r="N3" s="352" t="s">
        <v>67</v>
      </c>
      <c r="P3" s="351" t="s">
        <v>67</v>
      </c>
      <c r="Q3" s="351" t="s">
        <v>67</v>
      </c>
      <c r="R3" s="352" t="s">
        <v>67</v>
      </c>
      <c r="T3" t="s">
        <v>184</v>
      </c>
      <c r="U3" t="s">
        <v>185</v>
      </c>
      <c r="V3" t="s">
        <v>199</v>
      </c>
      <c r="W3" t="s">
        <v>200</v>
      </c>
      <c r="Y3" s="96" t="s">
        <v>83</v>
      </c>
      <c r="Z3" s="96" t="s">
        <v>84</v>
      </c>
      <c r="AA3" s="96" t="s">
        <v>85</v>
      </c>
      <c r="AC3" s="357" t="s">
        <v>83</v>
      </c>
      <c r="AD3" s="357" t="s">
        <v>84</v>
      </c>
      <c r="AE3" s="357" t="s">
        <v>85</v>
      </c>
      <c r="AG3" s="391" t="s">
        <v>83</v>
      </c>
      <c r="AH3" s="391" t="s">
        <v>84</v>
      </c>
      <c r="AI3" s="391" t="s">
        <v>85</v>
      </c>
      <c r="AK3" s="391" t="s">
        <v>83</v>
      </c>
      <c r="AL3" s="391" t="s">
        <v>84</v>
      </c>
      <c r="AM3" s="391" t="s">
        <v>85</v>
      </c>
      <c r="AO3" s="391" t="s">
        <v>83</v>
      </c>
      <c r="AP3" s="391" t="s">
        <v>84</v>
      </c>
      <c r="AQ3" s="391" t="s">
        <v>85</v>
      </c>
    </row>
    <row r="4" spans="1:43">
      <c r="B4" s="350"/>
      <c r="C4" s="105"/>
      <c r="D4" s="107"/>
      <c r="E4" s="107"/>
      <c r="F4" s="107"/>
      <c r="H4" s="345"/>
      <c r="I4" s="346"/>
      <c r="J4" s="347"/>
      <c r="L4" s="345"/>
      <c r="M4" s="346"/>
      <c r="N4" s="347"/>
      <c r="T4" s="318"/>
      <c r="U4" s="319"/>
      <c r="V4" s="319"/>
      <c r="W4" s="359"/>
      <c r="AG4"/>
      <c r="AK4"/>
      <c r="AL4"/>
      <c r="AM4"/>
    </row>
    <row r="5" spans="1:43">
      <c r="A5" s="166">
        <f>'Input Data'!A4</f>
        <v>41821</v>
      </c>
      <c r="B5" s="355">
        <f>'Monthly Budget Data'!G5</f>
        <v>114217</v>
      </c>
      <c r="C5" s="105"/>
      <c r="D5" s="104">
        <f>'Monthly Budget Data'!K5</f>
        <v>86961.611389323341</v>
      </c>
      <c r="E5" s="104">
        <f>'Monthly Budget Data'!J5</f>
        <v>30646.465133744288</v>
      </c>
      <c r="F5" s="104">
        <f>'Monthly Budget Data'!L5</f>
        <v>0</v>
      </c>
      <c r="H5" s="355">
        <f>'Monthly Budget Data'!O5</f>
        <v>89715.648219697046</v>
      </c>
      <c r="I5" s="104">
        <f>'Monthly Budget Data'!N5</f>
        <v>32500.110909090912</v>
      </c>
      <c r="J5" s="106">
        <f>'Monthly Budget Data'!P5</f>
        <v>0</v>
      </c>
      <c r="L5" s="355">
        <f>'Monthly Budget Data'!S5</f>
        <v>8090.47346590909</v>
      </c>
      <c r="M5" s="104">
        <f>'Monthly Budget Data'!R5</f>
        <v>65.772727272727266</v>
      </c>
      <c r="N5" s="106">
        <f>'Monthly Budget Data'!T5</f>
        <v>0</v>
      </c>
      <c r="P5" s="355">
        <f>'Monthly Budget Data'!AE5</f>
        <v>629.505</v>
      </c>
      <c r="Q5" s="104">
        <f>'Monthly Budget Data'!AD5</f>
        <v>288</v>
      </c>
      <c r="R5" s="106">
        <f>'Monthly Budget Data'!AF5</f>
        <v>0</v>
      </c>
      <c r="T5" s="355">
        <f>'Monthly Budget Data'!B5</f>
        <v>0.1</v>
      </c>
      <c r="U5" s="104">
        <f>'Monthly Budget Data'!C5</f>
        <v>10.000869321368482</v>
      </c>
      <c r="V5" s="104">
        <f>'Monthly Budget Data'!D5</f>
        <v>0</v>
      </c>
      <c r="W5" s="106">
        <f>'Monthly Budget Data'!E5</f>
        <v>11.983042959427202</v>
      </c>
      <c r="Y5" s="104">
        <f>'Monthly Budget Data'!AI5</f>
        <v>2199.0154545454548</v>
      </c>
      <c r="Z5" s="104">
        <f>'Monthly Budget Data'!AH5</f>
        <v>469.08181818181816</v>
      </c>
      <c r="AA5" s="104">
        <f>'Monthly Budget Data'!AJ5</f>
        <v>0</v>
      </c>
      <c r="AC5" s="104">
        <f>'Monthly Budget Data'!AM5</f>
        <v>458.28562499999987</v>
      </c>
      <c r="AD5" s="104">
        <f>'Monthly Budget Data'!AL5</f>
        <v>21.636363636363637</v>
      </c>
      <c r="AE5" s="104">
        <f>'Monthly Budget Data'!AN5</f>
        <v>0</v>
      </c>
      <c r="AG5" s="104">
        <f>'Monthly Budget Data'!AQ5</f>
        <v>213.03181818181818</v>
      </c>
      <c r="AH5" s="104">
        <f>'Monthly Budget Data'!AP5</f>
        <v>9.545454545454545</v>
      </c>
      <c r="AI5" s="104">
        <f>'Monthly Budget Data'!AR5</f>
        <v>0</v>
      </c>
      <c r="AJ5" s="223"/>
      <c r="AK5" s="104">
        <f>'Monthly Budget Data'!AU5</f>
        <v>4447.186818181819</v>
      </c>
      <c r="AL5" s="104">
        <f>'Monthly Budget Data'!AT5</f>
        <v>2023.1018181818183</v>
      </c>
      <c r="AM5" s="104">
        <f>'Monthly Budget Data'!AV5</f>
        <v>0</v>
      </c>
      <c r="AO5" s="104">
        <f>'Monthly Budget Data'!AY5</f>
        <v>0</v>
      </c>
      <c r="AP5" s="104">
        <f>'Monthly Budget Data'!AX5</f>
        <v>0</v>
      </c>
      <c r="AQ5" s="104">
        <f>'Monthly Budget Data'!AZ5</f>
        <v>0</v>
      </c>
    </row>
    <row r="6" spans="1:43">
      <c r="A6" s="166">
        <f>'Input Data'!A5</f>
        <v>41822</v>
      </c>
      <c r="B6" s="355">
        <f>'Monthly Budget Data'!G6</f>
        <v>114520</v>
      </c>
      <c r="C6" s="105"/>
      <c r="D6" s="104">
        <f>'Monthly Budget Data'!K6</f>
        <v>86961.611389323341</v>
      </c>
      <c r="E6" s="104">
        <f>'Monthly Budget Data'!J6</f>
        <v>30646.465133744288</v>
      </c>
      <c r="F6" s="104">
        <f>'Monthly Budget Data'!L6</f>
        <v>0</v>
      </c>
      <c r="H6" s="355">
        <f>'Monthly Budget Data'!O6</f>
        <v>89715.648219697046</v>
      </c>
      <c r="I6" s="104">
        <f>'Monthly Budget Data'!N6</f>
        <v>32500.110909090912</v>
      </c>
      <c r="J6" s="106">
        <f>'Monthly Budget Data'!P6</f>
        <v>0</v>
      </c>
      <c r="L6" s="355">
        <f>'Monthly Budget Data'!S6</f>
        <v>8090.47346590909</v>
      </c>
      <c r="M6" s="104">
        <f>'Monthly Budget Data'!R6</f>
        <v>65.772727272727266</v>
      </c>
      <c r="N6" s="106">
        <f>'Monthly Budget Data'!T6</f>
        <v>0</v>
      </c>
      <c r="P6" s="355">
        <f>'Monthly Budget Data'!AE6</f>
        <v>629.505</v>
      </c>
      <c r="Q6" s="104">
        <f>'Monthly Budget Data'!AD6</f>
        <v>288</v>
      </c>
      <c r="R6" s="106">
        <f>'Monthly Budget Data'!AF6</f>
        <v>0</v>
      </c>
      <c r="T6" s="355">
        <f>'Monthly Budget Data'!B6</f>
        <v>0.05</v>
      </c>
      <c r="U6" s="104">
        <f>'Monthly Budget Data'!C6</f>
        <v>10.050378575434664</v>
      </c>
      <c r="V6" s="104">
        <f>'Monthly Budget Data'!D6</f>
        <v>0</v>
      </c>
      <c r="W6" s="106">
        <f>'Monthly Budget Data'!E6</f>
        <v>12.18110978520286</v>
      </c>
      <c r="Y6" s="104">
        <f>'Monthly Budget Data'!AI6</f>
        <v>2199.0154545454548</v>
      </c>
      <c r="Z6" s="104">
        <f>'Monthly Budget Data'!AH6</f>
        <v>469.08181818181816</v>
      </c>
      <c r="AA6" s="104">
        <f>'Monthly Budget Data'!AJ6</f>
        <v>0</v>
      </c>
      <c r="AC6" s="104">
        <f>'Monthly Budget Data'!AM6</f>
        <v>458.28562499999987</v>
      </c>
      <c r="AD6" s="104">
        <f>'Monthly Budget Data'!AL6</f>
        <v>21.636363636363637</v>
      </c>
      <c r="AE6" s="104">
        <f>'Monthly Budget Data'!AN6</f>
        <v>0</v>
      </c>
      <c r="AG6" s="104">
        <f>'Monthly Budget Data'!AQ6</f>
        <v>213.03181818181818</v>
      </c>
      <c r="AH6" s="104">
        <f>'Monthly Budget Data'!AP6</f>
        <v>9.545454545454545</v>
      </c>
      <c r="AI6" s="104">
        <f>'Monthly Budget Data'!AR6</f>
        <v>0</v>
      </c>
      <c r="AJ6" s="223"/>
      <c r="AK6" s="104">
        <f>'Monthly Budget Data'!AU6</f>
        <v>4447.186818181819</v>
      </c>
      <c r="AL6" s="104">
        <f>'Monthly Budget Data'!AT6</f>
        <v>2023.1018181818183</v>
      </c>
      <c r="AM6" s="104">
        <f>'Monthly Budget Data'!AV6</f>
        <v>0</v>
      </c>
      <c r="AO6" s="104">
        <f>'Monthly Budget Data'!AY6</f>
        <v>0</v>
      </c>
      <c r="AP6" s="104">
        <f>'Monthly Budget Data'!AX6</f>
        <v>0</v>
      </c>
      <c r="AQ6" s="104">
        <f>'Monthly Budget Data'!AZ6</f>
        <v>0</v>
      </c>
    </row>
    <row r="7" spans="1:43">
      <c r="A7" s="166">
        <f>'Input Data'!A6</f>
        <v>41823</v>
      </c>
      <c r="B7" s="355">
        <f>'Monthly Budget Data'!G7</f>
        <v>114675</v>
      </c>
      <c r="C7" s="105"/>
      <c r="D7" s="104">
        <f>'Monthly Budget Data'!K7</f>
        <v>86961.611389323341</v>
      </c>
      <c r="E7" s="104">
        <f>'Monthly Budget Data'!J7</f>
        <v>30646.465133744288</v>
      </c>
      <c r="F7" s="104">
        <f>'Monthly Budget Data'!L7</f>
        <v>0</v>
      </c>
      <c r="H7" s="355">
        <f>'Monthly Budget Data'!O7</f>
        <v>89715.648219697046</v>
      </c>
      <c r="I7" s="104">
        <f>'Monthly Budget Data'!N7</f>
        <v>32500.110909090912</v>
      </c>
      <c r="J7" s="106">
        <f>'Monthly Budget Data'!P7</f>
        <v>0</v>
      </c>
      <c r="L7" s="355">
        <f>'Monthly Budget Data'!S7</f>
        <v>8090.47346590909</v>
      </c>
      <c r="M7" s="104">
        <f>'Monthly Budget Data'!R7</f>
        <v>65.772727272727266</v>
      </c>
      <c r="N7" s="106">
        <f>'Monthly Budget Data'!T7</f>
        <v>0</v>
      </c>
      <c r="P7" s="355">
        <f>'Monthly Budget Data'!AE7</f>
        <v>629.505</v>
      </c>
      <c r="Q7" s="104">
        <f>'Monthly Budget Data'!AD7</f>
        <v>288</v>
      </c>
      <c r="R7" s="106">
        <f>'Monthly Budget Data'!AF7</f>
        <v>0</v>
      </c>
      <c r="T7" s="355">
        <f>'Monthly Budget Data'!B7</f>
        <v>0.05</v>
      </c>
      <c r="U7" s="104">
        <f>'Monthly Budget Data'!C7</f>
        <v>10.099887829500842</v>
      </c>
      <c r="V7" s="104">
        <f>'Monthly Budget Data'!D7</f>
        <v>0</v>
      </c>
      <c r="W7" s="106">
        <f>'Monthly Budget Data'!E7</f>
        <v>12.18110978520286</v>
      </c>
      <c r="Y7" s="104">
        <f>'Monthly Budget Data'!AI7</f>
        <v>2199.0154545454548</v>
      </c>
      <c r="Z7" s="104">
        <f>'Monthly Budget Data'!AH7</f>
        <v>469.08181818181816</v>
      </c>
      <c r="AA7" s="104">
        <f>'Monthly Budget Data'!AJ7</f>
        <v>0</v>
      </c>
      <c r="AC7" s="104">
        <f>'Monthly Budget Data'!AM7</f>
        <v>458.28562499999987</v>
      </c>
      <c r="AD7" s="104">
        <f>'Monthly Budget Data'!AL7</f>
        <v>21.636363636363637</v>
      </c>
      <c r="AE7" s="104">
        <f>'Monthly Budget Data'!AN7</f>
        <v>0</v>
      </c>
      <c r="AG7" s="104">
        <f>'Monthly Budget Data'!AQ7</f>
        <v>213.03181818181818</v>
      </c>
      <c r="AH7" s="104">
        <f>'Monthly Budget Data'!AP7</f>
        <v>9.545454545454545</v>
      </c>
      <c r="AI7" s="104">
        <f>'Monthly Budget Data'!AR7</f>
        <v>0</v>
      </c>
      <c r="AJ7" s="223"/>
      <c r="AK7" s="104">
        <f>'Monthly Budget Data'!AU7</f>
        <v>4447.186818181819</v>
      </c>
      <c r="AL7" s="104">
        <f>'Monthly Budget Data'!AT7</f>
        <v>2023.1018181818183</v>
      </c>
      <c r="AM7" s="104">
        <f>'Monthly Budget Data'!AV7</f>
        <v>0</v>
      </c>
      <c r="AO7" s="104">
        <f>'Monthly Budget Data'!AY7</f>
        <v>0</v>
      </c>
      <c r="AP7" s="104">
        <f>'Monthly Budget Data'!AX7</f>
        <v>0</v>
      </c>
      <c r="AQ7" s="104">
        <f>'Monthly Budget Data'!AZ7</f>
        <v>0</v>
      </c>
    </row>
    <row r="8" spans="1:43">
      <c r="A8" s="166">
        <f>'Input Data'!A7</f>
        <v>41824</v>
      </c>
      <c r="B8" s="355">
        <f>'Monthly Budget Data'!G8</f>
        <v>102400</v>
      </c>
      <c r="C8" s="105"/>
      <c r="D8" s="104">
        <f>'Monthly Budget Data'!K8</f>
        <v>77308.738210588737</v>
      </c>
      <c r="E8" s="104">
        <f>'Monthly Budget Data'!J8</f>
        <v>28850.333164145421</v>
      </c>
      <c r="F8" s="104">
        <f>'Monthly Budget Data'!L8</f>
        <v>0</v>
      </c>
      <c r="H8" s="355">
        <f>'Monthly Budget Data'!O8</f>
        <v>78381.879166666695</v>
      </c>
      <c r="I8" s="104">
        <f>'Monthly Budget Data'!N8</f>
        <v>29222.900000000005</v>
      </c>
      <c r="J8" s="106">
        <f>'Monthly Budget Data'!P8</f>
        <v>0</v>
      </c>
      <c r="L8" s="355">
        <f>'Monthly Budget Data'!S8</f>
        <v>4217.0237500000003</v>
      </c>
      <c r="M8" s="104">
        <f>'Monthly Budget Data'!R8</f>
        <v>49.888888888888886</v>
      </c>
      <c r="N8" s="106">
        <f>'Monthly Budget Data'!T8</f>
        <v>0</v>
      </c>
      <c r="P8" s="355">
        <f>'Monthly Budget Data'!AE8</f>
        <v>576</v>
      </c>
      <c r="Q8" s="104">
        <f>'Monthly Budget Data'!AD8</f>
        <v>288</v>
      </c>
      <c r="R8" s="106">
        <f>'Monthly Budget Data'!AF8</f>
        <v>0</v>
      </c>
      <c r="T8" s="355">
        <f>'Monthly Budget Data'!B8</f>
        <v>0</v>
      </c>
      <c r="U8" s="104">
        <f>'Monthly Budget Data'!C8</f>
        <v>10.198906337633204</v>
      </c>
      <c r="V8" s="104">
        <f>'Monthly Budget Data'!D8</f>
        <v>0</v>
      </c>
      <c r="W8" s="106">
        <f>'Monthly Budget Data'!E8</f>
        <v>12.18110978520286</v>
      </c>
      <c r="Y8" s="104">
        <f>'Monthly Budget Data'!AI8</f>
        <v>1781.68</v>
      </c>
      <c r="Z8" s="104">
        <f>'Monthly Budget Data'!AH8</f>
        <v>468.66666666666669</v>
      </c>
      <c r="AA8" s="104">
        <f>'Monthly Budget Data'!AJ8</f>
        <v>0</v>
      </c>
      <c r="AC8" s="104">
        <f>'Monthly Budget Data'!AM8</f>
        <v>353.33624999999995</v>
      </c>
      <c r="AD8" s="104">
        <f>'Monthly Budget Data'!AL8</f>
        <v>131.44444444444446</v>
      </c>
      <c r="AE8" s="104">
        <f>'Monthly Budget Data'!AN8</f>
        <v>0</v>
      </c>
      <c r="AG8" s="104">
        <f>'Monthly Budget Data'!AQ8</f>
        <v>959.25</v>
      </c>
      <c r="AH8" s="104">
        <f>'Monthly Budget Data'!AP8</f>
        <v>0</v>
      </c>
      <c r="AI8" s="104">
        <f>'Monthly Budget Data'!AR8</f>
        <v>0</v>
      </c>
      <c r="AJ8" s="223"/>
      <c r="AK8" s="104">
        <f>'Monthly Budget Data'!AU8</f>
        <v>4111.0199999999995</v>
      </c>
      <c r="AL8" s="104">
        <f>'Monthly Budget Data'!AT8</f>
        <v>1814.4555555555555</v>
      </c>
      <c r="AM8" s="104">
        <f>'Monthly Budget Data'!AV8</f>
        <v>0</v>
      </c>
      <c r="AO8" s="104">
        <f>'Monthly Budget Data'!AY8</f>
        <v>0</v>
      </c>
      <c r="AP8" s="104">
        <f>'Monthly Budget Data'!AX8</f>
        <v>0</v>
      </c>
      <c r="AQ8" s="104">
        <f>'Monthly Budget Data'!AZ8</f>
        <v>0</v>
      </c>
    </row>
    <row r="9" spans="1:43">
      <c r="A9" s="166">
        <f>'Input Data'!A8</f>
        <v>41825</v>
      </c>
      <c r="B9" s="355">
        <f>'Monthly Budget Data'!G9</f>
        <v>103814.23889564232</v>
      </c>
      <c r="C9" s="105"/>
      <c r="D9" s="104">
        <f>'Monthly Budget Data'!K9</f>
        <v>0</v>
      </c>
      <c r="E9" s="104">
        <f>'Monthly Budget Data'!J9</f>
        <v>28850.333164145421</v>
      </c>
      <c r="F9" s="104">
        <f>'Monthly Budget Data'!L9</f>
        <v>77308.738210588737</v>
      </c>
      <c r="H9" s="355">
        <f>'Monthly Budget Data'!O9</f>
        <v>0</v>
      </c>
      <c r="I9" s="104">
        <f>'Monthly Budget Data'!N9</f>
        <v>29222.900000000005</v>
      </c>
      <c r="J9" s="106">
        <f>'Monthly Budget Data'!P9</f>
        <v>78381.879166666695</v>
      </c>
      <c r="L9" s="355">
        <f>'Monthly Budget Data'!S9</f>
        <v>0</v>
      </c>
      <c r="M9" s="104">
        <f>'Monthly Budget Data'!R9</f>
        <v>49.888888888888886</v>
      </c>
      <c r="N9" s="106">
        <f>'Monthly Budget Data'!T9</f>
        <v>4217.0237500000003</v>
      </c>
      <c r="P9" s="355">
        <f>'Monthly Budget Data'!AE9</f>
        <v>0</v>
      </c>
      <c r="Q9" s="104">
        <f>'Monthly Budget Data'!AD9</f>
        <v>288</v>
      </c>
      <c r="R9" s="106">
        <f>'Monthly Budget Data'!AF9</f>
        <v>576</v>
      </c>
      <c r="T9" s="355">
        <f>'Monthly Budget Data'!B9</f>
        <v>0</v>
      </c>
      <c r="U9" s="104">
        <f>'Monthly Budget Data'!C9</f>
        <v>10.198906337633204</v>
      </c>
      <c r="V9" s="104">
        <f>'Monthly Budget Data'!D9</f>
        <v>0</v>
      </c>
      <c r="W9" s="106">
        <f>'Monthly Budget Data'!E9</f>
        <v>12.230626491646772</v>
      </c>
      <c r="Y9" s="104">
        <f>'Monthly Budget Data'!AI9</f>
        <v>0</v>
      </c>
      <c r="Z9" s="104">
        <f>'Monthly Budget Data'!AH9</f>
        <v>468.66666666666669</v>
      </c>
      <c r="AA9" s="104">
        <f>'Monthly Budget Data'!AJ9</f>
        <v>1781.68</v>
      </c>
      <c r="AC9" s="104">
        <f>'Monthly Budget Data'!AM9</f>
        <v>0</v>
      </c>
      <c r="AD9" s="104">
        <f>'Monthly Budget Data'!AL9</f>
        <v>131.44444444444446</v>
      </c>
      <c r="AE9" s="104">
        <f>'Monthly Budget Data'!AN9</f>
        <v>353.33624999999995</v>
      </c>
      <c r="AG9" s="104">
        <f>'Monthly Budget Data'!AQ9</f>
        <v>0</v>
      </c>
      <c r="AH9" s="104">
        <f>'Monthly Budget Data'!AP9</f>
        <v>0</v>
      </c>
      <c r="AI9" s="104">
        <f>'Monthly Budget Data'!AR9</f>
        <v>959.25</v>
      </c>
      <c r="AJ9" s="223"/>
      <c r="AK9" s="104">
        <f>'Monthly Budget Data'!AU9</f>
        <v>0</v>
      </c>
      <c r="AL9" s="104">
        <f>'Monthly Budget Data'!AT9</f>
        <v>1814.4555555555555</v>
      </c>
      <c r="AM9" s="104">
        <f>'Monthly Budget Data'!AV9</f>
        <v>4111.0199999999995</v>
      </c>
      <c r="AO9" s="104">
        <f>'Monthly Budget Data'!AY9</f>
        <v>0</v>
      </c>
      <c r="AP9" s="104">
        <f>'Monthly Budget Data'!AX9</f>
        <v>0</v>
      </c>
      <c r="AQ9" s="104">
        <f>'Monthly Budget Data'!AZ9</f>
        <v>0</v>
      </c>
    </row>
    <row r="10" spans="1:43">
      <c r="A10" s="166">
        <f>'Input Data'!A9</f>
        <v>41826</v>
      </c>
      <c r="B10" s="355">
        <f>'Monthly Budget Data'!G10</f>
        <v>102019.04404304497</v>
      </c>
      <c r="C10" s="105"/>
      <c r="D10" s="104">
        <f>'Monthly Budget Data'!K10</f>
        <v>0</v>
      </c>
      <c r="E10" s="104">
        <f>'Monthly Budget Data'!J10</f>
        <v>28850.333164145421</v>
      </c>
      <c r="F10" s="104">
        <f>'Monthly Budget Data'!L10</f>
        <v>77308.738210588737</v>
      </c>
      <c r="H10" s="355">
        <f>'Monthly Budget Data'!O10</f>
        <v>0</v>
      </c>
      <c r="I10" s="104">
        <f>'Monthly Budget Data'!N10</f>
        <v>29222.900000000005</v>
      </c>
      <c r="J10" s="106">
        <f>'Monthly Budget Data'!P10</f>
        <v>78381.879166666695</v>
      </c>
      <c r="L10" s="355">
        <f>'Monthly Budget Data'!S10</f>
        <v>0</v>
      </c>
      <c r="M10" s="104">
        <f>'Monthly Budget Data'!R10</f>
        <v>49.888888888888886</v>
      </c>
      <c r="N10" s="106">
        <f>'Monthly Budget Data'!T10</f>
        <v>4217.0237500000003</v>
      </c>
      <c r="P10" s="355">
        <f>'Monthly Budget Data'!AE10</f>
        <v>0</v>
      </c>
      <c r="Q10" s="104">
        <f>'Monthly Budget Data'!AD10</f>
        <v>288</v>
      </c>
      <c r="R10" s="106">
        <f>'Monthly Budget Data'!AF10</f>
        <v>576</v>
      </c>
      <c r="T10" s="355">
        <f>'Monthly Budget Data'!B10</f>
        <v>0</v>
      </c>
      <c r="U10" s="104">
        <f>'Monthly Budget Data'!C10</f>
        <v>10.248415591699384</v>
      </c>
      <c r="V10" s="104">
        <f>'Monthly Budget Data'!D10</f>
        <v>0</v>
      </c>
      <c r="W10" s="106">
        <f>'Monthly Budget Data'!E10</f>
        <v>12.230626491646772</v>
      </c>
      <c r="Y10" s="104">
        <f>'Monthly Budget Data'!AI10</f>
        <v>0</v>
      </c>
      <c r="Z10" s="104">
        <f>'Monthly Budget Data'!AH10</f>
        <v>468.66666666666669</v>
      </c>
      <c r="AA10" s="104">
        <f>'Monthly Budget Data'!AJ10</f>
        <v>1781.68</v>
      </c>
      <c r="AC10" s="104">
        <f>'Monthly Budget Data'!AM10</f>
        <v>0</v>
      </c>
      <c r="AD10" s="104">
        <f>'Monthly Budget Data'!AL10</f>
        <v>131.44444444444446</v>
      </c>
      <c r="AE10" s="104">
        <f>'Monthly Budget Data'!AN10</f>
        <v>353.33624999999995</v>
      </c>
      <c r="AG10" s="104">
        <f>'Monthly Budget Data'!AQ10</f>
        <v>0</v>
      </c>
      <c r="AH10" s="104">
        <f>'Monthly Budget Data'!AP10</f>
        <v>0</v>
      </c>
      <c r="AI10" s="104">
        <f>'Monthly Budget Data'!AR10</f>
        <v>959.25</v>
      </c>
      <c r="AJ10" s="223"/>
      <c r="AK10" s="104">
        <f>'Monthly Budget Data'!AU10</f>
        <v>0</v>
      </c>
      <c r="AL10" s="104">
        <f>'Monthly Budget Data'!AT10</f>
        <v>1814.4555555555555</v>
      </c>
      <c r="AM10" s="104">
        <f>'Monthly Budget Data'!AV10</f>
        <v>4111.0199999999995</v>
      </c>
      <c r="AO10" s="104">
        <f>'Monthly Budget Data'!AY10</f>
        <v>0</v>
      </c>
      <c r="AP10" s="104">
        <f>'Monthly Budget Data'!AX10</f>
        <v>0</v>
      </c>
      <c r="AQ10" s="104">
        <f>'Monthly Budget Data'!AZ10</f>
        <v>0</v>
      </c>
    </row>
    <row r="11" spans="1:43">
      <c r="A11" s="166">
        <f>'Input Data'!A10</f>
        <v>41827</v>
      </c>
      <c r="B11" s="355">
        <f>'Monthly Budget Data'!G11</f>
        <v>113767.12141760746</v>
      </c>
      <c r="C11" s="105"/>
      <c r="D11" s="104">
        <f>'Monthly Budget Data'!K11</f>
        <v>86961.611389323341</v>
      </c>
      <c r="E11" s="104">
        <f>'Monthly Budget Data'!J11</f>
        <v>30646.465133744288</v>
      </c>
      <c r="F11" s="104">
        <f>'Monthly Budget Data'!L11</f>
        <v>0</v>
      </c>
      <c r="H11" s="355">
        <f>'Monthly Budget Data'!O11</f>
        <v>89715.648219697046</v>
      </c>
      <c r="I11" s="104">
        <f>'Monthly Budget Data'!N11</f>
        <v>32500.110909090912</v>
      </c>
      <c r="J11" s="106">
        <f>'Monthly Budget Data'!P11</f>
        <v>0</v>
      </c>
      <c r="L11" s="355">
        <f>'Monthly Budget Data'!S11</f>
        <v>8090.47346590909</v>
      </c>
      <c r="M11" s="104">
        <f>'Monthly Budget Data'!R11</f>
        <v>65.772727272727266</v>
      </c>
      <c r="N11" s="106">
        <f>'Monthly Budget Data'!T11</f>
        <v>0</v>
      </c>
      <c r="P11" s="355">
        <f>'Monthly Budget Data'!AE11</f>
        <v>629.505</v>
      </c>
      <c r="Q11" s="104">
        <f>'Monthly Budget Data'!AD11</f>
        <v>288</v>
      </c>
      <c r="R11" s="106">
        <f>'Monthly Budget Data'!AF11</f>
        <v>0</v>
      </c>
      <c r="T11" s="355">
        <f>'Monthly Budget Data'!B11</f>
        <v>0</v>
      </c>
      <c r="U11" s="104">
        <f>'Monthly Budget Data'!C11</f>
        <v>10.495961862030287</v>
      </c>
      <c r="V11" s="104">
        <f>'Monthly Budget Data'!D11</f>
        <v>0</v>
      </c>
      <c r="W11" s="106">
        <f>'Monthly Budget Data'!E11</f>
        <v>12.329659904534601</v>
      </c>
      <c r="Y11" s="104">
        <f>'Monthly Budget Data'!AI11</f>
        <v>2199.0154545454548</v>
      </c>
      <c r="Z11" s="104">
        <f>'Monthly Budget Data'!AH11</f>
        <v>469.08181818181816</v>
      </c>
      <c r="AA11" s="104">
        <f>'Monthly Budget Data'!AJ11</f>
        <v>0</v>
      </c>
      <c r="AC11" s="104">
        <f>'Monthly Budget Data'!AM11</f>
        <v>458.28562499999987</v>
      </c>
      <c r="AD11" s="104">
        <f>'Monthly Budget Data'!AL11</f>
        <v>21.636363636363637</v>
      </c>
      <c r="AE11" s="104">
        <f>'Monthly Budget Data'!AN11</f>
        <v>0</v>
      </c>
      <c r="AG11" s="104">
        <f>'Monthly Budget Data'!AQ11</f>
        <v>213.03181818181818</v>
      </c>
      <c r="AH11" s="104">
        <f>'Monthly Budget Data'!AP11</f>
        <v>9.545454545454545</v>
      </c>
      <c r="AI11" s="104">
        <f>'Monthly Budget Data'!AR11</f>
        <v>0</v>
      </c>
      <c r="AJ11" s="223"/>
      <c r="AK11" s="104">
        <f>'Monthly Budget Data'!AU11</f>
        <v>4447.186818181819</v>
      </c>
      <c r="AL11" s="104">
        <f>'Monthly Budget Data'!AT11</f>
        <v>2023.1018181818183</v>
      </c>
      <c r="AM11" s="104">
        <f>'Monthly Budget Data'!AV11</f>
        <v>0</v>
      </c>
      <c r="AO11" s="104">
        <f>'Monthly Budget Data'!AY11</f>
        <v>0</v>
      </c>
      <c r="AP11" s="104">
        <f>'Monthly Budget Data'!AX11</f>
        <v>0</v>
      </c>
      <c r="AQ11" s="104">
        <f>'Monthly Budget Data'!AZ11</f>
        <v>0</v>
      </c>
    </row>
    <row r="12" spans="1:43">
      <c r="A12" s="166">
        <f>'Input Data'!A11</f>
        <v>41828</v>
      </c>
      <c r="B12" s="355">
        <f>'Monthly Budget Data'!G12</f>
        <v>116035.98394454161</v>
      </c>
      <c r="C12" s="105"/>
      <c r="D12" s="104">
        <f>'Monthly Budget Data'!K12</f>
        <v>86961.611389323341</v>
      </c>
      <c r="E12" s="104">
        <f>'Monthly Budget Data'!J12</f>
        <v>30646.465133744288</v>
      </c>
      <c r="F12" s="104">
        <f>'Monthly Budget Data'!L12</f>
        <v>0</v>
      </c>
      <c r="H12" s="355">
        <f>'Monthly Budget Data'!O12</f>
        <v>89715.648219697046</v>
      </c>
      <c r="I12" s="104">
        <f>'Monthly Budget Data'!N12</f>
        <v>32500.110909090912</v>
      </c>
      <c r="J12" s="106">
        <f>'Monthly Budget Data'!P12</f>
        <v>0</v>
      </c>
      <c r="L12" s="355">
        <f>'Monthly Budget Data'!S12</f>
        <v>8090.47346590909</v>
      </c>
      <c r="M12" s="104">
        <f>'Monthly Budget Data'!R12</f>
        <v>65.772727272727266</v>
      </c>
      <c r="N12" s="106">
        <f>'Monthly Budget Data'!T12</f>
        <v>0</v>
      </c>
      <c r="P12" s="355">
        <f>'Monthly Budget Data'!AE12</f>
        <v>629.505</v>
      </c>
      <c r="Q12" s="104">
        <f>'Monthly Budget Data'!AD12</f>
        <v>288</v>
      </c>
      <c r="R12" s="106">
        <f>'Monthly Budget Data'!AF12</f>
        <v>0</v>
      </c>
      <c r="T12" s="355">
        <f>'Monthly Budget Data'!B12</f>
        <v>0</v>
      </c>
      <c r="U12" s="104">
        <f>'Monthly Budget Data'!C12</f>
        <v>10.793017386427371</v>
      </c>
      <c r="V12" s="104">
        <f>'Monthly Budget Data'!D12</f>
        <v>0</v>
      </c>
      <c r="W12" s="106">
        <f>'Monthly Budget Data'!E12</f>
        <v>12.428693317422429</v>
      </c>
      <c r="Y12" s="104">
        <f>'Monthly Budget Data'!AI12</f>
        <v>2199.0154545454548</v>
      </c>
      <c r="Z12" s="104">
        <f>'Monthly Budget Data'!AH12</f>
        <v>469.08181818181816</v>
      </c>
      <c r="AA12" s="104">
        <f>'Monthly Budget Data'!AJ12</f>
        <v>0</v>
      </c>
      <c r="AC12" s="104">
        <f>'Monthly Budget Data'!AM12</f>
        <v>458.28562499999987</v>
      </c>
      <c r="AD12" s="104">
        <f>'Monthly Budget Data'!AL12</f>
        <v>21.636363636363637</v>
      </c>
      <c r="AE12" s="104">
        <f>'Monthly Budget Data'!AN12</f>
        <v>0</v>
      </c>
      <c r="AG12" s="104">
        <f>'Monthly Budget Data'!AQ12</f>
        <v>213.03181818181818</v>
      </c>
      <c r="AH12" s="104">
        <f>'Monthly Budget Data'!AP12</f>
        <v>9.545454545454545</v>
      </c>
      <c r="AI12" s="104">
        <f>'Monthly Budget Data'!AR12</f>
        <v>0</v>
      </c>
      <c r="AJ12" s="223"/>
      <c r="AK12" s="104">
        <f>'Monthly Budget Data'!AU12</f>
        <v>4447.186818181819</v>
      </c>
      <c r="AL12" s="104">
        <f>'Monthly Budget Data'!AT12</f>
        <v>2023.1018181818183</v>
      </c>
      <c r="AM12" s="104">
        <f>'Monthly Budget Data'!AV12</f>
        <v>0</v>
      </c>
      <c r="AO12" s="104">
        <f>'Monthly Budget Data'!AY12</f>
        <v>0</v>
      </c>
      <c r="AP12" s="104">
        <f>'Monthly Budget Data'!AX12</f>
        <v>0</v>
      </c>
      <c r="AQ12" s="104">
        <f>'Monthly Budget Data'!AZ12</f>
        <v>0</v>
      </c>
    </row>
    <row r="13" spans="1:43">
      <c r="A13" s="166">
        <f>'Input Data'!A12</f>
        <v>41829</v>
      </c>
      <c r="B13" s="355">
        <f>'Monthly Budget Data'!G13</f>
        <v>116375.8272292154</v>
      </c>
      <c r="C13" s="105"/>
      <c r="D13" s="104">
        <f>'Monthly Budget Data'!K13</f>
        <v>86961.611389323341</v>
      </c>
      <c r="E13" s="104">
        <f>'Monthly Budget Data'!J13</f>
        <v>30646.465133744288</v>
      </c>
      <c r="F13" s="104">
        <f>'Monthly Budget Data'!L13</f>
        <v>0</v>
      </c>
      <c r="H13" s="355">
        <f>'Monthly Budget Data'!O13</f>
        <v>89715.648219697046</v>
      </c>
      <c r="I13" s="104">
        <f>'Monthly Budget Data'!N13</f>
        <v>32500.110909090912</v>
      </c>
      <c r="J13" s="106">
        <f>'Monthly Budget Data'!P13</f>
        <v>0</v>
      </c>
      <c r="L13" s="355">
        <f>'Monthly Budget Data'!S13</f>
        <v>8090.47346590909</v>
      </c>
      <c r="M13" s="104">
        <f>'Monthly Budget Data'!R13</f>
        <v>65.772727272727266</v>
      </c>
      <c r="N13" s="106">
        <f>'Monthly Budget Data'!T13</f>
        <v>0</v>
      </c>
      <c r="P13" s="355">
        <f>'Monthly Budget Data'!AE13</f>
        <v>629.505</v>
      </c>
      <c r="Q13" s="104">
        <f>'Monthly Budget Data'!AD13</f>
        <v>288</v>
      </c>
      <c r="R13" s="106">
        <f>'Monthly Budget Data'!AF13</f>
        <v>0</v>
      </c>
      <c r="T13" s="355">
        <f>'Monthly Budget Data'!B13</f>
        <v>0</v>
      </c>
      <c r="U13" s="104">
        <f>'Monthly Budget Data'!C13</f>
        <v>10.991054402692093</v>
      </c>
      <c r="V13" s="104">
        <f>'Monthly Budget Data'!D13</f>
        <v>0</v>
      </c>
      <c r="W13" s="106">
        <f>'Monthly Budget Data'!E13</f>
        <v>12.478210023866342</v>
      </c>
      <c r="Y13" s="104">
        <f>'Monthly Budget Data'!AI13</f>
        <v>2199.0154545454548</v>
      </c>
      <c r="Z13" s="104">
        <f>'Monthly Budget Data'!AH13</f>
        <v>469.08181818181816</v>
      </c>
      <c r="AA13" s="104">
        <f>'Monthly Budget Data'!AJ13</f>
        <v>0</v>
      </c>
      <c r="AC13" s="104">
        <f>'Monthly Budget Data'!AM13</f>
        <v>458.28562499999987</v>
      </c>
      <c r="AD13" s="104">
        <f>'Monthly Budget Data'!AL13</f>
        <v>21.636363636363637</v>
      </c>
      <c r="AE13" s="104">
        <f>'Monthly Budget Data'!AN13</f>
        <v>0</v>
      </c>
      <c r="AG13" s="104">
        <f>'Monthly Budget Data'!AQ13</f>
        <v>213.03181818181818</v>
      </c>
      <c r="AH13" s="104">
        <f>'Monthly Budget Data'!AP13</f>
        <v>9.545454545454545</v>
      </c>
      <c r="AI13" s="104">
        <f>'Monthly Budget Data'!AR13</f>
        <v>0</v>
      </c>
      <c r="AJ13" s="223"/>
      <c r="AK13" s="104">
        <f>'Monthly Budget Data'!AU13</f>
        <v>4447.186818181819</v>
      </c>
      <c r="AL13" s="104">
        <f>'Monthly Budget Data'!AT13</f>
        <v>2023.1018181818183</v>
      </c>
      <c r="AM13" s="104">
        <f>'Monthly Budget Data'!AV13</f>
        <v>0</v>
      </c>
      <c r="AO13" s="104">
        <f>'Monthly Budget Data'!AY13</f>
        <v>0</v>
      </c>
      <c r="AP13" s="104">
        <f>'Monthly Budget Data'!AX13</f>
        <v>0</v>
      </c>
      <c r="AQ13" s="104">
        <f>'Monthly Budget Data'!AZ13</f>
        <v>0</v>
      </c>
    </row>
    <row r="14" spans="1:43">
      <c r="A14" s="166">
        <f>'Input Data'!A13</f>
        <v>41830</v>
      </c>
      <c r="B14" s="355">
        <f>'Monthly Budget Data'!G14</f>
        <v>116730.39442101687</v>
      </c>
      <c r="C14" s="105"/>
      <c r="D14" s="104">
        <f>'Monthly Budget Data'!K14</f>
        <v>86961.611389323341</v>
      </c>
      <c r="E14" s="104">
        <f>'Monthly Budget Data'!J14</f>
        <v>30646.465133744288</v>
      </c>
      <c r="F14" s="104">
        <f>'Monthly Budget Data'!L14</f>
        <v>0</v>
      </c>
      <c r="H14" s="355">
        <f>'Monthly Budget Data'!O14</f>
        <v>89715.648219697046</v>
      </c>
      <c r="I14" s="104">
        <f>'Monthly Budget Data'!N14</f>
        <v>32500.110909090912</v>
      </c>
      <c r="J14" s="106">
        <f>'Monthly Budget Data'!P14</f>
        <v>0</v>
      </c>
      <c r="L14" s="355">
        <f>'Monthly Budget Data'!S14</f>
        <v>8090.47346590909</v>
      </c>
      <c r="M14" s="104">
        <f>'Monthly Budget Data'!R14</f>
        <v>65.772727272727266</v>
      </c>
      <c r="N14" s="106">
        <f>'Monthly Budget Data'!T14</f>
        <v>0</v>
      </c>
      <c r="P14" s="355">
        <f>'Monthly Budget Data'!AE14</f>
        <v>629.505</v>
      </c>
      <c r="Q14" s="104">
        <f>'Monthly Budget Data'!AD14</f>
        <v>288</v>
      </c>
      <c r="R14" s="106">
        <f>'Monthly Budget Data'!AF14</f>
        <v>0</v>
      </c>
      <c r="T14" s="355">
        <f>'Monthly Budget Data'!B14</f>
        <v>0</v>
      </c>
      <c r="U14" s="104">
        <f>'Monthly Budget Data'!C14</f>
        <v>11.040563656758273</v>
      </c>
      <c r="V14" s="104">
        <f>'Monthly Budget Data'!D14</f>
        <v>0</v>
      </c>
      <c r="W14" s="106">
        <f>'Monthly Budget Data'!E14</f>
        <v>12.725793556085913</v>
      </c>
      <c r="Y14" s="104">
        <f>'Monthly Budget Data'!AI14</f>
        <v>2199.0154545454548</v>
      </c>
      <c r="Z14" s="104">
        <f>'Monthly Budget Data'!AH14</f>
        <v>469.08181818181816</v>
      </c>
      <c r="AA14" s="104">
        <f>'Monthly Budget Data'!AJ14</f>
        <v>0</v>
      </c>
      <c r="AC14" s="104">
        <f>'Monthly Budget Data'!AM14</f>
        <v>458.28562499999987</v>
      </c>
      <c r="AD14" s="104">
        <f>'Monthly Budget Data'!AL14</f>
        <v>21.636363636363637</v>
      </c>
      <c r="AE14" s="104">
        <f>'Monthly Budget Data'!AN14</f>
        <v>0</v>
      </c>
      <c r="AG14" s="104">
        <f>'Monthly Budget Data'!AQ14</f>
        <v>213.03181818181818</v>
      </c>
      <c r="AH14" s="104">
        <f>'Monthly Budget Data'!AP14</f>
        <v>9.545454545454545</v>
      </c>
      <c r="AI14" s="104">
        <f>'Monthly Budget Data'!AR14</f>
        <v>0</v>
      </c>
      <c r="AJ14" s="223"/>
      <c r="AK14" s="104">
        <f>'Monthly Budget Data'!AU14</f>
        <v>4447.186818181819</v>
      </c>
      <c r="AL14" s="104">
        <f>'Monthly Budget Data'!AT14</f>
        <v>2023.1018181818183</v>
      </c>
      <c r="AM14" s="104">
        <f>'Monthly Budget Data'!AV14</f>
        <v>0</v>
      </c>
      <c r="AO14" s="104">
        <f>'Monthly Budget Data'!AY14</f>
        <v>0</v>
      </c>
      <c r="AP14" s="104">
        <f>'Monthly Budget Data'!AX14</f>
        <v>0</v>
      </c>
      <c r="AQ14" s="104">
        <f>'Monthly Budget Data'!AZ14</f>
        <v>0</v>
      </c>
    </row>
    <row r="15" spans="1:43">
      <c r="A15" s="166">
        <f>'Input Data'!A14</f>
        <v>41831</v>
      </c>
      <c r="B15" s="355">
        <f>'Monthly Budget Data'!G15</f>
        <v>114858.04297679216</v>
      </c>
      <c r="C15" s="105"/>
      <c r="D15" s="104">
        <f>'Monthly Budget Data'!K15</f>
        <v>86961.611389323341</v>
      </c>
      <c r="E15" s="104">
        <f>'Monthly Budget Data'!J15</f>
        <v>30646.465133744288</v>
      </c>
      <c r="F15" s="104">
        <f>'Monthly Budget Data'!L15</f>
        <v>0</v>
      </c>
      <c r="H15" s="355">
        <f>'Monthly Budget Data'!O15</f>
        <v>89715.648219697046</v>
      </c>
      <c r="I15" s="104">
        <f>'Monthly Budget Data'!N15</f>
        <v>32500.110909090912</v>
      </c>
      <c r="J15" s="106">
        <f>'Monthly Budget Data'!P15</f>
        <v>0</v>
      </c>
      <c r="L15" s="355">
        <f>'Monthly Budget Data'!S15</f>
        <v>8090.47346590909</v>
      </c>
      <c r="M15" s="104">
        <f>'Monthly Budget Data'!R15</f>
        <v>65.772727272727266</v>
      </c>
      <c r="N15" s="106">
        <f>'Monthly Budget Data'!T15</f>
        <v>0</v>
      </c>
      <c r="P15" s="355">
        <f>'Monthly Budget Data'!AE15</f>
        <v>629.505</v>
      </c>
      <c r="Q15" s="104">
        <f>'Monthly Budget Data'!AD15</f>
        <v>288</v>
      </c>
      <c r="R15" s="106">
        <f>'Monthly Budget Data'!AF15</f>
        <v>0</v>
      </c>
      <c r="T15" s="355">
        <f>'Monthly Budget Data'!B15</f>
        <v>0</v>
      </c>
      <c r="U15" s="104">
        <f>'Monthly Budget Data'!C15</f>
        <v>11.139582164890637</v>
      </c>
      <c r="V15" s="104">
        <f>'Monthly Budget Data'!D15</f>
        <v>0</v>
      </c>
      <c r="W15" s="106">
        <f>'Monthly Budget Data'!E15</f>
        <v>12.775310262529828</v>
      </c>
      <c r="Y15" s="104">
        <f>'Monthly Budget Data'!AI15</f>
        <v>2199.0154545454548</v>
      </c>
      <c r="Z15" s="104">
        <f>'Monthly Budget Data'!AH15</f>
        <v>469.08181818181816</v>
      </c>
      <c r="AA15" s="104">
        <f>'Monthly Budget Data'!AJ15</f>
        <v>0</v>
      </c>
      <c r="AC15" s="104">
        <f>'Monthly Budget Data'!AM15</f>
        <v>458.28562499999987</v>
      </c>
      <c r="AD15" s="104">
        <f>'Monthly Budget Data'!AL15</f>
        <v>21.636363636363637</v>
      </c>
      <c r="AE15" s="104">
        <f>'Monthly Budget Data'!AN15</f>
        <v>0</v>
      </c>
      <c r="AG15" s="104">
        <f>'Monthly Budget Data'!AQ15</f>
        <v>213.03181818181818</v>
      </c>
      <c r="AH15" s="104">
        <f>'Monthly Budget Data'!AP15</f>
        <v>9.545454545454545</v>
      </c>
      <c r="AI15" s="104">
        <f>'Monthly Budget Data'!AR15</f>
        <v>0</v>
      </c>
      <c r="AJ15" s="223"/>
      <c r="AK15" s="104">
        <f>'Monthly Budget Data'!AU15</f>
        <v>4447.186818181819</v>
      </c>
      <c r="AL15" s="104">
        <f>'Monthly Budget Data'!AT15</f>
        <v>2023.1018181818183</v>
      </c>
      <c r="AM15" s="104">
        <f>'Monthly Budget Data'!AV15</f>
        <v>0</v>
      </c>
      <c r="AO15" s="104">
        <f>'Monthly Budget Data'!AY15</f>
        <v>0</v>
      </c>
      <c r="AP15" s="104">
        <f>'Monthly Budget Data'!AX15</f>
        <v>0</v>
      </c>
      <c r="AQ15" s="104">
        <f>'Monthly Budget Data'!AZ15</f>
        <v>0</v>
      </c>
    </row>
    <row r="16" spans="1:43">
      <c r="A16" s="166">
        <f>'Input Data'!A15</f>
        <v>41832</v>
      </c>
      <c r="B16" s="355">
        <f>'Monthly Budget Data'!G16</f>
        <v>106424.90148143264</v>
      </c>
      <c r="C16" s="105"/>
      <c r="D16" s="104">
        <f>'Monthly Budget Data'!K16</f>
        <v>0</v>
      </c>
      <c r="E16" s="104">
        <f>'Monthly Budget Data'!J16</f>
        <v>28850.333164145421</v>
      </c>
      <c r="F16" s="104">
        <f>'Monthly Budget Data'!L16</f>
        <v>77308.738210588737</v>
      </c>
      <c r="H16" s="355">
        <f>'Monthly Budget Data'!O16</f>
        <v>0</v>
      </c>
      <c r="I16" s="104">
        <f>'Monthly Budget Data'!N16</f>
        <v>29222.900000000005</v>
      </c>
      <c r="J16" s="106">
        <f>'Monthly Budget Data'!P16</f>
        <v>78381.879166666695</v>
      </c>
      <c r="L16" s="355">
        <f>'Monthly Budget Data'!S16</f>
        <v>0</v>
      </c>
      <c r="M16" s="104">
        <f>'Monthly Budget Data'!R16</f>
        <v>49.888888888888886</v>
      </c>
      <c r="N16" s="106">
        <f>'Monthly Budget Data'!T16</f>
        <v>4217.0237500000003</v>
      </c>
      <c r="P16" s="355">
        <f>'Monthly Budget Data'!AE16</f>
        <v>0</v>
      </c>
      <c r="Q16" s="104">
        <f>'Monthly Budget Data'!AD16</f>
        <v>288</v>
      </c>
      <c r="R16" s="106">
        <f>'Monthly Budget Data'!AF16</f>
        <v>576</v>
      </c>
      <c r="T16" s="355">
        <f>'Monthly Budget Data'!B16</f>
        <v>0</v>
      </c>
      <c r="U16" s="104">
        <f>'Monthly Budget Data'!C16</f>
        <v>11.139582164890637</v>
      </c>
      <c r="V16" s="104">
        <f>'Monthly Budget Data'!D16</f>
        <v>0</v>
      </c>
      <c r="W16" s="106">
        <f>'Monthly Budget Data'!E16</f>
        <v>13.518060859188537</v>
      </c>
      <c r="Y16" s="104">
        <f>'Monthly Budget Data'!AI16</f>
        <v>0</v>
      </c>
      <c r="Z16" s="104">
        <f>'Monthly Budget Data'!AH16</f>
        <v>468.66666666666669</v>
      </c>
      <c r="AA16" s="104">
        <f>'Monthly Budget Data'!AJ16</f>
        <v>1781.68</v>
      </c>
      <c r="AC16" s="104">
        <f>'Monthly Budget Data'!AM16</f>
        <v>0</v>
      </c>
      <c r="AD16" s="104">
        <f>'Monthly Budget Data'!AL16</f>
        <v>131.44444444444446</v>
      </c>
      <c r="AE16" s="104">
        <f>'Monthly Budget Data'!AN16</f>
        <v>353.33624999999995</v>
      </c>
      <c r="AG16" s="104">
        <f>'Monthly Budget Data'!AQ16</f>
        <v>0</v>
      </c>
      <c r="AH16" s="104">
        <f>'Monthly Budget Data'!AP16</f>
        <v>0</v>
      </c>
      <c r="AI16" s="104">
        <f>'Monthly Budget Data'!AR16</f>
        <v>959.25</v>
      </c>
      <c r="AJ16" s="223"/>
      <c r="AK16" s="104">
        <f>'Monthly Budget Data'!AU16</f>
        <v>0</v>
      </c>
      <c r="AL16" s="104">
        <f>'Monthly Budget Data'!AT16</f>
        <v>1814.4555555555555</v>
      </c>
      <c r="AM16" s="104">
        <f>'Monthly Budget Data'!AV16</f>
        <v>4111.0199999999995</v>
      </c>
      <c r="AO16" s="104">
        <f>'Monthly Budget Data'!AY16</f>
        <v>0</v>
      </c>
      <c r="AP16" s="104">
        <f>'Monthly Budget Data'!AX16</f>
        <v>0</v>
      </c>
      <c r="AQ16" s="104">
        <f>'Monthly Budget Data'!AZ16</f>
        <v>0</v>
      </c>
    </row>
    <row r="17" spans="1:43">
      <c r="A17" s="166">
        <f>'Input Data'!A16</f>
        <v>41833</v>
      </c>
      <c r="B17" s="355">
        <f>'Monthly Budget Data'!G17</f>
        <v>105011.32798570598</v>
      </c>
      <c r="C17" s="105"/>
      <c r="D17" s="104">
        <f>'Monthly Budget Data'!K17</f>
        <v>0</v>
      </c>
      <c r="E17" s="104">
        <f>'Monthly Budget Data'!J17</f>
        <v>28850.333164145421</v>
      </c>
      <c r="F17" s="104">
        <f>'Monthly Budget Data'!L17</f>
        <v>77308.738210588737</v>
      </c>
      <c r="H17" s="355">
        <f>'Monthly Budget Data'!O17</f>
        <v>0</v>
      </c>
      <c r="I17" s="104">
        <f>'Monthly Budget Data'!N17</f>
        <v>29222.900000000005</v>
      </c>
      <c r="J17" s="106">
        <f>'Monthly Budget Data'!P17</f>
        <v>78381.879166666695</v>
      </c>
      <c r="L17" s="355">
        <f>'Monthly Budget Data'!S17</f>
        <v>0</v>
      </c>
      <c r="M17" s="104">
        <f>'Monthly Budget Data'!R17</f>
        <v>49.888888888888886</v>
      </c>
      <c r="N17" s="106">
        <f>'Monthly Budget Data'!T17</f>
        <v>4217.0237500000003</v>
      </c>
      <c r="P17" s="355">
        <f>'Monthly Budget Data'!AE17</f>
        <v>0</v>
      </c>
      <c r="Q17" s="104">
        <f>'Monthly Budget Data'!AD17</f>
        <v>288</v>
      </c>
      <c r="R17" s="106">
        <f>'Monthly Budget Data'!AF17</f>
        <v>576</v>
      </c>
      <c r="T17" s="355">
        <f>'Monthly Budget Data'!B17</f>
        <v>0</v>
      </c>
      <c r="U17" s="104">
        <f>'Monthly Budget Data'!C17</f>
        <v>11.4861469433539</v>
      </c>
      <c r="V17" s="104">
        <f>'Monthly Budget Data'!D17</f>
        <v>0</v>
      </c>
      <c r="W17" s="106">
        <f>'Monthly Budget Data'!E17</f>
        <v>13.666610978520282</v>
      </c>
      <c r="Y17" s="104">
        <f>'Monthly Budget Data'!AI17</f>
        <v>0</v>
      </c>
      <c r="Z17" s="104">
        <f>'Monthly Budget Data'!AH17</f>
        <v>468.66666666666669</v>
      </c>
      <c r="AA17" s="104">
        <f>'Monthly Budget Data'!AJ17</f>
        <v>1781.68</v>
      </c>
      <c r="AC17" s="104">
        <f>'Monthly Budget Data'!AM17</f>
        <v>0</v>
      </c>
      <c r="AD17" s="104">
        <f>'Monthly Budget Data'!AL17</f>
        <v>131.44444444444446</v>
      </c>
      <c r="AE17" s="104">
        <f>'Monthly Budget Data'!AN17</f>
        <v>353.33624999999995</v>
      </c>
      <c r="AG17" s="104">
        <f>'Monthly Budget Data'!AQ17</f>
        <v>0</v>
      </c>
      <c r="AH17" s="104">
        <f>'Monthly Budget Data'!AP17</f>
        <v>0</v>
      </c>
      <c r="AI17" s="104">
        <f>'Monthly Budget Data'!AR17</f>
        <v>959.25</v>
      </c>
      <c r="AJ17" s="223"/>
      <c r="AK17" s="104">
        <f>'Monthly Budget Data'!AU17</f>
        <v>0</v>
      </c>
      <c r="AL17" s="104">
        <f>'Monthly Budget Data'!AT17</f>
        <v>1814.4555555555555</v>
      </c>
      <c r="AM17" s="104">
        <f>'Monthly Budget Data'!AV17</f>
        <v>4111.0199999999995</v>
      </c>
      <c r="AO17" s="104">
        <f>'Monthly Budget Data'!AY17</f>
        <v>0</v>
      </c>
      <c r="AP17" s="104">
        <f>'Monthly Budget Data'!AX17</f>
        <v>0</v>
      </c>
      <c r="AQ17" s="104">
        <f>'Monthly Budget Data'!AZ17</f>
        <v>0</v>
      </c>
    </row>
    <row r="18" spans="1:43">
      <c r="A18" s="166">
        <f>'Input Data'!A17</f>
        <v>41834</v>
      </c>
      <c r="B18" s="355">
        <f>'Monthly Budget Data'!G18</f>
        <v>116619.94488525062</v>
      </c>
      <c r="C18" s="105"/>
      <c r="D18" s="104">
        <f>'Monthly Budget Data'!K18</f>
        <v>86961.611389323341</v>
      </c>
      <c r="E18" s="104">
        <f>'Monthly Budget Data'!J18</f>
        <v>30646.465133744288</v>
      </c>
      <c r="F18" s="104">
        <f>'Monthly Budget Data'!L18</f>
        <v>0</v>
      </c>
      <c r="H18" s="355">
        <f>'Monthly Budget Data'!O18</f>
        <v>89715.648219697046</v>
      </c>
      <c r="I18" s="104">
        <f>'Monthly Budget Data'!N18</f>
        <v>32500.110909090912</v>
      </c>
      <c r="J18" s="106">
        <f>'Monthly Budget Data'!P18</f>
        <v>0</v>
      </c>
      <c r="L18" s="355">
        <f>'Monthly Budget Data'!S18</f>
        <v>8090.47346590909</v>
      </c>
      <c r="M18" s="104">
        <f>'Monthly Budget Data'!R18</f>
        <v>65.772727272727266</v>
      </c>
      <c r="N18" s="106">
        <f>'Monthly Budget Data'!T18</f>
        <v>0</v>
      </c>
      <c r="P18" s="355">
        <f>'Monthly Budget Data'!AE18</f>
        <v>629.505</v>
      </c>
      <c r="Q18" s="104">
        <f>'Monthly Budget Data'!AD18</f>
        <v>288</v>
      </c>
      <c r="R18" s="106">
        <f>'Monthly Budget Data'!AF18</f>
        <v>0</v>
      </c>
      <c r="T18" s="355">
        <f>'Monthly Budget Data'!B18</f>
        <v>0</v>
      </c>
      <c r="U18" s="104">
        <f>'Monthly Budget Data'!C18</f>
        <v>11.733693213684804</v>
      </c>
      <c r="V18" s="104">
        <f>'Monthly Budget Data'!D18</f>
        <v>0</v>
      </c>
      <c r="W18" s="106">
        <f>'Monthly Budget Data'!E18</f>
        <v>13.666610978520282</v>
      </c>
      <c r="Y18" s="104">
        <f>'Monthly Budget Data'!AI18</f>
        <v>2199.0154545454548</v>
      </c>
      <c r="Z18" s="104">
        <f>'Monthly Budget Data'!AH18</f>
        <v>469.08181818181816</v>
      </c>
      <c r="AA18" s="104">
        <f>'Monthly Budget Data'!AJ18</f>
        <v>0</v>
      </c>
      <c r="AC18" s="104">
        <f>'Monthly Budget Data'!AM18</f>
        <v>458.28562499999987</v>
      </c>
      <c r="AD18" s="104">
        <f>'Monthly Budget Data'!AL18</f>
        <v>21.636363636363637</v>
      </c>
      <c r="AE18" s="104">
        <f>'Monthly Budget Data'!AN18</f>
        <v>0</v>
      </c>
      <c r="AG18" s="104">
        <f>'Monthly Budget Data'!AQ18</f>
        <v>213.03181818181818</v>
      </c>
      <c r="AH18" s="104">
        <f>'Monthly Budget Data'!AP18</f>
        <v>9.545454545454545</v>
      </c>
      <c r="AI18" s="104">
        <f>'Monthly Budget Data'!AR18</f>
        <v>0</v>
      </c>
      <c r="AJ18" s="223"/>
      <c r="AK18" s="104">
        <f>'Monthly Budget Data'!AU18</f>
        <v>4447.186818181819</v>
      </c>
      <c r="AL18" s="104">
        <f>'Monthly Budget Data'!AT18</f>
        <v>2023.1018181818183</v>
      </c>
      <c r="AM18" s="104">
        <f>'Monthly Budget Data'!AV18</f>
        <v>0</v>
      </c>
      <c r="AO18" s="104">
        <f>'Monthly Budget Data'!AY18</f>
        <v>0</v>
      </c>
      <c r="AP18" s="104">
        <f>'Monthly Budget Data'!AX18</f>
        <v>0</v>
      </c>
      <c r="AQ18" s="104">
        <f>'Monthly Budget Data'!AZ18</f>
        <v>0</v>
      </c>
    </row>
    <row r="19" spans="1:43">
      <c r="A19" s="166">
        <f>'Input Data'!A18</f>
        <v>41835</v>
      </c>
      <c r="B19" s="355">
        <f>'Monthly Budget Data'!G19</f>
        <v>118550.52187426221</v>
      </c>
      <c r="C19" s="105"/>
      <c r="D19" s="104">
        <f>'Monthly Budget Data'!K19</f>
        <v>86961.611389323341</v>
      </c>
      <c r="E19" s="104">
        <f>'Monthly Budget Data'!J19</f>
        <v>30646.465133744288</v>
      </c>
      <c r="F19" s="104">
        <f>'Monthly Budget Data'!L19</f>
        <v>0</v>
      </c>
      <c r="H19" s="355">
        <f>'Monthly Budget Data'!O19</f>
        <v>89715.648219697046</v>
      </c>
      <c r="I19" s="104">
        <f>'Monthly Budget Data'!N19</f>
        <v>32500.110909090912</v>
      </c>
      <c r="J19" s="106">
        <f>'Monthly Budget Data'!P19</f>
        <v>0</v>
      </c>
      <c r="L19" s="355">
        <f>'Monthly Budget Data'!S19</f>
        <v>8090.47346590909</v>
      </c>
      <c r="M19" s="104">
        <f>'Monthly Budget Data'!R19</f>
        <v>65.772727272727266</v>
      </c>
      <c r="N19" s="106">
        <f>'Monthly Budget Data'!T19</f>
        <v>0</v>
      </c>
      <c r="P19" s="355">
        <f>'Monthly Budget Data'!AE19</f>
        <v>629.505</v>
      </c>
      <c r="Q19" s="104">
        <f>'Monthly Budget Data'!AD19</f>
        <v>288</v>
      </c>
      <c r="R19" s="106">
        <f>'Monthly Budget Data'!AF19</f>
        <v>0</v>
      </c>
      <c r="T19" s="355">
        <f>'Monthly Budget Data'!B19</f>
        <v>0</v>
      </c>
      <c r="U19" s="104">
        <f>'Monthly Budget Data'!C19</f>
        <v>11.882220975883344</v>
      </c>
      <c r="V19" s="104">
        <f>'Monthly Budget Data'!D19</f>
        <v>0</v>
      </c>
      <c r="W19" s="106">
        <f>'Monthly Budget Data'!E19</f>
        <v>13.765644391408108</v>
      </c>
      <c r="Y19" s="104">
        <f>'Monthly Budget Data'!AI19</f>
        <v>2199.0154545454548</v>
      </c>
      <c r="Z19" s="104">
        <f>'Monthly Budget Data'!AH19</f>
        <v>469.08181818181816</v>
      </c>
      <c r="AA19" s="104">
        <f>'Monthly Budget Data'!AJ19</f>
        <v>0</v>
      </c>
      <c r="AC19" s="104">
        <f>'Monthly Budget Data'!AM19</f>
        <v>458.28562499999987</v>
      </c>
      <c r="AD19" s="104">
        <f>'Monthly Budget Data'!AL19</f>
        <v>21.636363636363637</v>
      </c>
      <c r="AE19" s="104">
        <f>'Monthly Budget Data'!AN19</f>
        <v>0</v>
      </c>
      <c r="AG19" s="104">
        <f>'Monthly Budget Data'!AQ19</f>
        <v>213.03181818181818</v>
      </c>
      <c r="AH19" s="104">
        <f>'Monthly Budget Data'!AP19</f>
        <v>9.545454545454545</v>
      </c>
      <c r="AI19" s="104">
        <f>'Monthly Budget Data'!AR19</f>
        <v>0</v>
      </c>
      <c r="AJ19" s="223"/>
      <c r="AK19" s="104">
        <f>'Monthly Budget Data'!AU19</f>
        <v>4447.186818181819</v>
      </c>
      <c r="AL19" s="104">
        <f>'Monthly Budget Data'!AT19</f>
        <v>2023.1018181818183</v>
      </c>
      <c r="AM19" s="104">
        <f>'Monthly Budget Data'!AV19</f>
        <v>0</v>
      </c>
      <c r="AO19" s="104">
        <f>'Monthly Budget Data'!AY19</f>
        <v>0</v>
      </c>
      <c r="AP19" s="104">
        <f>'Monthly Budget Data'!AX19</f>
        <v>0</v>
      </c>
      <c r="AQ19" s="104">
        <f>'Monthly Budget Data'!AZ19</f>
        <v>0</v>
      </c>
    </row>
    <row r="20" spans="1:43">
      <c r="A20" s="166">
        <f>'Input Data'!A19</f>
        <v>41836</v>
      </c>
      <c r="B20" s="355">
        <f>'Monthly Budget Data'!G20</f>
        <v>118584.234120995</v>
      </c>
      <c r="C20" s="105"/>
      <c r="D20" s="104">
        <f>'Monthly Budget Data'!K20</f>
        <v>86961.611389323341</v>
      </c>
      <c r="E20" s="104">
        <f>'Monthly Budget Data'!J20</f>
        <v>30646.465133744288</v>
      </c>
      <c r="F20" s="104">
        <f>'Monthly Budget Data'!L20</f>
        <v>0</v>
      </c>
      <c r="H20" s="355">
        <f>'Monthly Budget Data'!O20</f>
        <v>89715.648219697046</v>
      </c>
      <c r="I20" s="104">
        <f>'Monthly Budget Data'!N20</f>
        <v>32500.110909090912</v>
      </c>
      <c r="J20" s="106">
        <f>'Monthly Budget Data'!P20</f>
        <v>0</v>
      </c>
      <c r="L20" s="355">
        <f>'Monthly Budget Data'!S20</f>
        <v>8090.47346590909</v>
      </c>
      <c r="M20" s="104">
        <f>'Monthly Budget Data'!R20</f>
        <v>65.772727272727266</v>
      </c>
      <c r="N20" s="106">
        <f>'Monthly Budget Data'!T20</f>
        <v>0</v>
      </c>
      <c r="P20" s="355">
        <f>'Monthly Budget Data'!AE20</f>
        <v>629.505</v>
      </c>
      <c r="Q20" s="104">
        <f>'Monthly Budget Data'!AD20</f>
        <v>288</v>
      </c>
      <c r="R20" s="106">
        <f>'Monthly Budget Data'!AF20</f>
        <v>0</v>
      </c>
      <c r="T20" s="355">
        <f>'Monthly Budget Data'!B20</f>
        <v>0</v>
      </c>
      <c r="U20" s="104">
        <f>'Monthly Budget Data'!C20</f>
        <v>11.931730229949526</v>
      </c>
      <c r="V20" s="104">
        <f>'Monthly Budget Data'!D20</f>
        <v>0</v>
      </c>
      <c r="W20" s="106">
        <f>'Monthly Budget Data'!E20</f>
        <v>14.161778042959423</v>
      </c>
      <c r="Y20" s="104">
        <f>'Monthly Budget Data'!AI20</f>
        <v>2199.0154545454548</v>
      </c>
      <c r="Z20" s="104">
        <f>'Monthly Budget Data'!AH20</f>
        <v>469.08181818181816</v>
      </c>
      <c r="AA20" s="104">
        <f>'Monthly Budget Data'!AJ20</f>
        <v>0</v>
      </c>
      <c r="AC20" s="104">
        <f>'Monthly Budget Data'!AM20</f>
        <v>458.28562499999987</v>
      </c>
      <c r="AD20" s="104">
        <f>'Monthly Budget Data'!AL20</f>
        <v>21.636363636363637</v>
      </c>
      <c r="AE20" s="104">
        <f>'Monthly Budget Data'!AN20</f>
        <v>0</v>
      </c>
      <c r="AG20" s="104">
        <f>'Monthly Budget Data'!AQ20</f>
        <v>213.03181818181818</v>
      </c>
      <c r="AH20" s="104">
        <f>'Monthly Budget Data'!AP20</f>
        <v>9.545454545454545</v>
      </c>
      <c r="AI20" s="104">
        <f>'Monthly Budget Data'!AR20</f>
        <v>0</v>
      </c>
      <c r="AJ20" s="223"/>
      <c r="AK20" s="104">
        <f>'Monthly Budget Data'!AU20</f>
        <v>4447.186818181819</v>
      </c>
      <c r="AL20" s="104">
        <f>'Monthly Budget Data'!AT20</f>
        <v>2023.1018181818183</v>
      </c>
      <c r="AM20" s="104">
        <f>'Monthly Budget Data'!AV20</f>
        <v>0</v>
      </c>
      <c r="AO20" s="104">
        <f>'Monthly Budget Data'!AY20</f>
        <v>0</v>
      </c>
      <c r="AP20" s="104">
        <f>'Monthly Budget Data'!AX20</f>
        <v>0</v>
      </c>
      <c r="AQ20" s="104">
        <f>'Monthly Budget Data'!AZ20</f>
        <v>0</v>
      </c>
    </row>
    <row r="21" spans="1:43">
      <c r="A21" s="166">
        <f>'Input Data'!A20</f>
        <v>41837</v>
      </c>
      <c r="B21" s="355">
        <f>'Monthly Budget Data'!G21</f>
        <v>118664.31817596864</v>
      </c>
      <c r="C21" s="105"/>
      <c r="D21" s="104">
        <f>'Monthly Budget Data'!K21</f>
        <v>86961.611389323341</v>
      </c>
      <c r="E21" s="104">
        <f>'Monthly Budget Data'!J21</f>
        <v>30646.465133744288</v>
      </c>
      <c r="F21" s="104">
        <f>'Monthly Budget Data'!L21</f>
        <v>0</v>
      </c>
      <c r="H21" s="355">
        <f>'Monthly Budget Data'!O21</f>
        <v>89715.648219697046</v>
      </c>
      <c r="I21" s="104">
        <f>'Monthly Budget Data'!N21</f>
        <v>32500.110909090912</v>
      </c>
      <c r="J21" s="106">
        <f>'Monthly Budget Data'!P21</f>
        <v>0</v>
      </c>
      <c r="L21" s="355">
        <f>'Monthly Budget Data'!S21</f>
        <v>8090.47346590909</v>
      </c>
      <c r="M21" s="104">
        <f>'Monthly Budget Data'!R21</f>
        <v>65.772727272727266</v>
      </c>
      <c r="N21" s="106">
        <f>'Monthly Budget Data'!T21</f>
        <v>0</v>
      </c>
      <c r="P21" s="355">
        <f>'Monthly Budget Data'!AE21</f>
        <v>629.505</v>
      </c>
      <c r="Q21" s="104">
        <f>'Monthly Budget Data'!AD21</f>
        <v>288</v>
      </c>
      <c r="R21" s="106">
        <f>'Monthly Budget Data'!AF21</f>
        <v>0</v>
      </c>
      <c r="T21" s="355">
        <f>'Monthly Budget Data'!B21</f>
        <v>0</v>
      </c>
      <c r="U21" s="104">
        <f>'Monthly Budget Data'!C21</f>
        <v>12.080257992148066</v>
      </c>
      <c r="V21" s="104">
        <f>'Monthly Budget Data'!D21</f>
        <v>0</v>
      </c>
      <c r="W21" s="106">
        <f>'Monthly Budget Data'!E21</f>
        <v>14.161778042959423</v>
      </c>
      <c r="Y21" s="104">
        <f>'Monthly Budget Data'!AI21</f>
        <v>2199.0154545454548</v>
      </c>
      <c r="Z21" s="104">
        <f>'Monthly Budget Data'!AH21</f>
        <v>469.08181818181816</v>
      </c>
      <c r="AA21" s="104">
        <f>'Monthly Budget Data'!AJ21</f>
        <v>0</v>
      </c>
      <c r="AC21" s="104">
        <f>'Monthly Budget Data'!AM21</f>
        <v>458.28562499999987</v>
      </c>
      <c r="AD21" s="104">
        <f>'Monthly Budget Data'!AL21</f>
        <v>21.636363636363637</v>
      </c>
      <c r="AE21" s="104">
        <f>'Monthly Budget Data'!AN21</f>
        <v>0</v>
      </c>
      <c r="AG21" s="104">
        <f>'Monthly Budget Data'!AQ21</f>
        <v>213.03181818181818</v>
      </c>
      <c r="AH21" s="104">
        <f>'Monthly Budget Data'!AP21</f>
        <v>9.545454545454545</v>
      </c>
      <c r="AI21" s="104">
        <f>'Monthly Budget Data'!AR21</f>
        <v>0</v>
      </c>
      <c r="AJ21" s="223"/>
      <c r="AK21" s="104">
        <f>'Monthly Budget Data'!AU21</f>
        <v>4447.186818181819</v>
      </c>
      <c r="AL21" s="104">
        <f>'Monthly Budget Data'!AT21</f>
        <v>2023.1018181818183</v>
      </c>
      <c r="AM21" s="104">
        <f>'Monthly Budget Data'!AV21</f>
        <v>0</v>
      </c>
      <c r="AO21" s="104">
        <f>'Monthly Budget Data'!AY21</f>
        <v>0</v>
      </c>
      <c r="AP21" s="104">
        <f>'Monthly Budget Data'!AX21</f>
        <v>0</v>
      </c>
      <c r="AQ21" s="104">
        <f>'Monthly Budget Data'!AZ21</f>
        <v>0</v>
      </c>
    </row>
    <row r="22" spans="1:43">
      <c r="A22" s="166">
        <f>'Input Data'!A21</f>
        <v>41838</v>
      </c>
      <c r="B22" s="355">
        <f>'Monthly Budget Data'!G22</f>
        <v>117135.68558793914</v>
      </c>
      <c r="C22" s="105"/>
      <c r="D22" s="104">
        <f>'Monthly Budget Data'!K22</f>
        <v>86961.611389323341</v>
      </c>
      <c r="E22" s="104">
        <f>'Monthly Budget Data'!J22</f>
        <v>30646.465133744288</v>
      </c>
      <c r="F22" s="104">
        <f>'Monthly Budget Data'!L22</f>
        <v>0</v>
      </c>
      <c r="H22" s="355">
        <f>'Monthly Budget Data'!O22</f>
        <v>89715.648219697046</v>
      </c>
      <c r="I22" s="104">
        <f>'Monthly Budget Data'!N22</f>
        <v>32500.110909090912</v>
      </c>
      <c r="J22" s="106">
        <f>'Monthly Budget Data'!P22</f>
        <v>0</v>
      </c>
      <c r="L22" s="355">
        <f>'Monthly Budget Data'!S22</f>
        <v>8090.47346590909</v>
      </c>
      <c r="M22" s="104">
        <f>'Monthly Budget Data'!R22</f>
        <v>65.772727272727266</v>
      </c>
      <c r="N22" s="106">
        <f>'Monthly Budget Data'!T22</f>
        <v>0</v>
      </c>
      <c r="P22" s="355">
        <f>'Monthly Budget Data'!AE22</f>
        <v>629.505</v>
      </c>
      <c r="Q22" s="104">
        <f>'Monthly Budget Data'!AD22</f>
        <v>288</v>
      </c>
      <c r="R22" s="106">
        <f>'Monthly Budget Data'!AF22</f>
        <v>0</v>
      </c>
      <c r="T22" s="355">
        <f>'Monthly Budget Data'!B22</f>
        <v>0</v>
      </c>
      <c r="U22" s="104">
        <f>'Monthly Budget Data'!C22</f>
        <v>12.080257992148066</v>
      </c>
      <c r="V22" s="104">
        <f>'Monthly Budget Data'!D22</f>
        <v>0</v>
      </c>
      <c r="W22" s="106">
        <f>'Monthly Budget Data'!E22</f>
        <v>14.359844868735076</v>
      </c>
      <c r="Y22" s="104">
        <f>'Monthly Budget Data'!AI22</f>
        <v>2199.0154545454548</v>
      </c>
      <c r="Z22" s="104">
        <f>'Monthly Budget Data'!AH22</f>
        <v>469.08181818181816</v>
      </c>
      <c r="AA22" s="104">
        <f>'Monthly Budget Data'!AJ22</f>
        <v>0</v>
      </c>
      <c r="AC22" s="104">
        <f>'Monthly Budget Data'!AM22</f>
        <v>458.28562499999987</v>
      </c>
      <c r="AD22" s="104">
        <f>'Monthly Budget Data'!AL22</f>
        <v>21.636363636363637</v>
      </c>
      <c r="AE22" s="104">
        <f>'Monthly Budget Data'!AN22</f>
        <v>0</v>
      </c>
      <c r="AG22" s="104">
        <f>'Monthly Budget Data'!AQ22</f>
        <v>213.03181818181818</v>
      </c>
      <c r="AH22" s="104">
        <f>'Monthly Budget Data'!AP22</f>
        <v>9.545454545454545</v>
      </c>
      <c r="AI22" s="104">
        <f>'Monthly Budget Data'!AR22</f>
        <v>0</v>
      </c>
      <c r="AJ22" s="223"/>
      <c r="AK22" s="104">
        <f>'Monthly Budget Data'!AU22</f>
        <v>4447.186818181819</v>
      </c>
      <c r="AL22" s="104">
        <f>'Monthly Budget Data'!AT22</f>
        <v>2023.1018181818183</v>
      </c>
      <c r="AM22" s="104">
        <f>'Monthly Budget Data'!AV22</f>
        <v>0</v>
      </c>
      <c r="AO22" s="104">
        <f>'Monthly Budget Data'!AY22</f>
        <v>0</v>
      </c>
      <c r="AP22" s="104">
        <f>'Monthly Budget Data'!AX22</f>
        <v>0</v>
      </c>
      <c r="AQ22" s="104">
        <f>'Monthly Budget Data'!AZ22</f>
        <v>0</v>
      </c>
    </row>
    <row r="23" spans="1:43">
      <c r="A23" s="166">
        <f>'Input Data'!A22</f>
        <v>41839</v>
      </c>
      <c r="B23" s="355">
        <f>'Monthly Budget Data'!G23</f>
        <v>107793.52319266519</v>
      </c>
      <c r="C23" s="105"/>
      <c r="D23" s="104">
        <f>'Monthly Budget Data'!K23</f>
        <v>0</v>
      </c>
      <c r="E23" s="104">
        <f>'Monthly Budget Data'!J23</f>
        <v>28850.333164145421</v>
      </c>
      <c r="F23" s="104">
        <f>'Monthly Budget Data'!L23</f>
        <v>77308.738210588737</v>
      </c>
      <c r="H23" s="355">
        <f>'Monthly Budget Data'!O23</f>
        <v>0</v>
      </c>
      <c r="I23" s="104">
        <f>'Monthly Budget Data'!N23</f>
        <v>29222.900000000005</v>
      </c>
      <c r="J23" s="106">
        <f>'Monthly Budget Data'!P23</f>
        <v>78381.879166666695</v>
      </c>
      <c r="L23" s="355">
        <f>'Monthly Budget Data'!S23</f>
        <v>0</v>
      </c>
      <c r="M23" s="104">
        <f>'Monthly Budget Data'!R23</f>
        <v>49.888888888888886</v>
      </c>
      <c r="N23" s="106">
        <f>'Monthly Budget Data'!T23</f>
        <v>4217.0237500000003</v>
      </c>
      <c r="P23" s="355">
        <f>'Monthly Budget Data'!AE23</f>
        <v>0</v>
      </c>
      <c r="Q23" s="104">
        <f>'Monthly Budget Data'!AD23</f>
        <v>288</v>
      </c>
      <c r="R23" s="106">
        <f>'Monthly Budget Data'!AF23</f>
        <v>576</v>
      </c>
      <c r="T23" s="355">
        <f>'Monthly Budget Data'!B23</f>
        <v>0</v>
      </c>
      <c r="U23" s="104">
        <f>'Monthly Budget Data'!C23</f>
        <v>12.773387549074595</v>
      </c>
      <c r="V23" s="104">
        <f>'Monthly Budget Data'!D23</f>
        <v>0</v>
      </c>
      <c r="W23" s="106">
        <f>'Monthly Budget Data'!E23</f>
        <v>14.954045346062047</v>
      </c>
      <c r="Y23" s="104">
        <f>'Monthly Budget Data'!AI23</f>
        <v>0</v>
      </c>
      <c r="Z23" s="104">
        <f>'Monthly Budget Data'!AH23</f>
        <v>468.66666666666669</v>
      </c>
      <c r="AA23" s="104">
        <f>'Monthly Budget Data'!AJ23</f>
        <v>1781.68</v>
      </c>
      <c r="AC23" s="104">
        <f>'Monthly Budget Data'!AM23</f>
        <v>0</v>
      </c>
      <c r="AD23" s="104">
        <f>'Monthly Budget Data'!AL23</f>
        <v>131.44444444444446</v>
      </c>
      <c r="AE23" s="104">
        <f>'Monthly Budget Data'!AN23</f>
        <v>353.33624999999995</v>
      </c>
      <c r="AG23" s="104">
        <f>'Monthly Budget Data'!AQ23</f>
        <v>0</v>
      </c>
      <c r="AH23" s="104">
        <f>'Monthly Budget Data'!AP23</f>
        <v>0</v>
      </c>
      <c r="AI23" s="104">
        <f>'Monthly Budget Data'!AR23</f>
        <v>959.25</v>
      </c>
      <c r="AJ23" s="223"/>
      <c r="AK23" s="104">
        <f>'Monthly Budget Data'!AU23</f>
        <v>0</v>
      </c>
      <c r="AL23" s="104">
        <f>'Monthly Budget Data'!AT23</f>
        <v>1814.4555555555555</v>
      </c>
      <c r="AM23" s="104">
        <f>'Monthly Budget Data'!AV23</f>
        <v>4111.0199999999995</v>
      </c>
      <c r="AO23" s="104">
        <f>'Monthly Budget Data'!AY23</f>
        <v>0</v>
      </c>
      <c r="AP23" s="104">
        <f>'Monthly Budget Data'!AX23</f>
        <v>0</v>
      </c>
      <c r="AQ23" s="104">
        <f>'Monthly Budget Data'!AZ23</f>
        <v>0</v>
      </c>
    </row>
    <row r="24" spans="1:43">
      <c r="A24" s="166">
        <f>'Input Data'!A23</f>
        <v>41840</v>
      </c>
      <c r="B24" s="355">
        <f>'Monthly Budget Data'!G24</f>
        <v>105927.27834284451</v>
      </c>
      <c r="C24" s="105"/>
      <c r="D24" s="104">
        <f>'Monthly Budget Data'!K24</f>
        <v>0</v>
      </c>
      <c r="E24" s="104">
        <f>'Monthly Budget Data'!J24</f>
        <v>28850.333164145421</v>
      </c>
      <c r="F24" s="104">
        <f>'Monthly Budget Data'!L24</f>
        <v>77308.738210588737</v>
      </c>
      <c r="H24" s="355">
        <f>'Monthly Budget Data'!O24</f>
        <v>0</v>
      </c>
      <c r="I24" s="104">
        <f>'Monthly Budget Data'!N24</f>
        <v>29222.900000000005</v>
      </c>
      <c r="J24" s="106">
        <f>'Monthly Budget Data'!P24</f>
        <v>78381.879166666695</v>
      </c>
      <c r="L24" s="355">
        <f>'Monthly Budget Data'!S24</f>
        <v>0</v>
      </c>
      <c r="M24" s="104">
        <f>'Monthly Budget Data'!R24</f>
        <v>49.888888888888886</v>
      </c>
      <c r="N24" s="106">
        <f>'Monthly Budget Data'!T24</f>
        <v>4217.0237500000003</v>
      </c>
      <c r="P24" s="355">
        <f>'Monthly Budget Data'!AE24</f>
        <v>0</v>
      </c>
      <c r="Q24" s="104">
        <f>'Monthly Budget Data'!AD24</f>
        <v>288</v>
      </c>
      <c r="R24" s="106">
        <f>'Monthly Budget Data'!AF24</f>
        <v>576</v>
      </c>
      <c r="T24" s="355">
        <f>'Monthly Budget Data'!B24</f>
        <v>0</v>
      </c>
      <c r="U24" s="104">
        <f>'Monthly Budget Data'!C24</f>
        <v>12.426822770611333</v>
      </c>
      <c r="V24" s="104">
        <f>'Monthly Budget Data'!D24</f>
        <v>0</v>
      </c>
      <c r="W24" s="106">
        <f>'Monthly Budget Data'!E24</f>
        <v>14.458878281622905</v>
      </c>
      <c r="Y24" s="104">
        <f>'Monthly Budget Data'!AI24</f>
        <v>0</v>
      </c>
      <c r="Z24" s="104">
        <f>'Monthly Budget Data'!AH24</f>
        <v>468.66666666666669</v>
      </c>
      <c r="AA24" s="104">
        <f>'Monthly Budget Data'!AJ24</f>
        <v>1781.68</v>
      </c>
      <c r="AC24" s="104">
        <f>'Monthly Budget Data'!AM24</f>
        <v>0</v>
      </c>
      <c r="AD24" s="104">
        <f>'Monthly Budget Data'!AL24</f>
        <v>131.44444444444446</v>
      </c>
      <c r="AE24" s="104">
        <f>'Monthly Budget Data'!AN24</f>
        <v>353.33624999999995</v>
      </c>
      <c r="AG24" s="104">
        <f>'Monthly Budget Data'!AQ24</f>
        <v>0</v>
      </c>
      <c r="AH24" s="104">
        <f>'Monthly Budget Data'!AP24</f>
        <v>0</v>
      </c>
      <c r="AI24" s="104">
        <f>'Monthly Budget Data'!AR24</f>
        <v>959.25</v>
      </c>
      <c r="AJ24" s="223"/>
      <c r="AK24" s="104">
        <f>'Monthly Budget Data'!AU24</f>
        <v>0</v>
      </c>
      <c r="AL24" s="104">
        <f>'Monthly Budget Data'!AT24</f>
        <v>1814.4555555555555</v>
      </c>
      <c r="AM24" s="104">
        <f>'Monthly Budget Data'!AV24</f>
        <v>4111.0199999999995</v>
      </c>
      <c r="AO24" s="104">
        <f>'Monthly Budget Data'!AY24</f>
        <v>0</v>
      </c>
      <c r="AP24" s="104">
        <f>'Monthly Budget Data'!AX24</f>
        <v>0</v>
      </c>
      <c r="AQ24" s="104">
        <f>'Monthly Budget Data'!AZ24</f>
        <v>0</v>
      </c>
    </row>
    <row r="25" spans="1:43">
      <c r="A25" s="166">
        <f>'Input Data'!A24</f>
        <v>41841</v>
      </c>
      <c r="B25" s="355">
        <f>'Monthly Budget Data'!G25</f>
        <v>117586.17723670957</v>
      </c>
      <c r="C25" s="105"/>
      <c r="D25" s="104">
        <f>'Monthly Budget Data'!K25</f>
        <v>86961.611389323341</v>
      </c>
      <c r="E25" s="104">
        <f>'Monthly Budget Data'!J25</f>
        <v>30646.465133744288</v>
      </c>
      <c r="F25" s="104">
        <f>'Monthly Budget Data'!L25</f>
        <v>0</v>
      </c>
      <c r="H25" s="355">
        <f>'Monthly Budget Data'!O25</f>
        <v>89715.648219697046</v>
      </c>
      <c r="I25" s="104">
        <f>'Monthly Budget Data'!N25</f>
        <v>32500.110909090912</v>
      </c>
      <c r="J25" s="106">
        <f>'Monthly Budget Data'!P25</f>
        <v>0</v>
      </c>
      <c r="L25" s="355">
        <f>'Monthly Budget Data'!S25</f>
        <v>8090.47346590909</v>
      </c>
      <c r="M25" s="104">
        <f>'Monthly Budget Data'!R25</f>
        <v>65.772727272727266</v>
      </c>
      <c r="N25" s="106">
        <f>'Monthly Budget Data'!T25</f>
        <v>0</v>
      </c>
      <c r="P25" s="355">
        <f>'Monthly Budget Data'!AE25</f>
        <v>629.505</v>
      </c>
      <c r="Q25" s="104">
        <f>'Monthly Budget Data'!AD25</f>
        <v>288</v>
      </c>
      <c r="R25" s="106">
        <f>'Monthly Budget Data'!AF25</f>
        <v>0</v>
      </c>
      <c r="T25" s="355">
        <f>'Monthly Budget Data'!B25</f>
        <v>0</v>
      </c>
      <c r="U25" s="104">
        <f>'Monthly Budget Data'!C25</f>
        <v>12.377313516545151</v>
      </c>
      <c r="V25" s="104">
        <f>'Monthly Budget Data'!D25</f>
        <v>0</v>
      </c>
      <c r="W25" s="106">
        <f>'Monthly Budget Data'!E25</f>
        <v>14.26081145584725</v>
      </c>
      <c r="Y25" s="104">
        <f>'Monthly Budget Data'!AI25</f>
        <v>2199.0154545454548</v>
      </c>
      <c r="Z25" s="104">
        <f>'Monthly Budget Data'!AH25</f>
        <v>469.08181818181816</v>
      </c>
      <c r="AA25" s="104">
        <f>'Monthly Budget Data'!AJ25</f>
        <v>0</v>
      </c>
      <c r="AC25" s="104">
        <f>'Monthly Budget Data'!AM25</f>
        <v>458.28562499999987</v>
      </c>
      <c r="AD25" s="104">
        <f>'Monthly Budget Data'!AL25</f>
        <v>21.636363636363637</v>
      </c>
      <c r="AE25" s="104">
        <f>'Monthly Budget Data'!AN25</f>
        <v>0</v>
      </c>
      <c r="AG25" s="104">
        <f>'Monthly Budget Data'!AQ25</f>
        <v>213.03181818181818</v>
      </c>
      <c r="AH25" s="104">
        <f>'Monthly Budget Data'!AP25</f>
        <v>9.545454545454545</v>
      </c>
      <c r="AI25" s="104">
        <f>'Monthly Budget Data'!AR25</f>
        <v>0</v>
      </c>
      <c r="AJ25" s="223"/>
      <c r="AK25" s="104">
        <f>'Monthly Budget Data'!AU25</f>
        <v>4447.186818181819</v>
      </c>
      <c r="AL25" s="104">
        <f>'Monthly Budget Data'!AT25</f>
        <v>2023.1018181818183</v>
      </c>
      <c r="AM25" s="104">
        <f>'Monthly Budget Data'!AV25</f>
        <v>0</v>
      </c>
      <c r="AO25" s="104">
        <f>'Monthly Budget Data'!AY25</f>
        <v>0</v>
      </c>
      <c r="AP25" s="104">
        <f>'Monthly Budget Data'!AX25</f>
        <v>0</v>
      </c>
      <c r="AQ25" s="104">
        <f>'Monthly Budget Data'!AZ25</f>
        <v>0</v>
      </c>
    </row>
    <row r="26" spans="1:43">
      <c r="A26" s="166">
        <f>'Input Data'!A25</f>
        <v>41842</v>
      </c>
      <c r="B26" s="355">
        <f>'Monthly Budget Data'!G26</f>
        <v>119747.31808730237</v>
      </c>
      <c r="C26" s="105"/>
      <c r="D26" s="104">
        <f>'Monthly Budget Data'!K26</f>
        <v>86961.611389323341</v>
      </c>
      <c r="E26" s="104">
        <f>'Monthly Budget Data'!J26</f>
        <v>30646.465133744288</v>
      </c>
      <c r="F26" s="104">
        <f>'Monthly Budget Data'!L26</f>
        <v>0</v>
      </c>
      <c r="H26" s="355">
        <f>'Monthly Budget Data'!O26</f>
        <v>89715.648219697046</v>
      </c>
      <c r="I26" s="104">
        <f>'Monthly Budget Data'!N26</f>
        <v>32500.110909090912</v>
      </c>
      <c r="J26" s="106">
        <f>'Monthly Budget Data'!P26</f>
        <v>0</v>
      </c>
      <c r="L26" s="355">
        <f>'Monthly Budget Data'!S26</f>
        <v>8090.47346590909</v>
      </c>
      <c r="M26" s="104">
        <f>'Monthly Budget Data'!R26</f>
        <v>65.772727272727266</v>
      </c>
      <c r="N26" s="106">
        <f>'Monthly Budget Data'!T26</f>
        <v>0</v>
      </c>
      <c r="P26" s="355">
        <f>'Monthly Budget Data'!AE26</f>
        <v>629.505</v>
      </c>
      <c r="Q26" s="104">
        <f>'Monthly Budget Data'!AD26</f>
        <v>288</v>
      </c>
      <c r="R26" s="106">
        <f>'Monthly Budget Data'!AF26</f>
        <v>0</v>
      </c>
      <c r="T26" s="355">
        <f>'Monthly Budget Data'!B26</f>
        <v>0</v>
      </c>
      <c r="U26" s="104">
        <f>'Monthly Budget Data'!C26</f>
        <v>12.377313516545151</v>
      </c>
      <c r="V26" s="104">
        <f>'Monthly Budget Data'!D26</f>
        <v>0</v>
      </c>
      <c r="W26" s="106">
        <f>'Monthly Budget Data'!E26</f>
        <v>14.211294749403335</v>
      </c>
      <c r="Y26" s="104">
        <f>'Monthly Budget Data'!AI26</f>
        <v>2199.0154545454548</v>
      </c>
      <c r="Z26" s="104">
        <f>'Monthly Budget Data'!AH26</f>
        <v>469.08181818181816</v>
      </c>
      <c r="AA26" s="104">
        <f>'Monthly Budget Data'!AJ26</f>
        <v>0</v>
      </c>
      <c r="AC26" s="104">
        <f>'Monthly Budget Data'!AM26</f>
        <v>458.28562499999987</v>
      </c>
      <c r="AD26" s="104">
        <f>'Monthly Budget Data'!AL26</f>
        <v>21.636363636363637</v>
      </c>
      <c r="AE26" s="104">
        <f>'Monthly Budget Data'!AN26</f>
        <v>0</v>
      </c>
      <c r="AG26" s="104">
        <f>'Monthly Budget Data'!AQ26</f>
        <v>213.03181818181818</v>
      </c>
      <c r="AH26" s="104">
        <f>'Monthly Budget Data'!AP26</f>
        <v>9.545454545454545</v>
      </c>
      <c r="AI26" s="104">
        <f>'Monthly Budget Data'!AR26</f>
        <v>0</v>
      </c>
      <c r="AJ26" s="223"/>
      <c r="AK26" s="104">
        <f>'Monthly Budget Data'!AU26</f>
        <v>4447.186818181819</v>
      </c>
      <c r="AL26" s="104">
        <f>'Monthly Budget Data'!AT26</f>
        <v>2023.1018181818183</v>
      </c>
      <c r="AM26" s="104">
        <f>'Monthly Budget Data'!AV26</f>
        <v>0</v>
      </c>
      <c r="AO26" s="104">
        <f>'Monthly Budget Data'!AY26</f>
        <v>0</v>
      </c>
      <c r="AP26" s="104">
        <f>'Monthly Budget Data'!AX26</f>
        <v>0</v>
      </c>
      <c r="AQ26" s="104">
        <f>'Monthly Budget Data'!AZ26</f>
        <v>0</v>
      </c>
    </row>
    <row r="27" spans="1:43">
      <c r="A27" s="166">
        <f>'Input Data'!A26</f>
        <v>41843</v>
      </c>
      <c r="B27" s="355">
        <f>'Monthly Budget Data'!G27</f>
        <v>120223.01949577969</v>
      </c>
      <c r="C27" s="105"/>
      <c r="D27" s="104">
        <f>'Monthly Budget Data'!K27</f>
        <v>86961.611389323341</v>
      </c>
      <c r="E27" s="104">
        <f>'Monthly Budget Data'!J27</f>
        <v>30646.465133744288</v>
      </c>
      <c r="F27" s="104">
        <f>'Monthly Budget Data'!L27</f>
        <v>0</v>
      </c>
      <c r="H27" s="355">
        <f>'Monthly Budget Data'!O27</f>
        <v>89715.648219697046</v>
      </c>
      <c r="I27" s="104">
        <f>'Monthly Budget Data'!N27</f>
        <v>32500.110909090912</v>
      </c>
      <c r="J27" s="106">
        <f>'Monthly Budget Data'!P27</f>
        <v>0</v>
      </c>
      <c r="L27" s="355">
        <f>'Monthly Budget Data'!S27</f>
        <v>8090.47346590909</v>
      </c>
      <c r="M27" s="104">
        <f>'Monthly Budget Data'!R27</f>
        <v>65.772727272727266</v>
      </c>
      <c r="N27" s="106">
        <f>'Monthly Budget Data'!T27</f>
        <v>0</v>
      </c>
      <c r="P27" s="355">
        <f>'Monthly Budget Data'!AE27</f>
        <v>629.505</v>
      </c>
      <c r="Q27" s="104">
        <f>'Monthly Budget Data'!AD27</f>
        <v>288</v>
      </c>
      <c r="R27" s="106">
        <f>'Monthly Budget Data'!AF27</f>
        <v>0</v>
      </c>
      <c r="T27" s="355">
        <f>'Monthly Budget Data'!B27</f>
        <v>0</v>
      </c>
      <c r="U27" s="104">
        <f>'Monthly Budget Data'!C27</f>
        <v>12.327804262478969</v>
      </c>
      <c r="V27" s="104">
        <f>'Monthly Budget Data'!D27</f>
        <v>0</v>
      </c>
      <c r="W27" s="106">
        <f>'Monthly Budget Data'!E27</f>
        <v>14.161778042959423</v>
      </c>
      <c r="Y27" s="104">
        <f>'Monthly Budget Data'!AI27</f>
        <v>2199.0154545454548</v>
      </c>
      <c r="Z27" s="104">
        <f>'Monthly Budget Data'!AH27</f>
        <v>469.08181818181816</v>
      </c>
      <c r="AA27" s="104">
        <f>'Monthly Budget Data'!AJ27</f>
        <v>0</v>
      </c>
      <c r="AC27" s="104">
        <f>'Monthly Budget Data'!AM27</f>
        <v>458.28562499999987</v>
      </c>
      <c r="AD27" s="104">
        <f>'Monthly Budget Data'!AL27</f>
        <v>21.636363636363637</v>
      </c>
      <c r="AE27" s="104">
        <f>'Monthly Budget Data'!AN27</f>
        <v>0</v>
      </c>
      <c r="AG27" s="104">
        <f>'Monthly Budget Data'!AQ27</f>
        <v>213.03181818181818</v>
      </c>
      <c r="AH27" s="104">
        <f>'Monthly Budget Data'!AP27</f>
        <v>9.545454545454545</v>
      </c>
      <c r="AI27" s="104">
        <f>'Monthly Budget Data'!AR27</f>
        <v>0</v>
      </c>
      <c r="AJ27" s="223"/>
      <c r="AK27" s="104">
        <f>'Monthly Budget Data'!AU27</f>
        <v>4447.186818181819</v>
      </c>
      <c r="AL27" s="104">
        <f>'Monthly Budget Data'!AT27</f>
        <v>2023.1018181818183</v>
      </c>
      <c r="AM27" s="104">
        <f>'Monthly Budget Data'!AV27</f>
        <v>0</v>
      </c>
      <c r="AO27" s="104">
        <f>'Monthly Budget Data'!AY27</f>
        <v>0</v>
      </c>
      <c r="AP27" s="104">
        <f>'Monthly Budget Data'!AX27</f>
        <v>0</v>
      </c>
      <c r="AQ27" s="104">
        <f>'Monthly Budget Data'!AZ27</f>
        <v>0</v>
      </c>
    </row>
    <row r="28" spans="1:43">
      <c r="A28" s="166">
        <f>'Input Data'!A27</f>
        <v>41844</v>
      </c>
      <c r="B28" s="355">
        <f>'Monthly Budget Data'!G28</f>
        <v>120281.06353687547</v>
      </c>
      <c r="C28" s="105"/>
      <c r="D28" s="104">
        <f>'Monthly Budget Data'!K28</f>
        <v>86961.611389323341</v>
      </c>
      <c r="E28" s="104">
        <f>'Monthly Budget Data'!J28</f>
        <v>30646.465133744288</v>
      </c>
      <c r="F28" s="104">
        <f>'Monthly Budget Data'!L28</f>
        <v>0</v>
      </c>
      <c r="H28" s="355">
        <f>'Monthly Budget Data'!O28</f>
        <v>89715.648219697046</v>
      </c>
      <c r="I28" s="104">
        <f>'Monthly Budget Data'!N28</f>
        <v>32500.110909090912</v>
      </c>
      <c r="J28" s="106">
        <f>'Monthly Budget Data'!P28</f>
        <v>0</v>
      </c>
      <c r="L28" s="355">
        <f>'Monthly Budget Data'!S28</f>
        <v>8090.47346590909</v>
      </c>
      <c r="M28" s="104">
        <f>'Monthly Budget Data'!R28</f>
        <v>65.772727272727266</v>
      </c>
      <c r="N28" s="106">
        <f>'Monthly Budget Data'!T28</f>
        <v>0</v>
      </c>
      <c r="P28" s="355">
        <f>'Monthly Budget Data'!AE28</f>
        <v>629.505</v>
      </c>
      <c r="Q28" s="104">
        <f>'Monthly Budget Data'!AD28</f>
        <v>288</v>
      </c>
      <c r="R28" s="106">
        <f>'Monthly Budget Data'!AF28</f>
        <v>0</v>
      </c>
      <c r="T28" s="355">
        <f>'Monthly Budget Data'!B28</f>
        <v>0</v>
      </c>
      <c r="U28" s="104">
        <f>'Monthly Budget Data'!C28</f>
        <v>12.030748738081886</v>
      </c>
      <c r="V28" s="104">
        <f>'Monthly Budget Data'!D28</f>
        <v>0</v>
      </c>
      <c r="W28" s="106">
        <f>'Monthly Budget Data'!E28</f>
        <v>13.963711217183764</v>
      </c>
      <c r="Y28" s="104">
        <f>'Monthly Budget Data'!AI28</f>
        <v>2199.0154545454548</v>
      </c>
      <c r="Z28" s="104">
        <f>'Monthly Budget Data'!AH28</f>
        <v>469.08181818181816</v>
      </c>
      <c r="AA28" s="104">
        <f>'Monthly Budget Data'!AJ28</f>
        <v>0</v>
      </c>
      <c r="AC28" s="104">
        <f>'Monthly Budget Data'!AM28</f>
        <v>458.28562499999987</v>
      </c>
      <c r="AD28" s="104">
        <f>'Monthly Budget Data'!AL28</f>
        <v>21.636363636363637</v>
      </c>
      <c r="AE28" s="104">
        <f>'Monthly Budget Data'!AN28</f>
        <v>0</v>
      </c>
      <c r="AG28" s="104">
        <f>'Monthly Budget Data'!AQ28</f>
        <v>213.03181818181818</v>
      </c>
      <c r="AH28" s="104">
        <f>'Monthly Budget Data'!AP28</f>
        <v>9.545454545454545</v>
      </c>
      <c r="AI28" s="104">
        <f>'Monthly Budget Data'!AR28</f>
        <v>0</v>
      </c>
      <c r="AJ28" s="223"/>
      <c r="AK28" s="104">
        <f>'Monthly Budget Data'!AU28</f>
        <v>4447.186818181819</v>
      </c>
      <c r="AL28" s="104">
        <f>'Monthly Budget Data'!AT28</f>
        <v>2023.1018181818183</v>
      </c>
      <c r="AM28" s="104">
        <f>'Monthly Budget Data'!AV28</f>
        <v>0</v>
      </c>
      <c r="AO28" s="104">
        <f>'Monthly Budget Data'!AY28</f>
        <v>0</v>
      </c>
      <c r="AP28" s="104">
        <f>'Monthly Budget Data'!AX28</f>
        <v>0</v>
      </c>
      <c r="AQ28" s="104">
        <f>'Monthly Budget Data'!AZ28</f>
        <v>0</v>
      </c>
    </row>
    <row r="29" spans="1:43">
      <c r="A29" s="166">
        <f>'Input Data'!A28</f>
        <v>41845</v>
      </c>
      <c r="B29" s="355">
        <f>'Monthly Budget Data'!G29</f>
        <v>118607.34797112948</v>
      </c>
      <c r="C29" s="105"/>
      <c r="D29" s="104">
        <f>'Monthly Budget Data'!K29</f>
        <v>86961.611389323341</v>
      </c>
      <c r="E29" s="104">
        <f>'Monthly Budget Data'!J29</f>
        <v>30646.465133744288</v>
      </c>
      <c r="F29" s="104">
        <f>'Monthly Budget Data'!L29</f>
        <v>0</v>
      </c>
      <c r="H29" s="355">
        <f>'Monthly Budget Data'!O29</f>
        <v>89715.648219697046</v>
      </c>
      <c r="I29" s="104">
        <f>'Monthly Budget Data'!N29</f>
        <v>32500.110909090912</v>
      </c>
      <c r="J29" s="106">
        <f>'Monthly Budget Data'!P29</f>
        <v>0</v>
      </c>
      <c r="L29" s="355">
        <f>'Monthly Budget Data'!S29</f>
        <v>8090.47346590909</v>
      </c>
      <c r="M29" s="104">
        <f>'Monthly Budget Data'!R29</f>
        <v>65.772727272727266</v>
      </c>
      <c r="N29" s="106">
        <f>'Monthly Budget Data'!T29</f>
        <v>0</v>
      </c>
      <c r="P29" s="355">
        <f>'Monthly Budget Data'!AE29</f>
        <v>629.505</v>
      </c>
      <c r="Q29" s="104">
        <f>'Monthly Budget Data'!AD29</f>
        <v>288</v>
      </c>
      <c r="R29" s="106">
        <f>'Monthly Budget Data'!AF29</f>
        <v>0</v>
      </c>
      <c r="T29" s="355">
        <f>'Monthly Budget Data'!B29</f>
        <v>0</v>
      </c>
      <c r="U29" s="104">
        <f>'Monthly Budget Data'!C29</f>
        <v>11.882220975883344</v>
      </c>
      <c r="V29" s="104">
        <f>'Monthly Budget Data'!D29</f>
        <v>0</v>
      </c>
      <c r="W29" s="106">
        <f>'Monthly Budget Data'!E29</f>
        <v>13.765644391408108</v>
      </c>
      <c r="Y29" s="104">
        <f>'Monthly Budget Data'!AI29</f>
        <v>2199.0154545454548</v>
      </c>
      <c r="Z29" s="104">
        <f>'Monthly Budget Data'!AH29</f>
        <v>469.08181818181816</v>
      </c>
      <c r="AA29" s="104">
        <f>'Monthly Budget Data'!AJ29</f>
        <v>0</v>
      </c>
      <c r="AC29" s="104">
        <f>'Monthly Budget Data'!AM29</f>
        <v>458.28562499999987</v>
      </c>
      <c r="AD29" s="104">
        <f>'Monthly Budget Data'!AL29</f>
        <v>21.636363636363637</v>
      </c>
      <c r="AE29" s="104">
        <f>'Monthly Budget Data'!AN29</f>
        <v>0</v>
      </c>
      <c r="AG29" s="104">
        <f>'Monthly Budget Data'!AQ29</f>
        <v>213.03181818181818</v>
      </c>
      <c r="AH29" s="104">
        <f>'Monthly Budget Data'!AP29</f>
        <v>9.545454545454545</v>
      </c>
      <c r="AI29" s="104">
        <f>'Monthly Budget Data'!AR29</f>
        <v>0</v>
      </c>
      <c r="AJ29" s="223"/>
      <c r="AK29" s="104">
        <f>'Monthly Budget Data'!AU29</f>
        <v>4447.186818181819</v>
      </c>
      <c r="AL29" s="104">
        <f>'Monthly Budget Data'!AT29</f>
        <v>2023.1018181818183</v>
      </c>
      <c r="AM29" s="104">
        <f>'Monthly Budget Data'!AV29</f>
        <v>0</v>
      </c>
      <c r="AO29" s="104">
        <f>'Monthly Budget Data'!AY29</f>
        <v>0</v>
      </c>
      <c r="AP29" s="104">
        <f>'Monthly Budget Data'!AX29</f>
        <v>0</v>
      </c>
      <c r="AQ29" s="104">
        <f>'Monthly Budget Data'!AZ29</f>
        <v>0</v>
      </c>
    </row>
    <row r="30" spans="1:43">
      <c r="A30" s="166">
        <f>'Input Data'!A29</f>
        <v>41846</v>
      </c>
      <c r="B30" s="355">
        <f>'Monthly Budget Data'!G30</f>
        <v>110597.0634477601</v>
      </c>
      <c r="C30" s="105"/>
      <c r="D30" s="104">
        <f>'Monthly Budget Data'!K30</f>
        <v>0</v>
      </c>
      <c r="E30" s="104">
        <f>'Monthly Budget Data'!J30</f>
        <v>28850.333164145421</v>
      </c>
      <c r="F30" s="104">
        <f>'Monthly Budget Data'!L30</f>
        <v>77308.738210588737</v>
      </c>
      <c r="H30" s="355">
        <f>'Monthly Budget Data'!O30</f>
        <v>0</v>
      </c>
      <c r="I30" s="104">
        <f>'Monthly Budget Data'!N30</f>
        <v>29222.900000000005</v>
      </c>
      <c r="J30" s="106">
        <f>'Monthly Budget Data'!P30</f>
        <v>78381.879166666695</v>
      </c>
      <c r="L30" s="355">
        <f>'Monthly Budget Data'!S30</f>
        <v>0</v>
      </c>
      <c r="M30" s="104">
        <f>'Monthly Budget Data'!R30</f>
        <v>49.888888888888886</v>
      </c>
      <c r="N30" s="106">
        <f>'Monthly Budget Data'!T30</f>
        <v>4217.0237500000003</v>
      </c>
      <c r="P30" s="355">
        <f>'Monthly Budget Data'!AE30</f>
        <v>0</v>
      </c>
      <c r="Q30" s="104">
        <f>'Monthly Budget Data'!AD30</f>
        <v>288</v>
      </c>
      <c r="R30" s="106">
        <f>'Monthly Budget Data'!AF30</f>
        <v>576</v>
      </c>
      <c r="T30" s="355">
        <f>'Monthly Budget Data'!B30</f>
        <v>0</v>
      </c>
      <c r="U30" s="104">
        <f>'Monthly Budget Data'!C30</f>
        <v>11.634674705552444</v>
      </c>
      <c r="V30" s="104">
        <f>'Monthly Budget Data'!D30</f>
        <v>0</v>
      </c>
      <c r="W30" s="106">
        <f>'Monthly Budget Data'!E30</f>
        <v>13.716127684964196</v>
      </c>
      <c r="Y30" s="104">
        <f>'Monthly Budget Data'!AI30</f>
        <v>0</v>
      </c>
      <c r="Z30" s="104">
        <f>'Monthly Budget Data'!AH30</f>
        <v>468.66666666666669</v>
      </c>
      <c r="AA30" s="104">
        <f>'Monthly Budget Data'!AJ30</f>
        <v>1781.68</v>
      </c>
      <c r="AC30" s="104">
        <f>'Monthly Budget Data'!AM30</f>
        <v>0</v>
      </c>
      <c r="AD30" s="104">
        <f>'Monthly Budget Data'!AL30</f>
        <v>131.44444444444446</v>
      </c>
      <c r="AE30" s="104">
        <f>'Monthly Budget Data'!AN30</f>
        <v>353.33624999999995</v>
      </c>
      <c r="AG30" s="104">
        <f>'Monthly Budget Data'!AQ30</f>
        <v>0</v>
      </c>
      <c r="AH30" s="104">
        <f>'Monthly Budget Data'!AP30</f>
        <v>0</v>
      </c>
      <c r="AI30" s="104">
        <f>'Monthly Budget Data'!AR30</f>
        <v>959.25</v>
      </c>
      <c r="AJ30" s="223"/>
      <c r="AK30" s="104">
        <f>'Monthly Budget Data'!AU30</f>
        <v>0</v>
      </c>
      <c r="AL30" s="104">
        <f>'Monthly Budget Data'!AT30</f>
        <v>1814.4555555555555</v>
      </c>
      <c r="AM30" s="104">
        <f>'Monthly Budget Data'!AV30</f>
        <v>4111.0199999999995</v>
      </c>
      <c r="AO30" s="104">
        <f>'Monthly Budget Data'!AY30</f>
        <v>0</v>
      </c>
      <c r="AP30" s="104">
        <f>'Monthly Budget Data'!AX30</f>
        <v>0</v>
      </c>
      <c r="AQ30" s="104">
        <f>'Monthly Budget Data'!AZ30</f>
        <v>0</v>
      </c>
    </row>
    <row r="31" spans="1:43">
      <c r="A31" s="166">
        <f>'Input Data'!A30</f>
        <v>41847</v>
      </c>
      <c r="B31" s="355">
        <f>'Monthly Budget Data'!G31</f>
        <v>108001.19387924118</v>
      </c>
      <c r="C31" s="105"/>
      <c r="D31" s="104">
        <f>'Monthly Budget Data'!K31</f>
        <v>0</v>
      </c>
      <c r="E31" s="104">
        <f>'Monthly Budget Data'!J31</f>
        <v>28850.333164145421</v>
      </c>
      <c r="F31" s="104">
        <f>'Monthly Budget Data'!L31</f>
        <v>77308.738210588737</v>
      </c>
      <c r="H31" s="355">
        <f>'Monthly Budget Data'!O31</f>
        <v>0</v>
      </c>
      <c r="I31" s="104">
        <f>'Monthly Budget Data'!N31</f>
        <v>29222.900000000005</v>
      </c>
      <c r="J31" s="106">
        <f>'Monthly Budget Data'!P31</f>
        <v>78381.879166666695</v>
      </c>
      <c r="L31" s="355">
        <f>'Monthly Budget Data'!S31</f>
        <v>0</v>
      </c>
      <c r="M31" s="104">
        <f>'Monthly Budget Data'!R31</f>
        <v>49.888888888888886</v>
      </c>
      <c r="N31" s="106">
        <f>'Monthly Budget Data'!T31</f>
        <v>4217.0237500000003</v>
      </c>
      <c r="P31" s="355">
        <f>'Monthly Budget Data'!AE31</f>
        <v>0</v>
      </c>
      <c r="Q31" s="104">
        <f>'Monthly Budget Data'!AD31</f>
        <v>288</v>
      </c>
      <c r="R31" s="106">
        <f>'Monthly Budget Data'!AF31</f>
        <v>576</v>
      </c>
      <c r="T31" s="355">
        <f>'Monthly Budget Data'!B31</f>
        <v>0</v>
      </c>
      <c r="U31" s="104">
        <f>'Monthly Budget Data'!C31</f>
        <v>11.634674705552444</v>
      </c>
      <c r="V31" s="104">
        <f>'Monthly Budget Data'!D31</f>
        <v>0</v>
      </c>
      <c r="W31" s="106">
        <f>'Monthly Budget Data'!E31</f>
        <v>13.716127684964196</v>
      </c>
      <c r="Y31" s="104">
        <f>'Monthly Budget Data'!AI31</f>
        <v>0</v>
      </c>
      <c r="Z31" s="104">
        <f>'Monthly Budget Data'!AH31</f>
        <v>468.66666666666669</v>
      </c>
      <c r="AA31" s="104">
        <f>'Monthly Budget Data'!AJ31</f>
        <v>1781.68</v>
      </c>
      <c r="AC31" s="104">
        <f>'Monthly Budget Data'!AM31</f>
        <v>0</v>
      </c>
      <c r="AD31" s="104">
        <f>'Monthly Budget Data'!AL31</f>
        <v>131.44444444444446</v>
      </c>
      <c r="AE31" s="104">
        <f>'Monthly Budget Data'!AN31</f>
        <v>353.33624999999995</v>
      </c>
      <c r="AG31" s="104">
        <f>'Monthly Budget Data'!AQ31</f>
        <v>0</v>
      </c>
      <c r="AH31" s="104">
        <f>'Monthly Budget Data'!AP31</f>
        <v>0</v>
      </c>
      <c r="AI31" s="104">
        <f>'Monthly Budget Data'!AR31</f>
        <v>959.25</v>
      </c>
      <c r="AJ31" s="223"/>
      <c r="AK31" s="104">
        <f>'Monthly Budget Data'!AU31</f>
        <v>0</v>
      </c>
      <c r="AL31" s="104">
        <f>'Monthly Budget Data'!AT31</f>
        <v>1814.4555555555555</v>
      </c>
      <c r="AM31" s="104">
        <f>'Monthly Budget Data'!AV31</f>
        <v>4111.0199999999995</v>
      </c>
      <c r="AO31" s="104">
        <f>'Monthly Budget Data'!AY31</f>
        <v>0</v>
      </c>
      <c r="AP31" s="104">
        <f>'Monthly Budget Data'!AX31</f>
        <v>0</v>
      </c>
      <c r="AQ31" s="104">
        <f>'Monthly Budget Data'!AZ31</f>
        <v>0</v>
      </c>
    </row>
    <row r="32" spans="1:43">
      <c r="A32" s="166">
        <f>'Input Data'!A31</f>
        <v>41848</v>
      </c>
      <c r="B32" s="355">
        <f>'Monthly Budget Data'!G32</f>
        <v>119483.95573796812</v>
      </c>
      <c r="C32" s="105"/>
      <c r="D32" s="104">
        <f>'Monthly Budget Data'!K32</f>
        <v>86961.611389323341</v>
      </c>
      <c r="E32" s="104">
        <f>'Monthly Budget Data'!J32</f>
        <v>30646.465133744288</v>
      </c>
      <c r="F32" s="104">
        <f>'Monthly Budget Data'!L32</f>
        <v>0</v>
      </c>
      <c r="H32" s="355">
        <f>'Monthly Budget Data'!O32</f>
        <v>89715.648219697046</v>
      </c>
      <c r="I32" s="104">
        <f>'Monthly Budget Data'!N32</f>
        <v>32500.110909090912</v>
      </c>
      <c r="J32" s="106">
        <f>'Monthly Budget Data'!P32</f>
        <v>0</v>
      </c>
      <c r="L32" s="355">
        <f>'Monthly Budget Data'!S32</f>
        <v>8090.47346590909</v>
      </c>
      <c r="M32" s="104">
        <f>'Monthly Budget Data'!R32</f>
        <v>65.772727272727266</v>
      </c>
      <c r="N32" s="106">
        <f>'Monthly Budget Data'!T32</f>
        <v>0</v>
      </c>
      <c r="P32" s="355">
        <f>'Monthly Budget Data'!AE32</f>
        <v>629.505</v>
      </c>
      <c r="Q32" s="104">
        <f>'Monthly Budget Data'!AD32</f>
        <v>288</v>
      </c>
      <c r="R32" s="106">
        <f>'Monthly Budget Data'!AF32</f>
        <v>0</v>
      </c>
      <c r="T32" s="355">
        <f>'Monthly Budget Data'!B32</f>
        <v>0</v>
      </c>
      <c r="U32" s="104">
        <f>'Monthly Budget Data'!C32</f>
        <v>11.53565619742008</v>
      </c>
      <c r="V32" s="104">
        <f>'Monthly Budget Data'!D32</f>
        <v>0</v>
      </c>
      <c r="W32" s="106">
        <f>'Monthly Budget Data'!E32</f>
        <v>13.716127684964196</v>
      </c>
      <c r="Y32" s="104">
        <f>'Monthly Budget Data'!AI32</f>
        <v>2199.0154545454548</v>
      </c>
      <c r="Z32" s="104">
        <f>'Monthly Budget Data'!AH32</f>
        <v>469.08181818181816</v>
      </c>
      <c r="AA32" s="104">
        <f>'Monthly Budget Data'!AJ32</f>
        <v>0</v>
      </c>
      <c r="AC32" s="104">
        <f>'Monthly Budget Data'!AM32</f>
        <v>458.28562499999987</v>
      </c>
      <c r="AD32" s="104">
        <f>'Monthly Budget Data'!AL32</f>
        <v>21.636363636363637</v>
      </c>
      <c r="AE32" s="104">
        <f>'Monthly Budget Data'!AN32</f>
        <v>0</v>
      </c>
      <c r="AG32" s="104">
        <f>'Monthly Budget Data'!AQ32</f>
        <v>213.03181818181818</v>
      </c>
      <c r="AH32" s="104">
        <f>'Monthly Budget Data'!AP32</f>
        <v>9.545454545454545</v>
      </c>
      <c r="AI32" s="104">
        <f>'Monthly Budget Data'!AR32</f>
        <v>0</v>
      </c>
      <c r="AJ32" s="223"/>
      <c r="AK32" s="104">
        <f>'Monthly Budget Data'!AU32</f>
        <v>4447.186818181819</v>
      </c>
      <c r="AL32" s="104">
        <f>'Monthly Budget Data'!AT32</f>
        <v>2023.1018181818183</v>
      </c>
      <c r="AM32" s="104">
        <f>'Monthly Budget Data'!AV32</f>
        <v>0</v>
      </c>
      <c r="AO32" s="104">
        <f>'Monthly Budget Data'!AY32</f>
        <v>0</v>
      </c>
      <c r="AP32" s="104">
        <f>'Monthly Budget Data'!AX32</f>
        <v>0</v>
      </c>
      <c r="AQ32" s="104">
        <f>'Monthly Budget Data'!AZ32</f>
        <v>0</v>
      </c>
    </row>
    <row r="33" spans="1:43">
      <c r="A33" s="166">
        <f>'Input Data'!A32</f>
        <v>41849</v>
      </c>
      <c r="B33" s="355">
        <f>'Monthly Budget Data'!G33</f>
        <v>121402.20204923207</v>
      </c>
      <c r="C33" s="105"/>
      <c r="D33" s="104">
        <f>'Monthly Budget Data'!K33</f>
        <v>86961.611389323341</v>
      </c>
      <c r="E33" s="104">
        <f>'Monthly Budget Data'!J33</f>
        <v>30646.465133744288</v>
      </c>
      <c r="F33" s="104">
        <f>'Monthly Budget Data'!L33</f>
        <v>0</v>
      </c>
      <c r="H33" s="355">
        <f>'Monthly Budget Data'!O33</f>
        <v>89715.648219697046</v>
      </c>
      <c r="I33" s="104">
        <f>'Monthly Budget Data'!N33</f>
        <v>32500.110909090912</v>
      </c>
      <c r="J33" s="106">
        <f>'Monthly Budget Data'!P33</f>
        <v>0</v>
      </c>
      <c r="L33" s="355">
        <f>'Monthly Budget Data'!S33</f>
        <v>8090.47346590909</v>
      </c>
      <c r="M33" s="104">
        <f>'Monthly Budget Data'!R33</f>
        <v>65.772727272727266</v>
      </c>
      <c r="N33" s="106">
        <f>'Monthly Budget Data'!T33</f>
        <v>0</v>
      </c>
      <c r="P33" s="355">
        <f>'Monthly Budget Data'!AE33</f>
        <v>629.505</v>
      </c>
      <c r="Q33" s="104">
        <f>'Monthly Budget Data'!AD33</f>
        <v>288</v>
      </c>
      <c r="R33" s="106">
        <f>'Monthly Budget Data'!AF33</f>
        <v>0</v>
      </c>
      <c r="T33" s="355">
        <f>'Monthly Budget Data'!B33</f>
        <v>0</v>
      </c>
      <c r="U33" s="104">
        <f>'Monthly Budget Data'!C33</f>
        <v>11.53565619742008</v>
      </c>
      <c r="V33" s="104">
        <f>'Monthly Budget Data'!D33</f>
        <v>0</v>
      </c>
      <c r="W33" s="106">
        <f>'Monthly Budget Data'!E33</f>
        <v>13.716127684964196</v>
      </c>
      <c r="Y33" s="104">
        <f>'Monthly Budget Data'!AI33</f>
        <v>2199.0154545454548</v>
      </c>
      <c r="Z33" s="104">
        <f>'Monthly Budget Data'!AH33</f>
        <v>469.08181818181816</v>
      </c>
      <c r="AA33" s="104">
        <f>'Monthly Budget Data'!AJ33</f>
        <v>0</v>
      </c>
      <c r="AC33" s="104">
        <f>'Monthly Budget Data'!AM33</f>
        <v>458.28562499999987</v>
      </c>
      <c r="AD33" s="104">
        <f>'Monthly Budget Data'!AL33</f>
        <v>21.636363636363637</v>
      </c>
      <c r="AE33" s="104">
        <f>'Monthly Budget Data'!AN33</f>
        <v>0</v>
      </c>
      <c r="AG33" s="104">
        <f>'Monthly Budget Data'!AQ33</f>
        <v>213.03181818181818</v>
      </c>
      <c r="AH33" s="104">
        <f>'Monthly Budget Data'!AP33</f>
        <v>9.545454545454545</v>
      </c>
      <c r="AI33" s="104">
        <f>'Monthly Budget Data'!AR33</f>
        <v>0</v>
      </c>
      <c r="AJ33" s="223"/>
      <c r="AK33" s="104">
        <f>'Monthly Budget Data'!AU33</f>
        <v>4447.186818181819</v>
      </c>
      <c r="AL33" s="104">
        <f>'Monthly Budget Data'!AT33</f>
        <v>2023.1018181818183</v>
      </c>
      <c r="AM33" s="104">
        <f>'Monthly Budget Data'!AV33</f>
        <v>0</v>
      </c>
      <c r="AO33" s="104">
        <f>'Monthly Budget Data'!AY33</f>
        <v>0</v>
      </c>
      <c r="AP33" s="104">
        <f>'Monthly Budget Data'!AX33</f>
        <v>0</v>
      </c>
      <c r="AQ33" s="104">
        <f>'Monthly Budget Data'!AZ33</f>
        <v>0</v>
      </c>
    </row>
    <row r="34" spans="1:43">
      <c r="A34" s="166">
        <f>'Input Data'!A33</f>
        <v>41850</v>
      </c>
      <c r="B34" s="355"/>
      <c r="C34" s="105"/>
      <c r="D34" s="104"/>
      <c r="E34" s="104"/>
      <c r="F34" s="104"/>
      <c r="H34" s="355"/>
      <c r="I34" s="104"/>
      <c r="J34" s="106"/>
      <c r="L34" s="355"/>
      <c r="M34" s="104"/>
      <c r="N34" s="106"/>
      <c r="P34" s="355"/>
      <c r="Q34" s="104"/>
      <c r="R34" s="106"/>
      <c r="T34" s="355"/>
      <c r="U34" s="104"/>
      <c r="V34" s="104"/>
      <c r="W34" s="106"/>
      <c r="Y34" s="104"/>
      <c r="Z34" s="104"/>
      <c r="AA34" s="104"/>
      <c r="AC34" s="104"/>
      <c r="AD34" s="104"/>
      <c r="AE34" s="104"/>
      <c r="AG34" s="104"/>
      <c r="AH34" s="104"/>
      <c r="AI34" s="104"/>
      <c r="AK34" s="104"/>
      <c r="AL34" s="104"/>
      <c r="AM34" s="104"/>
      <c r="AO34" s="104"/>
      <c r="AP34" s="104"/>
      <c r="AQ34" s="104"/>
    </row>
    <row r="35" spans="1:43">
      <c r="A35" s="166">
        <f>'Input Data'!A34</f>
        <v>41851</v>
      </c>
      <c r="B35" s="355"/>
      <c r="C35" s="105"/>
      <c r="D35" s="104"/>
      <c r="E35" s="104"/>
      <c r="F35" s="104"/>
      <c r="H35" s="368"/>
      <c r="I35" s="333"/>
      <c r="J35" s="369"/>
      <c r="L35" s="368"/>
      <c r="M35" s="333"/>
      <c r="N35" s="369"/>
      <c r="P35" s="368"/>
      <c r="Q35" s="333"/>
      <c r="R35" s="369"/>
      <c r="T35" s="368"/>
      <c r="U35" s="333"/>
      <c r="V35" s="333"/>
      <c r="W35" s="369"/>
      <c r="Y35" s="333"/>
      <c r="Z35" s="333"/>
      <c r="AA35" s="333"/>
      <c r="AC35" s="333"/>
      <c r="AD35" s="333"/>
      <c r="AE35" s="333"/>
      <c r="AG35" s="333"/>
      <c r="AH35" s="333"/>
      <c r="AI35" s="333"/>
      <c r="AK35" s="333"/>
      <c r="AL35" s="333"/>
      <c r="AM35" s="333"/>
      <c r="AO35" s="333"/>
      <c r="AP35" s="333"/>
      <c r="AQ35" s="333"/>
    </row>
    <row r="36" spans="1:43">
      <c r="B36" s="105"/>
      <c r="C36" s="105"/>
      <c r="D36" s="105"/>
      <c r="E36" s="105"/>
      <c r="F36" s="105"/>
      <c r="H36" s="105"/>
      <c r="I36" s="105"/>
      <c r="J36" s="105"/>
      <c r="L36" s="105"/>
      <c r="M36" s="105"/>
      <c r="N36" s="105"/>
      <c r="P36" s="105"/>
      <c r="Q36" s="105"/>
      <c r="R36" s="105"/>
      <c r="T36" s="105"/>
      <c r="U36" s="105"/>
      <c r="V36" s="105"/>
      <c r="W36" s="105"/>
      <c r="Y36" s="96"/>
      <c r="Z36" s="96"/>
      <c r="AA36" s="96"/>
      <c r="AC36" s="96"/>
      <c r="AD36" s="96"/>
      <c r="AE36" s="96"/>
      <c r="AG36" s="391"/>
      <c r="AH36" s="391"/>
      <c r="AI36" s="391"/>
      <c r="AK36" s="391"/>
      <c r="AL36" s="391"/>
      <c r="AM36" s="391"/>
      <c r="AO36" s="391"/>
      <c r="AP36" s="391"/>
      <c r="AQ36" s="391"/>
    </row>
    <row r="37" spans="1:43">
      <c r="B37" s="96">
        <f>SUM(B5:B35)</f>
        <v>3300053.7300169226</v>
      </c>
      <c r="C37" s="391"/>
      <c r="D37" s="391">
        <f>SUM(D5:D36)</f>
        <v>1816540.9659970559</v>
      </c>
      <c r="E37" s="391">
        <f>SUM(E5:E36)</f>
        <v>872582.30115219473</v>
      </c>
      <c r="F37" s="391">
        <f>SUM(F5:F36)</f>
        <v>618469.9056847099</v>
      </c>
      <c r="H37" s="96">
        <f>SUM(H5:H35)</f>
        <v>1872694.8435606067</v>
      </c>
      <c r="I37" s="96">
        <f>SUM(I5:I35)</f>
        <v>913008.3181818187</v>
      </c>
      <c r="J37" s="96">
        <f>SUM(J5:J35)</f>
        <v>627055.03333333356</v>
      </c>
      <c r="L37" s="96">
        <f>SUM(L5:L35)</f>
        <v>166026.49306818173</v>
      </c>
      <c r="M37" s="96">
        <f>SUM(M5:M35)</f>
        <v>1764.4545454545453</v>
      </c>
      <c r="N37" s="96">
        <f>SUM(N5:N35)</f>
        <v>33736.19</v>
      </c>
      <c r="P37" s="391">
        <f>SUM(P5:P35)</f>
        <v>13166.099999999995</v>
      </c>
      <c r="Q37" s="391">
        <f>SUM(Q5:Q35)</f>
        <v>8352</v>
      </c>
      <c r="R37" s="391">
        <f>SUM(R5:R35)</f>
        <v>4608</v>
      </c>
      <c r="T37" s="96">
        <f>SUM(T5:T35)</f>
        <v>0.2</v>
      </c>
      <c r="U37" s="96">
        <f>SUM(U5:U35)</f>
        <v>330.12770611329228</v>
      </c>
      <c r="V37" s="96">
        <f>SUM(V5:V35)</f>
        <v>0</v>
      </c>
      <c r="W37" s="96">
        <f>SUM(W5:W35)</f>
        <v>387.66629474940316</v>
      </c>
      <c r="Y37" s="105">
        <f>SUM(Y5:Y35)</f>
        <v>45761.989090909097</v>
      </c>
      <c r="Z37" s="105">
        <f>SUM(Z5:Z35)</f>
        <v>13599.63636363636</v>
      </c>
      <c r="AA37" s="105">
        <f>SUM(AA5:AA35)</f>
        <v>14253.44</v>
      </c>
      <c r="AC37" s="105">
        <f>SUM(AC5:AC35)</f>
        <v>9519.0487499999963</v>
      </c>
      <c r="AD37" s="105">
        <f>SUM(AD5:AD35)</f>
        <v>1615.7272727272734</v>
      </c>
      <c r="AE37" s="105">
        <f>SUM(AE5:AE35)</f>
        <v>2826.6899999999991</v>
      </c>
      <c r="AG37" s="105">
        <f>SUM(AG5:AG35)</f>
        <v>5219.8863636363667</v>
      </c>
      <c r="AH37" s="105">
        <f>SUM(AH5:AH35)</f>
        <v>190.90909090909082</v>
      </c>
      <c r="AI37" s="105">
        <f>SUM(AI5:AI35)</f>
        <v>7674</v>
      </c>
      <c r="AK37" s="105">
        <f>SUM(AK5:AK35)</f>
        <v>93054.756363636363</v>
      </c>
      <c r="AL37" s="105">
        <f>SUM(AL5:AL35)</f>
        <v>56792.136363636397</v>
      </c>
      <c r="AM37" s="105">
        <f>SUM(AM5:AM35)</f>
        <v>32888.159999999996</v>
      </c>
      <c r="AO37" s="105">
        <f>SUM(AO5:AO35)</f>
        <v>0</v>
      </c>
      <c r="AP37" s="105">
        <f>SUM(AP5:AP35)</f>
        <v>0</v>
      </c>
      <c r="AQ37" s="105">
        <f>SUM(AQ5:AQ35)</f>
        <v>0</v>
      </c>
    </row>
    <row r="38" spans="1:43" ht="14.25">
      <c r="V38" s="93"/>
      <c r="W38" s="93"/>
      <c r="AC38" s="122"/>
      <c r="AD38" s="122"/>
      <c r="AE38" s="122"/>
      <c r="AG38" s="122"/>
      <c r="AH38" s="122"/>
      <c r="AI38" s="122"/>
      <c r="AK38" s="122"/>
      <c r="AL38" s="122"/>
      <c r="AM38" s="122"/>
      <c r="AO38" s="122"/>
      <c r="AP38" s="122"/>
      <c r="AQ38" s="122"/>
    </row>
    <row r="39" spans="1:43">
      <c r="B39" s="276">
        <f>SUM(B5:B35)</f>
        <v>3300053.7300169226</v>
      </c>
      <c r="C39" s="430"/>
      <c r="D39" s="276"/>
      <c r="E39" s="276"/>
      <c r="F39" s="276">
        <f>D37+E37+F37</f>
        <v>3307593.1728339605</v>
      </c>
      <c r="J39" s="276">
        <f>H37+I37+J37</f>
        <v>3412758.1950757592</v>
      </c>
      <c r="N39" s="276">
        <f>L37+M37+N37</f>
        <v>201527.1376136363</v>
      </c>
      <c r="R39" s="276">
        <f>P37+Q37+R37</f>
        <v>26126.099999999995</v>
      </c>
      <c r="V39" s="93"/>
      <c r="W39" s="93"/>
      <c r="AA39" s="105">
        <f>Y37+Z37+AA37</f>
        <v>73615.06545454546</v>
      </c>
      <c r="AD39" s="93"/>
      <c r="AE39" s="105">
        <f>AC37+AD37+AE37</f>
        <v>13961.466022727269</v>
      </c>
      <c r="AG39"/>
      <c r="AH39" s="93"/>
      <c r="AI39" s="105">
        <f>AG37+AH37+AI37</f>
        <v>13084.795454545458</v>
      </c>
      <c r="AK39"/>
      <c r="AL39" s="93"/>
      <c r="AM39" s="105">
        <f>AK37+AL37+AM37</f>
        <v>182735.05272727276</v>
      </c>
      <c r="AP39" s="93"/>
      <c r="AQ39" s="105">
        <f>AO37+AP37+AQ37</f>
        <v>0</v>
      </c>
    </row>
    <row r="40" spans="1:43" ht="14.25">
      <c r="T40" s="405">
        <f ca="1">OFFSET(T4,'Input Data'!$A$1,)</f>
        <v>0</v>
      </c>
      <c r="U40" s="405">
        <f ca="1">OFFSET(U4,'Input Data'!$A$1,)</f>
        <v>11.53565619742008</v>
      </c>
      <c r="V40" s="405">
        <f ca="1">OFFSET(V4,'Input Data'!$A$1,)</f>
        <v>0</v>
      </c>
      <c r="W40" s="405">
        <f ca="1">OFFSET(W4,'Input Data'!$A$1,)</f>
        <v>13.716127684964196</v>
      </c>
    </row>
  </sheetData>
  <mergeCells count="16">
    <mergeCell ref="H1:J1"/>
    <mergeCell ref="L1:N1"/>
    <mergeCell ref="T2:W2"/>
    <mergeCell ref="T1:W1"/>
    <mergeCell ref="D1:F1"/>
    <mergeCell ref="AK1:AM1"/>
    <mergeCell ref="AK2:AM2"/>
    <mergeCell ref="P1:R1"/>
    <mergeCell ref="AO1:AQ1"/>
    <mergeCell ref="AO2:AQ2"/>
    <mergeCell ref="AG1:AI1"/>
    <mergeCell ref="AG2:AI2"/>
    <mergeCell ref="Y2:AA2"/>
    <mergeCell ref="Y1:AA1"/>
    <mergeCell ref="AC2:AE2"/>
    <mergeCell ref="AC1:A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AZ47"/>
  <sheetViews>
    <sheetView zoomScale="89" zoomScaleNormal="89" workbookViewId="0">
      <pane xSplit="1" ySplit="3" topLeftCell="AR177" activePane="bottomRight" state="frozen"/>
      <selection activeCell="M28" sqref="M28"/>
      <selection pane="topRight" activeCell="M28" sqref="M28"/>
      <selection pane="bottomLeft" activeCell="M28" sqref="M28"/>
      <selection pane="bottomRight" sqref="A1:BQ1048576"/>
    </sheetView>
  </sheetViews>
  <sheetFormatPr defaultRowHeight="12.75"/>
  <cols>
    <col min="2" max="3" width="10.42578125" style="396" customWidth="1"/>
    <col min="4" max="5" width="15.7109375" style="396" bestFit="1" customWidth="1"/>
    <col min="6" max="6" width="5.140625" customWidth="1"/>
    <col min="7" max="7" width="17.140625" customWidth="1"/>
    <col min="8" max="8" width="5" customWidth="1"/>
    <col min="9" max="9" width="9.140625" customWidth="1"/>
    <col min="12" max="12" width="12.28515625" customWidth="1"/>
    <col min="13" max="13" width="4.140625" style="93" customWidth="1"/>
    <col min="14" max="15" width="10.5703125" customWidth="1"/>
    <col min="16" max="16" width="12.140625" customWidth="1"/>
    <col min="17" max="17" width="5" customWidth="1"/>
    <col min="18" max="20" width="10.5703125" customWidth="1"/>
    <col min="21" max="21" width="5" customWidth="1"/>
    <col min="22" max="24" width="10.5703125" customWidth="1"/>
    <col min="25" max="25" width="5" customWidth="1"/>
    <col min="26" max="28" width="10.5703125" customWidth="1"/>
    <col min="29" max="29" width="5" customWidth="1"/>
    <col min="30" max="32" width="10.7109375" customWidth="1"/>
    <col min="33" max="33" width="5" customWidth="1"/>
    <col min="37" max="37" width="5" customWidth="1"/>
    <col min="41" max="41" width="5.140625" customWidth="1"/>
  </cols>
  <sheetData>
    <row r="2" spans="1:52">
      <c r="B2" s="697" t="s">
        <v>186</v>
      </c>
      <c r="C2" s="697"/>
      <c r="D2" s="697"/>
      <c r="E2" s="697"/>
      <c r="F2" s="96"/>
      <c r="G2" s="565" t="s">
        <v>318</v>
      </c>
      <c r="H2" s="184"/>
      <c r="I2" s="285"/>
      <c r="J2" s="705" t="s">
        <v>289</v>
      </c>
      <c r="K2" s="697"/>
      <c r="L2" s="697"/>
      <c r="M2" s="433"/>
      <c r="N2" s="697" t="s">
        <v>255</v>
      </c>
      <c r="O2" s="697"/>
      <c r="P2" s="697"/>
      <c r="Q2" s="389"/>
      <c r="R2" s="697" t="s">
        <v>196</v>
      </c>
      <c r="S2" s="697"/>
      <c r="T2" s="697"/>
      <c r="U2" s="395"/>
      <c r="V2" s="697" t="s">
        <v>248</v>
      </c>
      <c r="W2" s="697"/>
      <c r="X2" s="697"/>
      <c r="Y2" s="390"/>
      <c r="Z2" s="697" t="s">
        <v>250</v>
      </c>
      <c r="AA2" s="697"/>
      <c r="AB2" s="697"/>
      <c r="AD2" s="697" t="s">
        <v>248</v>
      </c>
      <c r="AE2" s="697"/>
      <c r="AF2" s="697"/>
      <c r="AH2" s="697" t="s">
        <v>256</v>
      </c>
      <c r="AI2" s="697"/>
      <c r="AJ2" s="697"/>
      <c r="AL2" s="697" t="s">
        <v>257</v>
      </c>
      <c r="AM2" s="697"/>
      <c r="AN2" s="697"/>
      <c r="AP2" s="705" t="s">
        <v>261</v>
      </c>
      <c r="AQ2" s="697"/>
      <c r="AR2" s="697"/>
      <c r="AT2" s="705" t="s">
        <v>262</v>
      </c>
      <c r="AU2" s="697"/>
      <c r="AV2" s="697"/>
      <c r="AX2" s="705" t="s">
        <v>269</v>
      </c>
      <c r="AY2" s="697"/>
      <c r="AZ2" s="697"/>
    </row>
    <row r="3" spans="1:52" ht="25.5">
      <c r="B3" s="396" t="s">
        <v>184</v>
      </c>
      <c r="C3" s="396" t="s">
        <v>185</v>
      </c>
      <c r="D3" s="406" t="s">
        <v>403</v>
      </c>
      <c r="E3" s="406" t="s">
        <v>404</v>
      </c>
      <c r="F3" s="131"/>
      <c r="G3" s="564" t="s">
        <v>286</v>
      </c>
      <c r="H3" s="139"/>
      <c r="I3" s="139" t="s">
        <v>164</v>
      </c>
      <c r="J3" s="139" t="s">
        <v>76</v>
      </c>
      <c r="K3" s="139" t="s">
        <v>77</v>
      </c>
      <c r="L3" s="139" t="s">
        <v>78</v>
      </c>
      <c r="M3" s="139"/>
      <c r="N3" s="139" t="s">
        <v>79</v>
      </c>
      <c r="O3" s="139" t="s">
        <v>80</v>
      </c>
      <c r="P3" s="139" t="s">
        <v>81</v>
      </c>
      <c r="Q3" s="139"/>
      <c r="R3" s="139" t="s">
        <v>79</v>
      </c>
      <c r="S3" s="139" t="s">
        <v>80</v>
      </c>
      <c r="T3" s="139" t="s">
        <v>81</v>
      </c>
      <c r="U3" s="139"/>
      <c r="V3" s="139" t="s">
        <v>79</v>
      </c>
      <c r="W3" s="139" t="s">
        <v>80</v>
      </c>
      <c r="X3" s="139" t="s">
        <v>81</v>
      </c>
      <c r="Y3" s="139"/>
      <c r="Z3" s="139" t="s">
        <v>79</v>
      </c>
      <c r="AA3" s="139" t="s">
        <v>80</v>
      </c>
      <c r="AB3" s="139" t="s">
        <v>81</v>
      </c>
      <c r="AD3" s="139" t="s">
        <v>79</v>
      </c>
      <c r="AE3" s="139" t="s">
        <v>80</v>
      </c>
      <c r="AF3" s="139" t="s">
        <v>81</v>
      </c>
      <c r="AH3" s="132" t="s">
        <v>74</v>
      </c>
      <c r="AI3" s="132" t="s">
        <v>73</v>
      </c>
      <c r="AJ3" s="132" t="s">
        <v>75</v>
      </c>
      <c r="AL3" s="132" t="s">
        <v>74</v>
      </c>
      <c r="AM3" s="132" t="s">
        <v>73</v>
      </c>
      <c r="AN3" s="132" t="s">
        <v>75</v>
      </c>
      <c r="AP3" t="s">
        <v>74</v>
      </c>
      <c r="AQ3" t="s">
        <v>73</v>
      </c>
      <c r="AR3" t="s">
        <v>75</v>
      </c>
      <c r="AT3" t="s">
        <v>74</v>
      </c>
      <c r="AU3" t="s">
        <v>73</v>
      </c>
      <c r="AV3" t="s">
        <v>75</v>
      </c>
      <c r="AX3" t="s">
        <v>74</v>
      </c>
      <c r="AY3" t="s">
        <v>73</v>
      </c>
      <c r="AZ3" t="s">
        <v>75</v>
      </c>
    </row>
    <row r="4" spans="1:52" ht="14.25">
      <c r="B4" s="397"/>
      <c r="C4" s="397"/>
      <c r="D4" s="397"/>
      <c r="E4" s="397"/>
      <c r="F4" s="1"/>
      <c r="G4" s="5"/>
      <c r="H4" s="5"/>
      <c r="I4" s="5"/>
      <c r="J4" s="5"/>
      <c r="K4" s="5"/>
      <c r="L4" s="5"/>
      <c r="M4" s="303"/>
      <c r="N4" s="5"/>
      <c r="O4" s="5"/>
      <c r="P4" s="5"/>
      <c r="Q4" s="5"/>
      <c r="R4" s="5"/>
      <c r="S4" s="5"/>
      <c r="T4" s="100"/>
      <c r="U4" s="100"/>
      <c r="V4" s="5"/>
      <c r="W4" s="5"/>
      <c r="X4" s="100"/>
      <c r="Y4" s="100"/>
      <c r="Z4" s="100"/>
      <c r="AA4" s="100"/>
      <c r="AB4" s="100"/>
      <c r="AD4" s="5"/>
      <c r="AE4" s="5"/>
      <c r="AF4" s="100"/>
      <c r="AH4" s="118"/>
      <c r="AI4" s="118"/>
      <c r="AJ4" s="119"/>
      <c r="AL4" s="119"/>
      <c r="AM4" s="119"/>
      <c r="AN4" s="119"/>
    </row>
    <row r="5" spans="1:52">
      <c r="A5" s="166">
        <f>'Input Data'!A4</f>
        <v>41821</v>
      </c>
      <c r="B5" s="668">
        <v>0.1</v>
      </c>
      <c r="C5" s="669">
        <v>10.000869321368482</v>
      </c>
      <c r="D5" s="669">
        <v>0</v>
      </c>
      <c r="E5" s="670">
        <v>11.983042959427202</v>
      </c>
      <c r="F5" s="96"/>
      <c r="G5" s="305">
        <v>114217</v>
      </c>
      <c r="H5" s="112"/>
      <c r="I5" s="102" t="e">
        <f>SUM(#REF!+G5+#REF!)-1037</f>
        <v>#REF!</v>
      </c>
      <c r="J5" s="305">
        <v>30646.465133744288</v>
      </c>
      <c r="K5" s="305">
        <v>86961.611389323341</v>
      </c>
      <c r="L5" s="306">
        <v>0</v>
      </c>
      <c r="M5" s="391"/>
      <c r="N5" s="324">
        <v>32500.110909090912</v>
      </c>
      <c r="O5" s="324">
        <v>89715.648219697046</v>
      </c>
      <c r="P5" s="324">
        <v>0</v>
      </c>
      <c r="Q5" s="392"/>
      <c r="R5" s="324">
        <v>65.772727272727266</v>
      </c>
      <c r="S5" s="324">
        <v>8090.47346590909</v>
      </c>
      <c r="T5" s="324">
        <v>0</v>
      </c>
      <c r="U5" s="392"/>
      <c r="V5" s="324"/>
      <c r="W5" s="324"/>
      <c r="X5" s="324"/>
      <c r="Y5" s="392"/>
      <c r="Z5" s="324"/>
      <c r="AA5" s="324"/>
      <c r="AB5" s="324"/>
      <c r="AD5" s="324">
        <v>288</v>
      </c>
      <c r="AE5" s="324">
        <v>629.505</v>
      </c>
      <c r="AF5" s="324">
        <v>0</v>
      </c>
      <c r="AH5" s="376">
        <v>469.08181818181816</v>
      </c>
      <c r="AI5" s="376">
        <v>2199.0154545454548</v>
      </c>
      <c r="AJ5" s="376">
        <v>0</v>
      </c>
      <c r="AL5" s="324">
        <v>21.636363636363637</v>
      </c>
      <c r="AM5" s="324">
        <v>458.28562499999987</v>
      </c>
      <c r="AN5" s="324">
        <v>0</v>
      </c>
      <c r="AP5" s="324">
        <v>9.545454545454545</v>
      </c>
      <c r="AQ5" s="324">
        <v>213.03181818181818</v>
      </c>
      <c r="AR5" s="324">
        <v>0</v>
      </c>
      <c r="AT5" s="324">
        <v>2023.1018181818183</v>
      </c>
      <c r="AU5" s="324">
        <v>4447.186818181819</v>
      </c>
      <c r="AV5" s="324">
        <v>0</v>
      </c>
      <c r="AX5" s="324">
        <v>0</v>
      </c>
      <c r="AY5" s="324">
        <v>0</v>
      </c>
      <c r="AZ5" s="324">
        <v>0</v>
      </c>
    </row>
    <row r="6" spans="1:52">
      <c r="A6" s="166">
        <f>'Input Data'!A5</f>
        <v>41822</v>
      </c>
      <c r="B6" s="671">
        <v>0.05</v>
      </c>
      <c r="C6" s="672">
        <v>10.050378575434664</v>
      </c>
      <c r="D6" s="672">
        <v>0</v>
      </c>
      <c r="E6" s="673">
        <v>12.18110978520286</v>
      </c>
      <c r="F6" s="96"/>
      <c r="G6" s="307">
        <v>114520</v>
      </c>
      <c r="H6" s="112"/>
      <c r="I6" s="102" t="e">
        <f>SUM(#REF!+G6+#REF!)-1037</f>
        <v>#REF!</v>
      </c>
      <c r="J6" s="307">
        <v>30646.465133744288</v>
      </c>
      <c r="K6" s="307">
        <v>86961.611389323341</v>
      </c>
      <c r="L6" s="307">
        <v>0</v>
      </c>
      <c r="M6" s="391"/>
      <c r="N6" s="307">
        <v>32500.110909090912</v>
      </c>
      <c r="O6" s="307">
        <v>89715.648219697046</v>
      </c>
      <c r="P6" s="307">
        <v>0</v>
      </c>
      <c r="Q6" s="392"/>
      <c r="R6" s="307">
        <v>65.772727272727266</v>
      </c>
      <c r="S6" s="307">
        <v>8090.47346590909</v>
      </c>
      <c r="T6" s="307">
        <v>0</v>
      </c>
      <c r="U6" s="392"/>
      <c r="V6" s="307"/>
      <c r="W6" s="307"/>
      <c r="X6" s="307"/>
      <c r="Y6" s="392"/>
      <c r="Z6" s="324"/>
      <c r="AA6" s="324"/>
      <c r="AB6" s="324"/>
      <c r="AD6" s="307">
        <v>288</v>
      </c>
      <c r="AE6" s="307">
        <v>629.505</v>
      </c>
      <c r="AF6" s="307">
        <v>0</v>
      </c>
      <c r="AH6" s="307">
        <v>469.08181818181816</v>
      </c>
      <c r="AI6" s="307">
        <v>2199.0154545454548</v>
      </c>
      <c r="AJ6" s="307">
        <v>0</v>
      </c>
      <c r="AL6" s="307">
        <v>21.636363636363637</v>
      </c>
      <c r="AM6" s="307">
        <v>458.28562499999987</v>
      </c>
      <c r="AN6" s="307">
        <v>0</v>
      </c>
      <c r="AP6" s="324">
        <v>9.545454545454545</v>
      </c>
      <c r="AQ6" s="324">
        <v>213.03181818181818</v>
      </c>
      <c r="AR6" s="324">
        <v>0</v>
      </c>
      <c r="AT6" s="324">
        <v>2023.1018181818183</v>
      </c>
      <c r="AU6" s="324">
        <v>4447.186818181819</v>
      </c>
      <c r="AV6" s="324">
        <v>0</v>
      </c>
      <c r="AX6" s="324">
        <v>0</v>
      </c>
      <c r="AY6" s="324">
        <v>0</v>
      </c>
      <c r="AZ6" s="324">
        <v>0</v>
      </c>
    </row>
    <row r="7" spans="1:52">
      <c r="A7" s="166">
        <f>'Input Data'!A6</f>
        <v>41823</v>
      </c>
      <c r="B7" s="671">
        <v>0.05</v>
      </c>
      <c r="C7" s="672">
        <v>10.099887829500842</v>
      </c>
      <c r="D7" s="672">
        <v>0</v>
      </c>
      <c r="E7" s="673">
        <v>12.18110978520286</v>
      </c>
      <c r="F7" s="96"/>
      <c r="G7" s="308">
        <v>114675</v>
      </c>
      <c r="H7" s="112"/>
      <c r="I7" s="102" t="e">
        <f>SUM(#REF!+G7+#REF!)-1037</f>
        <v>#REF!</v>
      </c>
      <c r="J7" s="308">
        <v>30646.465133744288</v>
      </c>
      <c r="K7" s="308">
        <v>86961.611389323341</v>
      </c>
      <c r="L7" s="308">
        <v>0</v>
      </c>
      <c r="M7" s="391"/>
      <c r="N7" s="307">
        <v>32500.110909090912</v>
      </c>
      <c r="O7" s="307">
        <v>89715.648219697046</v>
      </c>
      <c r="P7" s="307">
        <v>0</v>
      </c>
      <c r="Q7" s="392"/>
      <c r="R7" s="307">
        <v>65.772727272727266</v>
      </c>
      <c r="S7" s="307">
        <v>8090.47346590909</v>
      </c>
      <c r="T7" s="307">
        <v>0</v>
      </c>
      <c r="U7" s="392"/>
      <c r="V7" s="307"/>
      <c r="W7" s="307"/>
      <c r="X7" s="307"/>
      <c r="Y7" s="392"/>
      <c r="Z7" s="324"/>
      <c r="AA7" s="324"/>
      <c r="AB7" s="324"/>
      <c r="AD7" s="307">
        <v>288</v>
      </c>
      <c r="AE7" s="307">
        <v>629.505</v>
      </c>
      <c r="AF7" s="307">
        <v>0</v>
      </c>
      <c r="AH7" s="307">
        <v>469.08181818181816</v>
      </c>
      <c r="AI7" s="307">
        <v>2199.0154545454548</v>
      </c>
      <c r="AJ7" s="307">
        <v>0</v>
      </c>
      <c r="AL7" s="307">
        <v>21.636363636363637</v>
      </c>
      <c r="AM7" s="307">
        <v>458.28562499999987</v>
      </c>
      <c r="AN7" s="307">
        <v>0</v>
      </c>
      <c r="AP7" s="324">
        <v>9.545454545454545</v>
      </c>
      <c r="AQ7" s="324">
        <v>213.03181818181818</v>
      </c>
      <c r="AR7" s="324">
        <v>0</v>
      </c>
      <c r="AT7" s="324">
        <v>2023.1018181818183</v>
      </c>
      <c r="AU7" s="324">
        <v>4447.186818181819</v>
      </c>
      <c r="AV7" s="324">
        <v>0</v>
      </c>
      <c r="AX7" s="324">
        <v>0</v>
      </c>
      <c r="AY7" s="324">
        <v>0</v>
      </c>
      <c r="AZ7" s="324">
        <v>0</v>
      </c>
    </row>
    <row r="8" spans="1:52">
      <c r="A8" s="166">
        <f>'Input Data'!A7</f>
        <v>41824</v>
      </c>
      <c r="B8" s="671">
        <v>0</v>
      </c>
      <c r="C8" s="672">
        <v>10.198906337633204</v>
      </c>
      <c r="D8" s="672">
        <v>0</v>
      </c>
      <c r="E8" s="673">
        <v>12.18110978520286</v>
      </c>
      <c r="F8" s="96"/>
      <c r="G8" s="308">
        <v>102400</v>
      </c>
      <c r="H8" s="112"/>
      <c r="I8" s="102" t="e">
        <f>SUM(#REF!+G8+#REF!)-1037</f>
        <v>#REF!</v>
      </c>
      <c r="J8" s="308">
        <v>28850.333164145421</v>
      </c>
      <c r="K8" s="308">
        <v>77308.738210588737</v>
      </c>
      <c r="L8" s="308">
        <v>0</v>
      </c>
      <c r="M8" s="391"/>
      <c r="N8" s="307">
        <v>29222.900000000005</v>
      </c>
      <c r="O8" s="307">
        <v>78381.879166666695</v>
      </c>
      <c r="P8" s="307">
        <v>0</v>
      </c>
      <c r="Q8" s="392"/>
      <c r="R8" s="307">
        <v>49.888888888888886</v>
      </c>
      <c r="S8" s="307">
        <v>4217.0237500000003</v>
      </c>
      <c r="T8" s="307">
        <v>0</v>
      </c>
      <c r="U8" s="392"/>
      <c r="V8" s="307"/>
      <c r="W8" s="307"/>
      <c r="X8" s="307"/>
      <c r="Y8" s="392"/>
      <c r="Z8" s="324"/>
      <c r="AA8" s="324"/>
      <c r="AB8" s="324"/>
      <c r="AD8" s="307">
        <v>288</v>
      </c>
      <c r="AE8" s="307">
        <v>576</v>
      </c>
      <c r="AF8" s="307">
        <v>0</v>
      </c>
      <c r="AH8" s="307">
        <v>468.66666666666669</v>
      </c>
      <c r="AI8" s="307">
        <v>1781.68</v>
      </c>
      <c r="AJ8" s="307">
        <v>0</v>
      </c>
      <c r="AL8" s="307">
        <v>131.44444444444446</v>
      </c>
      <c r="AM8" s="307">
        <v>353.33624999999995</v>
      </c>
      <c r="AN8" s="307">
        <v>0</v>
      </c>
      <c r="AP8" s="324">
        <v>0</v>
      </c>
      <c r="AQ8" s="324">
        <v>959.25</v>
      </c>
      <c r="AR8" s="324">
        <v>0</v>
      </c>
      <c r="AT8" s="324">
        <v>1814.4555555555555</v>
      </c>
      <c r="AU8" s="324">
        <v>4111.0199999999995</v>
      </c>
      <c r="AV8" s="324">
        <v>0</v>
      </c>
      <c r="AX8" s="324">
        <v>0</v>
      </c>
      <c r="AY8" s="324">
        <v>0</v>
      </c>
      <c r="AZ8" s="324">
        <v>0</v>
      </c>
    </row>
    <row r="9" spans="1:52">
      <c r="A9" s="166">
        <f>'Input Data'!A8</f>
        <v>41825</v>
      </c>
      <c r="B9" s="671">
        <v>0</v>
      </c>
      <c r="C9" s="672">
        <v>10.198906337633204</v>
      </c>
      <c r="D9" s="672">
        <v>0</v>
      </c>
      <c r="E9" s="673">
        <v>12.230626491646772</v>
      </c>
      <c r="F9" s="96"/>
      <c r="G9" s="308">
        <v>103814.23889564232</v>
      </c>
      <c r="H9" s="112"/>
      <c r="I9" s="102" t="e">
        <f>SUM(#REF!+G9+#REF!)-1037</f>
        <v>#REF!</v>
      </c>
      <c r="J9" s="308">
        <v>28850.333164145421</v>
      </c>
      <c r="K9" s="308">
        <v>0</v>
      </c>
      <c r="L9" s="308">
        <v>77308.738210588737</v>
      </c>
      <c r="M9" s="391"/>
      <c r="N9" s="307">
        <v>29222.900000000005</v>
      </c>
      <c r="O9" s="307">
        <v>0</v>
      </c>
      <c r="P9" s="307">
        <v>78381.879166666695</v>
      </c>
      <c r="Q9" s="392"/>
      <c r="R9" s="307">
        <v>49.888888888888886</v>
      </c>
      <c r="S9" s="307">
        <v>0</v>
      </c>
      <c r="T9" s="307">
        <v>4217.0237500000003</v>
      </c>
      <c r="U9" s="392"/>
      <c r="V9" s="307"/>
      <c r="W9" s="307"/>
      <c r="X9" s="307"/>
      <c r="Y9" s="392"/>
      <c r="Z9" s="324"/>
      <c r="AA9" s="324"/>
      <c r="AB9" s="324"/>
      <c r="AD9" s="307">
        <v>288</v>
      </c>
      <c r="AE9" s="307">
        <v>0</v>
      </c>
      <c r="AF9" s="307">
        <v>576</v>
      </c>
      <c r="AH9" s="307">
        <v>468.66666666666669</v>
      </c>
      <c r="AI9" s="307">
        <v>0</v>
      </c>
      <c r="AJ9" s="307">
        <v>1781.68</v>
      </c>
      <c r="AL9" s="307">
        <v>131.44444444444446</v>
      </c>
      <c r="AM9" s="307">
        <v>0</v>
      </c>
      <c r="AN9" s="307">
        <v>353.33624999999995</v>
      </c>
      <c r="AP9" s="324">
        <v>0</v>
      </c>
      <c r="AQ9" s="324">
        <v>0</v>
      </c>
      <c r="AR9" s="324">
        <v>959.25</v>
      </c>
      <c r="AT9" s="324">
        <v>1814.4555555555555</v>
      </c>
      <c r="AU9" s="324">
        <v>0</v>
      </c>
      <c r="AV9" s="324">
        <v>4111.0199999999995</v>
      </c>
      <c r="AX9" s="324">
        <v>0</v>
      </c>
      <c r="AY9" s="324">
        <v>0</v>
      </c>
      <c r="AZ9" s="324">
        <v>0</v>
      </c>
    </row>
    <row r="10" spans="1:52">
      <c r="A10" s="166">
        <f>'Input Data'!A9</f>
        <v>41826</v>
      </c>
      <c r="B10" s="671">
        <v>0</v>
      </c>
      <c r="C10" s="672">
        <v>10.248415591699384</v>
      </c>
      <c r="D10" s="672">
        <v>0</v>
      </c>
      <c r="E10" s="673">
        <v>12.230626491646772</v>
      </c>
      <c r="F10" s="96"/>
      <c r="G10" s="308">
        <v>102019.04404304497</v>
      </c>
      <c r="H10" s="112"/>
      <c r="I10" s="102" t="e">
        <f>SUM(#REF!+G10+#REF!)-1037</f>
        <v>#REF!</v>
      </c>
      <c r="J10" s="308">
        <v>28850.333164145421</v>
      </c>
      <c r="K10" s="308">
        <v>0</v>
      </c>
      <c r="L10" s="308">
        <v>77308.738210588737</v>
      </c>
      <c r="M10" s="391"/>
      <c r="N10" s="307">
        <v>29222.900000000005</v>
      </c>
      <c r="O10" s="307">
        <v>0</v>
      </c>
      <c r="P10" s="307">
        <v>78381.879166666695</v>
      </c>
      <c r="Q10" s="392"/>
      <c r="R10" s="307">
        <v>49.888888888888886</v>
      </c>
      <c r="S10" s="307">
        <v>0</v>
      </c>
      <c r="T10" s="307">
        <v>4217.0237500000003</v>
      </c>
      <c r="U10" s="392"/>
      <c r="V10" s="307"/>
      <c r="W10" s="307"/>
      <c r="X10" s="307"/>
      <c r="Y10" s="392"/>
      <c r="Z10" s="324"/>
      <c r="AA10" s="324"/>
      <c r="AB10" s="324"/>
      <c r="AD10" s="307">
        <v>288</v>
      </c>
      <c r="AE10" s="307">
        <v>0</v>
      </c>
      <c r="AF10" s="307">
        <v>576</v>
      </c>
      <c r="AH10" s="307">
        <v>468.66666666666669</v>
      </c>
      <c r="AI10" s="307">
        <v>0</v>
      </c>
      <c r="AJ10" s="307">
        <v>1781.68</v>
      </c>
      <c r="AL10" s="307">
        <v>131.44444444444446</v>
      </c>
      <c r="AM10" s="307">
        <v>0</v>
      </c>
      <c r="AN10" s="307">
        <v>353.33624999999995</v>
      </c>
      <c r="AP10" s="324">
        <v>0</v>
      </c>
      <c r="AQ10" s="324">
        <v>0</v>
      </c>
      <c r="AR10" s="324">
        <v>959.25</v>
      </c>
      <c r="AT10" s="324">
        <v>1814.4555555555555</v>
      </c>
      <c r="AU10" s="324">
        <v>0</v>
      </c>
      <c r="AV10" s="324">
        <v>4111.0199999999995</v>
      </c>
      <c r="AX10" s="324">
        <v>0</v>
      </c>
      <c r="AY10" s="324">
        <v>0</v>
      </c>
      <c r="AZ10" s="324">
        <v>0</v>
      </c>
    </row>
    <row r="11" spans="1:52">
      <c r="A11" s="166">
        <f>'Input Data'!A10</f>
        <v>41827</v>
      </c>
      <c r="B11" s="671">
        <v>0</v>
      </c>
      <c r="C11" s="672">
        <v>10.495961862030287</v>
      </c>
      <c r="D11" s="672">
        <v>0</v>
      </c>
      <c r="E11" s="673">
        <v>12.329659904534601</v>
      </c>
      <c r="F11" s="96"/>
      <c r="G11" s="308">
        <v>113767.12141760746</v>
      </c>
      <c r="H11" s="112"/>
      <c r="I11" s="102" t="e">
        <f>SUM(#REF!+G11+#REF!)-1037</f>
        <v>#REF!</v>
      </c>
      <c r="J11" s="308">
        <v>30646.465133744288</v>
      </c>
      <c r="K11" s="308">
        <v>86961.611389323341</v>
      </c>
      <c r="L11" s="308">
        <v>0</v>
      </c>
      <c r="M11" s="391"/>
      <c r="N11" s="307">
        <v>32500.110909090912</v>
      </c>
      <c r="O11" s="307">
        <v>89715.648219697046</v>
      </c>
      <c r="P11" s="307">
        <v>0</v>
      </c>
      <c r="Q11" s="392"/>
      <c r="R11" s="307">
        <v>65.772727272727266</v>
      </c>
      <c r="S11" s="307">
        <v>8090.47346590909</v>
      </c>
      <c r="T11" s="307">
        <v>0</v>
      </c>
      <c r="U11" s="392"/>
      <c r="V11" s="307"/>
      <c r="W11" s="307"/>
      <c r="X11" s="307"/>
      <c r="Y11" s="392"/>
      <c r="Z11" s="324"/>
      <c r="AA11" s="324"/>
      <c r="AB11" s="324"/>
      <c r="AD11" s="307">
        <v>288</v>
      </c>
      <c r="AE11" s="307">
        <v>629.505</v>
      </c>
      <c r="AF11" s="307">
        <v>0</v>
      </c>
      <c r="AH11" s="307">
        <v>469.08181818181816</v>
      </c>
      <c r="AI11" s="307">
        <v>2199.0154545454548</v>
      </c>
      <c r="AJ11" s="307">
        <v>0</v>
      </c>
      <c r="AL11" s="307">
        <v>21.636363636363637</v>
      </c>
      <c r="AM11" s="307">
        <v>458.28562499999987</v>
      </c>
      <c r="AN11" s="307">
        <v>0</v>
      </c>
      <c r="AP11" s="324">
        <v>9.545454545454545</v>
      </c>
      <c r="AQ11" s="324">
        <v>213.03181818181818</v>
      </c>
      <c r="AR11" s="324">
        <v>0</v>
      </c>
      <c r="AT11" s="324">
        <v>2023.1018181818183</v>
      </c>
      <c r="AU11" s="324">
        <v>4447.186818181819</v>
      </c>
      <c r="AV11" s="324">
        <v>0</v>
      </c>
      <c r="AX11" s="324">
        <v>0</v>
      </c>
      <c r="AY11" s="324">
        <v>0</v>
      </c>
      <c r="AZ11" s="324">
        <v>0</v>
      </c>
    </row>
    <row r="12" spans="1:52">
      <c r="A12" s="166">
        <f>'Input Data'!A11</f>
        <v>41828</v>
      </c>
      <c r="B12" s="671">
        <v>0</v>
      </c>
      <c r="C12" s="672">
        <v>10.793017386427371</v>
      </c>
      <c r="D12" s="672">
        <v>0</v>
      </c>
      <c r="E12" s="673">
        <v>12.428693317422429</v>
      </c>
      <c r="F12" s="96"/>
      <c r="G12" s="308">
        <v>116035.98394454161</v>
      </c>
      <c r="H12" s="112"/>
      <c r="I12" s="102"/>
      <c r="J12" s="308">
        <v>30646.465133744288</v>
      </c>
      <c r="K12" s="308">
        <v>86961.611389323341</v>
      </c>
      <c r="L12" s="308">
        <v>0</v>
      </c>
      <c r="M12" s="391"/>
      <c r="N12" s="307">
        <v>32500.110909090912</v>
      </c>
      <c r="O12" s="307">
        <v>89715.648219697046</v>
      </c>
      <c r="P12" s="307">
        <v>0</v>
      </c>
      <c r="Q12" s="392"/>
      <c r="R12" s="307">
        <v>65.772727272727266</v>
      </c>
      <c r="S12" s="307">
        <v>8090.47346590909</v>
      </c>
      <c r="T12" s="307">
        <v>0</v>
      </c>
      <c r="U12" s="392"/>
      <c r="V12" s="307"/>
      <c r="W12" s="307"/>
      <c r="X12" s="307"/>
      <c r="Y12" s="392"/>
      <c r="Z12" s="324"/>
      <c r="AA12" s="324"/>
      <c r="AB12" s="324"/>
      <c r="AD12" s="307">
        <v>288</v>
      </c>
      <c r="AE12" s="307">
        <v>629.505</v>
      </c>
      <c r="AF12" s="307">
        <v>0</v>
      </c>
      <c r="AH12" s="307">
        <v>469.08181818181816</v>
      </c>
      <c r="AI12" s="307">
        <v>2199.0154545454548</v>
      </c>
      <c r="AJ12" s="307">
        <v>0</v>
      </c>
      <c r="AL12" s="307">
        <v>21.636363636363637</v>
      </c>
      <c r="AM12" s="307">
        <v>458.28562499999987</v>
      </c>
      <c r="AN12" s="307">
        <v>0</v>
      </c>
      <c r="AP12" s="324">
        <v>9.545454545454545</v>
      </c>
      <c r="AQ12" s="324">
        <v>213.03181818181818</v>
      </c>
      <c r="AR12" s="324">
        <v>0</v>
      </c>
      <c r="AT12" s="324">
        <v>2023.1018181818183</v>
      </c>
      <c r="AU12" s="324">
        <v>4447.186818181819</v>
      </c>
      <c r="AV12" s="324">
        <v>0</v>
      </c>
      <c r="AX12" s="324">
        <v>0</v>
      </c>
      <c r="AY12" s="324">
        <v>0</v>
      </c>
      <c r="AZ12" s="324">
        <v>0</v>
      </c>
    </row>
    <row r="13" spans="1:52">
      <c r="A13" s="166">
        <f>'Input Data'!A12</f>
        <v>41829</v>
      </c>
      <c r="B13" s="671">
        <v>0</v>
      </c>
      <c r="C13" s="672">
        <v>10.991054402692093</v>
      </c>
      <c r="D13" s="672">
        <v>0</v>
      </c>
      <c r="E13" s="673">
        <v>12.478210023866342</v>
      </c>
      <c r="F13" s="96"/>
      <c r="G13" s="308">
        <v>116375.8272292154</v>
      </c>
      <c r="H13" s="112"/>
      <c r="I13" s="102"/>
      <c r="J13" s="308">
        <v>30646.465133744288</v>
      </c>
      <c r="K13" s="308">
        <v>86961.611389323341</v>
      </c>
      <c r="L13" s="308">
        <v>0</v>
      </c>
      <c r="M13" s="391"/>
      <c r="N13" s="307">
        <v>32500.110909090912</v>
      </c>
      <c r="O13" s="307">
        <v>89715.648219697046</v>
      </c>
      <c r="P13" s="307">
        <v>0</v>
      </c>
      <c r="Q13" s="392"/>
      <c r="R13" s="307">
        <v>65.772727272727266</v>
      </c>
      <c r="S13" s="307">
        <v>8090.47346590909</v>
      </c>
      <c r="T13" s="307">
        <v>0</v>
      </c>
      <c r="U13" s="392"/>
      <c r="V13" s="307"/>
      <c r="W13" s="307"/>
      <c r="X13" s="307"/>
      <c r="Y13" s="392"/>
      <c r="Z13" s="324"/>
      <c r="AA13" s="324"/>
      <c r="AB13" s="324"/>
      <c r="AD13" s="307">
        <v>288</v>
      </c>
      <c r="AE13" s="307">
        <v>629.505</v>
      </c>
      <c r="AF13" s="307">
        <v>0</v>
      </c>
      <c r="AH13" s="307">
        <v>469.08181818181816</v>
      </c>
      <c r="AI13" s="307">
        <v>2199.0154545454548</v>
      </c>
      <c r="AJ13" s="307">
        <v>0</v>
      </c>
      <c r="AL13" s="307">
        <v>21.636363636363637</v>
      </c>
      <c r="AM13" s="307">
        <v>458.28562499999987</v>
      </c>
      <c r="AN13" s="307">
        <v>0</v>
      </c>
      <c r="AP13" s="324">
        <v>9.545454545454545</v>
      </c>
      <c r="AQ13" s="324">
        <v>213.03181818181818</v>
      </c>
      <c r="AR13" s="324">
        <v>0</v>
      </c>
      <c r="AT13" s="324">
        <v>2023.1018181818183</v>
      </c>
      <c r="AU13" s="324">
        <v>4447.186818181819</v>
      </c>
      <c r="AV13" s="324">
        <v>0</v>
      </c>
      <c r="AX13" s="324">
        <v>0</v>
      </c>
      <c r="AY13" s="324">
        <v>0</v>
      </c>
      <c r="AZ13" s="324">
        <v>0</v>
      </c>
    </row>
    <row r="14" spans="1:52">
      <c r="A14" s="166">
        <f>'Input Data'!A13</f>
        <v>41830</v>
      </c>
      <c r="B14" s="671">
        <v>0</v>
      </c>
      <c r="C14" s="672">
        <v>11.040563656758273</v>
      </c>
      <c r="D14" s="672">
        <v>0</v>
      </c>
      <c r="E14" s="673">
        <v>12.725793556085913</v>
      </c>
      <c r="F14" s="96"/>
      <c r="G14" s="308">
        <v>116730.39442101687</v>
      </c>
      <c r="H14" s="112"/>
      <c r="I14" s="102"/>
      <c r="J14" s="308">
        <v>30646.465133744288</v>
      </c>
      <c r="K14" s="308">
        <v>86961.611389323341</v>
      </c>
      <c r="L14" s="308">
        <v>0</v>
      </c>
      <c r="M14" s="391"/>
      <c r="N14" s="307">
        <v>32500.110909090912</v>
      </c>
      <c r="O14" s="307">
        <v>89715.648219697046</v>
      </c>
      <c r="P14" s="307">
        <v>0</v>
      </c>
      <c r="Q14" s="392"/>
      <c r="R14" s="307">
        <v>65.772727272727266</v>
      </c>
      <c r="S14" s="307">
        <v>8090.47346590909</v>
      </c>
      <c r="T14" s="307">
        <v>0</v>
      </c>
      <c r="U14" s="392"/>
      <c r="V14" s="307"/>
      <c r="W14" s="307"/>
      <c r="X14" s="307"/>
      <c r="Y14" s="392"/>
      <c r="Z14" s="324"/>
      <c r="AA14" s="324"/>
      <c r="AB14" s="324"/>
      <c r="AD14" s="307">
        <v>288</v>
      </c>
      <c r="AE14" s="307">
        <v>629.505</v>
      </c>
      <c r="AF14" s="307">
        <v>0</v>
      </c>
      <c r="AH14" s="307">
        <v>469.08181818181816</v>
      </c>
      <c r="AI14" s="307">
        <v>2199.0154545454548</v>
      </c>
      <c r="AJ14" s="307">
        <v>0</v>
      </c>
      <c r="AL14" s="307">
        <v>21.636363636363637</v>
      </c>
      <c r="AM14" s="307">
        <v>458.28562499999987</v>
      </c>
      <c r="AN14" s="307">
        <v>0</v>
      </c>
      <c r="AP14" s="324">
        <v>9.545454545454545</v>
      </c>
      <c r="AQ14" s="324">
        <v>213.03181818181818</v>
      </c>
      <c r="AR14" s="324">
        <v>0</v>
      </c>
      <c r="AT14" s="324">
        <v>2023.1018181818183</v>
      </c>
      <c r="AU14" s="324">
        <v>4447.186818181819</v>
      </c>
      <c r="AV14" s="324">
        <v>0</v>
      </c>
      <c r="AX14" s="324">
        <v>0</v>
      </c>
      <c r="AY14" s="324">
        <v>0</v>
      </c>
      <c r="AZ14" s="324">
        <v>0</v>
      </c>
    </row>
    <row r="15" spans="1:52">
      <c r="A15" s="166">
        <f>'Input Data'!A14</f>
        <v>41831</v>
      </c>
      <c r="B15" s="671">
        <v>0</v>
      </c>
      <c r="C15" s="672">
        <v>11.139582164890637</v>
      </c>
      <c r="D15" s="672">
        <v>0</v>
      </c>
      <c r="E15" s="673">
        <v>12.775310262529828</v>
      </c>
      <c r="F15" s="96"/>
      <c r="G15" s="308">
        <v>114858.04297679216</v>
      </c>
      <c r="H15" s="112"/>
      <c r="I15" s="102"/>
      <c r="J15" s="308">
        <v>30646.465133744288</v>
      </c>
      <c r="K15" s="308">
        <v>86961.611389323341</v>
      </c>
      <c r="L15" s="308">
        <v>0</v>
      </c>
      <c r="M15" s="391"/>
      <c r="N15" s="307">
        <v>32500.110909090912</v>
      </c>
      <c r="O15" s="307">
        <v>89715.648219697046</v>
      </c>
      <c r="P15" s="307">
        <v>0</v>
      </c>
      <c r="Q15" s="392"/>
      <c r="R15" s="307">
        <v>65.772727272727266</v>
      </c>
      <c r="S15" s="307">
        <v>8090.47346590909</v>
      </c>
      <c r="T15" s="307">
        <v>0</v>
      </c>
      <c r="U15" s="392"/>
      <c r="V15" s="307"/>
      <c r="W15" s="307"/>
      <c r="X15" s="307"/>
      <c r="Y15" s="392"/>
      <c r="Z15" s="324"/>
      <c r="AA15" s="324"/>
      <c r="AB15" s="324"/>
      <c r="AD15" s="307">
        <v>288</v>
      </c>
      <c r="AE15" s="307">
        <v>629.505</v>
      </c>
      <c r="AF15" s="307">
        <v>0</v>
      </c>
      <c r="AH15" s="307">
        <v>469.08181818181816</v>
      </c>
      <c r="AI15" s="307">
        <v>2199.0154545454548</v>
      </c>
      <c r="AJ15" s="307">
        <v>0</v>
      </c>
      <c r="AL15" s="307">
        <v>21.636363636363637</v>
      </c>
      <c r="AM15" s="307">
        <v>458.28562499999987</v>
      </c>
      <c r="AN15" s="307">
        <v>0</v>
      </c>
      <c r="AP15" s="324">
        <v>9.545454545454545</v>
      </c>
      <c r="AQ15" s="324">
        <v>213.03181818181818</v>
      </c>
      <c r="AR15" s="324">
        <v>0</v>
      </c>
      <c r="AT15" s="324">
        <v>2023.1018181818183</v>
      </c>
      <c r="AU15" s="324">
        <v>4447.186818181819</v>
      </c>
      <c r="AV15" s="324">
        <v>0</v>
      </c>
      <c r="AX15" s="324">
        <v>0</v>
      </c>
      <c r="AY15" s="324">
        <v>0</v>
      </c>
      <c r="AZ15" s="324">
        <v>0</v>
      </c>
    </row>
    <row r="16" spans="1:52">
      <c r="A16" s="166">
        <f>'Input Data'!A15</f>
        <v>41832</v>
      </c>
      <c r="B16" s="671">
        <v>0</v>
      </c>
      <c r="C16" s="672">
        <v>11.139582164890637</v>
      </c>
      <c r="D16" s="672">
        <v>0</v>
      </c>
      <c r="E16" s="673">
        <v>13.518060859188537</v>
      </c>
      <c r="F16" s="96"/>
      <c r="G16" s="308">
        <v>106424.90148143264</v>
      </c>
      <c r="H16" s="112"/>
      <c r="I16" s="102"/>
      <c r="J16" s="308">
        <v>28850.333164145421</v>
      </c>
      <c r="K16" s="308">
        <v>0</v>
      </c>
      <c r="L16" s="308">
        <v>77308.738210588737</v>
      </c>
      <c r="M16" s="391"/>
      <c r="N16" s="307">
        <v>29222.900000000005</v>
      </c>
      <c r="O16" s="307">
        <v>0</v>
      </c>
      <c r="P16" s="307">
        <v>78381.879166666695</v>
      </c>
      <c r="Q16" s="392"/>
      <c r="R16" s="307">
        <v>49.888888888888886</v>
      </c>
      <c r="S16" s="307">
        <v>0</v>
      </c>
      <c r="T16" s="307">
        <v>4217.0237500000003</v>
      </c>
      <c r="U16" s="392"/>
      <c r="V16" s="307"/>
      <c r="W16" s="307"/>
      <c r="X16" s="307"/>
      <c r="Y16" s="392"/>
      <c r="Z16" s="324"/>
      <c r="AA16" s="324"/>
      <c r="AB16" s="324"/>
      <c r="AD16" s="307">
        <v>288</v>
      </c>
      <c r="AE16" s="307">
        <v>0</v>
      </c>
      <c r="AF16" s="307">
        <v>576</v>
      </c>
      <c r="AH16" s="307">
        <v>468.66666666666669</v>
      </c>
      <c r="AI16" s="307">
        <v>0</v>
      </c>
      <c r="AJ16" s="307">
        <v>1781.68</v>
      </c>
      <c r="AL16" s="307">
        <v>131.44444444444446</v>
      </c>
      <c r="AM16" s="307">
        <v>0</v>
      </c>
      <c r="AN16" s="307">
        <v>353.33624999999995</v>
      </c>
      <c r="AP16" s="324">
        <v>0</v>
      </c>
      <c r="AQ16" s="324">
        <v>0</v>
      </c>
      <c r="AR16" s="324">
        <v>959.25</v>
      </c>
      <c r="AT16" s="324">
        <v>1814.4555555555555</v>
      </c>
      <c r="AU16" s="324">
        <v>0</v>
      </c>
      <c r="AV16" s="324">
        <v>4111.0199999999995</v>
      </c>
      <c r="AX16" s="324">
        <v>0</v>
      </c>
      <c r="AY16" s="324">
        <v>0</v>
      </c>
      <c r="AZ16" s="324">
        <v>0</v>
      </c>
    </row>
    <row r="17" spans="1:52">
      <c r="A17" s="166">
        <f>'Input Data'!A16</f>
        <v>41833</v>
      </c>
      <c r="B17" s="671">
        <v>0</v>
      </c>
      <c r="C17" s="672">
        <v>11.4861469433539</v>
      </c>
      <c r="D17" s="672">
        <v>0</v>
      </c>
      <c r="E17" s="673">
        <v>13.666610978520282</v>
      </c>
      <c r="F17" s="96"/>
      <c r="G17" s="308">
        <v>105011.32798570598</v>
      </c>
      <c r="H17" s="112"/>
      <c r="I17" s="102"/>
      <c r="J17" s="308">
        <v>28850.333164145421</v>
      </c>
      <c r="K17" s="308">
        <v>0</v>
      </c>
      <c r="L17" s="308">
        <v>77308.738210588737</v>
      </c>
      <c r="M17" s="391"/>
      <c r="N17" s="307">
        <v>29222.900000000005</v>
      </c>
      <c r="O17" s="307">
        <v>0</v>
      </c>
      <c r="P17" s="307">
        <v>78381.879166666695</v>
      </c>
      <c r="Q17" s="392"/>
      <c r="R17" s="307">
        <v>49.888888888888886</v>
      </c>
      <c r="S17" s="307">
        <v>0</v>
      </c>
      <c r="T17" s="307">
        <v>4217.0237500000003</v>
      </c>
      <c r="U17" s="392"/>
      <c r="V17" s="307"/>
      <c r="W17" s="307"/>
      <c r="X17" s="307"/>
      <c r="Y17" s="392"/>
      <c r="Z17" s="324"/>
      <c r="AA17" s="324"/>
      <c r="AB17" s="324"/>
      <c r="AD17" s="307">
        <v>288</v>
      </c>
      <c r="AE17" s="307">
        <v>0</v>
      </c>
      <c r="AF17" s="307">
        <v>576</v>
      </c>
      <c r="AH17" s="307">
        <v>468.66666666666669</v>
      </c>
      <c r="AI17" s="307">
        <v>0</v>
      </c>
      <c r="AJ17" s="307">
        <v>1781.68</v>
      </c>
      <c r="AL17" s="307">
        <v>131.44444444444446</v>
      </c>
      <c r="AM17" s="307">
        <v>0</v>
      </c>
      <c r="AN17" s="307">
        <v>353.33624999999995</v>
      </c>
      <c r="AP17" s="324">
        <v>0</v>
      </c>
      <c r="AQ17" s="324">
        <v>0</v>
      </c>
      <c r="AR17" s="324">
        <v>959.25</v>
      </c>
      <c r="AT17" s="324">
        <v>1814.4555555555555</v>
      </c>
      <c r="AU17" s="324">
        <v>0</v>
      </c>
      <c r="AV17" s="324">
        <v>4111.0199999999995</v>
      </c>
      <c r="AX17" s="324">
        <v>0</v>
      </c>
      <c r="AY17" s="324">
        <v>0</v>
      </c>
      <c r="AZ17" s="324">
        <v>0</v>
      </c>
    </row>
    <row r="18" spans="1:52">
      <c r="A18" s="166">
        <f>'Input Data'!A17</f>
        <v>41834</v>
      </c>
      <c r="B18" s="671">
        <v>0</v>
      </c>
      <c r="C18" s="672">
        <v>11.733693213684804</v>
      </c>
      <c r="D18" s="672">
        <v>0</v>
      </c>
      <c r="E18" s="673">
        <v>13.666610978520282</v>
      </c>
      <c r="F18" s="96"/>
      <c r="G18" s="308">
        <v>116619.94488525062</v>
      </c>
      <c r="H18" s="112"/>
      <c r="I18" s="102"/>
      <c r="J18" s="308">
        <v>30646.465133744288</v>
      </c>
      <c r="K18" s="308">
        <v>86961.611389323341</v>
      </c>
      <c r="L18" s="308">
        <v>0</v>
      </c>
      <c r="M18" s="391"/>
      <c r="N18" s="307">
        <v>32500.110909090912</v>
      </c>
      <c r="O18" s="307">
        <v>89715.648219697046</v>
      </c>
      <c r="P18" s="307">
        <v>0</v>
      </c>
      <c r="Q18" s="392"/>
      <c r="R18" s="307">
        <v>65.772727272727266</v>
      </c>
      <c r="S18" s="307">
        <v>8090.47346590909</v>
      </c>
      <c r="T18" s="307">
        <v>0</v>
      </c>
      <c r="U18" s="392"/>
      <c r="V18" s="307"/>
      <c r="W18" s="307"/>
      <c r="X18" s="307"/>
      <c r="Y18" s="392"/>
      <c r="Z18" s="324"/>
      <c r="AA18" s="324"/>
      <c r="AB18" s="324"/>
      <c r="AD18" s="307">
        <v>288</v>
      </c>
      <c r="AE18" s="307">
        <v>629.505</v>
      </c>
      <c r="AF18" s="307">
        <v>0</v>
      </c>
      <c r="AH18" s="307">
        <v>469.08181818181816</v>
      </c>
      <c r="AI18" s="307">
        <v>2199.0154545454548</v>
      </c>
      <c r="AJ18" s="307">
        <v>0</v>
      </c>
      <c r="AL18" s="307">
        <v>21.636363636363637</v>
      </c>
      <c r="AM18" s="307">
        <v>458.28562499999987</v>
      </c>
      <c r="AN18" s="307">
        <v>0</v>
      </c>
      <c r="AP18" s="324">
        <v>9.545454545454545</v>
      </c>
      <c r="AQ18" s="324">
        <v>213.03181818181818</v>
      </c>
      <c r="AR18" s="324">
        <v>0</v>
      </c>
      <c r="AT18" s="324">
        <v>2023.1018181818183</v>
      </c>
      <c r="AU18" s="324">
        <v>4447.186818181819</v>
      </c>
      <c r="AV18" s="324">
        <v>0</v>
      </c>
      <c r="AX18" s="324">
        <v>0</v>
      </c>
      <c r="AY18" s="324">
        <v>0</v>
      </c>
      <c r="AZ18" s="324">
        <v>0</v>
      </c>
    </row>
    <row r="19" spans="1:52">
      <c r="A19" s="166">
        <f>'Input Data'!A18</f>
        <v>41835</v>
      </c>
      <c r="B19" s="671">
        <v>0</v>
      </c>
      <c r="C19" s="672">
        <v>11.882220975883344</v>
      </c>
      <c r="D19" s="672">
        <v>0</v>
      </c>
      <c r="E19" s="673">
        <v>13.765644391408108</v>
      </c>
      <c r="F19" s="96"/>
      <c r="G19" s="308">
        <v>118550.52187426221</v>
      </c>
      <c r="H19" s="112"/>
      <c r="I19" s="102"/>
      <c r="J19" s="308">
        <v>30646.465133744288</v>
      </c>
      <c r="K19" s="308">
        <v>86961.611389323341</v>
      </c>
      <c r="L19" s="308">
        <v>0</v>
      </c>
      <c r="M19" s="391"/>
      <c r="N19" s="307">
        <v>32500.110909090912</v>
      </c>
      <c r="O19" s="307">
        <v>89715.648219697046</v>
      </c>
      <c r="P19" s="307">
        <v>0</v>
      </c>
      <c r="Q19" s="392"/>
      <c r="R19" s="307">
        <v>65.772727272727266</v>
      </c>
      <c r="S19" s="307">
        <v>8090.47346590909</v>
      </c>
      <c r="T19" s="307">
        <v>0</v>
      </c>
      <c r="U19" s="392"/>
      <c r="V19" s="307"/>
      <c r="W19" s="307"/>
      <c r="X19" s="307"/>
      <c r="Y19" s="392"/>
      <c r="Z19" s="324"/>
      <c r="AA19" s="324"/>
      <c r="AB19" s="324"/>
      <c r="AD19" s="307">
        <v>288</v>
      </c>
      <c r="AE19" s="307">
        <v>629.505</v>
      </c>
      <c r="AF19" s="307">
        <v>0</v>
      </c>
      <c r="AH19" s="307">
        <v>469.08181818181816</v>
      </c>
      <c r="AI19" s="307">
        <v>2199.0154545454548</v>
      </c>
      <c r="AJ19" s="307">
        <v>0</v>
      </c>
      <c r="AL19" s="307">
        <v>21.636363636363637</v>
      </c>
      <c r="AM19" s="307">
        <v>458.28562499999987</v>
      </c>
      <c r="AN19" s="307">
        <v>0</v>
      </c>
      <c r="AP19" s="324">
        <v>9.545454545454545</v>
      </c>
      <c r="AQ19" s="324">
        <v>213.03181818181818</v>
      </c>
      <c r="AR19" s="324">
        <v>0</v>
      </c>
      <c r="AT19" s="324">
        <v>2023.1018181818183</v>
      </c>
      <c r="AU19" s="324">
        <v>4447.186818181819</v>
      </c>
      <c r="AV19" s="324">
        <v>0</v>
      </c>
      <c r="AX19" s="324">
        <v>0</v>
      </c>
      <c r="AY19" s="324">
        <v>0</v>
      </c>
      <c r="AZ19" s="324">
        <v>0</v>
      </c>
    </row>
    <row r="20" spans="1:52">
      <c r="A20" s="166">
        <f>'Input Data'!A19</f>
        <v>41836</v>
      </c>
      <c r="B20" s="671">
        <v>0</v>
      </c>
      <c r="C20" s="672">
        <v>11.931730229949526</v>
      </c>
      <c r="D20" s="672">
        <v>0</v>
      </c>
      <c r="E20" s="673">
        <v>14.161778042959423</v>
      </c>
      <c r="F20" s="96"/>
      <c r="G20" s="308">
        <v>118584.234120995</v>
      </c>
      <c r="H20" s="112"/>
      <c r="I20" s="102"/>
      <c r="J20" s="308">
        <v>30646.465133744288</v>
      </c>
      <c r="K20" s="308">
        <v>86961.611389323341</v>
      </c>
      <c r="L20" s="308">
        <v>0</v>
      </c>
      <c r="M20" s="391"/>
      <c r="N20" s="307">
        <v>32500.110909090912</v>
      </c>
      <c r="O20" s="307">
        <v>89715.648219697046</v>
      </c>
      <c r="P20" s="307">
        <v>0</v>
      </c>
      <c r="Q20" s="392"/>
      <c r="R20" s="307">
        <v>65.772727272727266</v>
      </c>
      <c r="S20" s="307">
        <v>8090.47346590909</v>
      </c>
      <c r="T20" s="307">
        <v>0</v>
      </c>
      <c r="U20" s="392"/>
      <c r="V20" s="307"/>
      <c r="W20" s="307"/>
      <c r="X20" s="307"/>
      <c r="Y20" s="392"/>
      <c r="Z20" s="324"/>
      <c r="AA20" s="324"/>
      <c r="AB20" s="324"/>
      <c r="AD20" s="307">
        <v>288</v>
      </c>
      <c r="AE20" s="307">
        <v>629.505</v>
      </c>
      <c r="AF20" s="307">
        <v>0</v>
      </c>
      <c r="AH20" s="307">
        <v>469.08181818181816</v>
      </c>
      <c r="AI20" s="307">
        <v>2199.0154545454548</v>
      </c>
      <c r="AJ20" s="307">
        <v>0</v>
      </c>
      <c r="AL20" s="307">
        <v>21.636363636363637</v>
      </c>
      <c r="AM20" s="307">
        <v>458.28562499999987</v>
      </c>
      <c r="AN20" s="307">
        <v>0</v>
      </c>
      <c r="AP20" s="324">
        <v>9.545454545454545</v>
      </c>
      <c r="AQ20" s="324">
        <v>213.03181818181818</v>
      </c>
      <c r="AR20" s="324">
        <v>0</v>
      </c>
      <c r="AT20" s="324">
        <v>2023.1018181818183</v>
      </c>
      <c r="AU20" s="324">
        <v>4447.186818181819</v>
      </c>
      <c r="AV20" s="324">
        <v>0</v>
      </c>
      <c r="AX20" s="324">
        <v>0</v>
      </c>
      <c r="AY20" s="324">
        <v>0</v>
      </c>
      <c r="AZ20" s="324">
        <v>0</v>
      </c>
    </row>
    <row r="21" spans="1:52">
      <c r="A21" s="166">
        <f>'Input Data'!A20</f>
        <v>41837</v>
      </c>
      <c r="B21" s="671">
        <v>0</v>
      </c>
      <c r="C21" s="672">
        <v>12.080257992148066</v>
      </c>
      <c r="D21" s="672">
        <v>0</v>
      </c>
      <c r="E21" s="673">
        <v>14.161778042959423</v>
      </c>
      <c r="F21" s="96"/>
      <c r="G21" s="308">
        <v>118664.31817596864</v>
      </c>
      <c r="H21" s="112"/>
      <c r="I21" s="102"/>
      <c r="J21" s="308">
        <v>30646.465133744288</v>
      </c>
      <c r="K21" s="308">
        <v>86961.611389323341</v>
      </c>
      <c r="L21" s="308">
        <v>0</v>
      </c>
      <c r="M21" s="391"/>
      <c r="N21" s="307">
        <v>32500.110909090912</v>
      </c>
      <c r="O21" s="307">
        <v>89715.648219697046</v>
      </c>
      <c r="P21" s="307">
        <v>0</v>
      </c>
      <c r="Q21" s="392"/>
      <c r="R21" s="307">
        <v>65.772727272727266</v>
      </c>
      <c r="S21" s="307">
        <v>8090.47346590909</v>
      </c>
      <c r="T21" s="307">
        <v>0</v>
      </c>
      <c r="U21" s="392"/>
      <c r="V21" s="307"/>
      <c r="W21" s="307"/>
      <c r="X21" s="307"/>
      <c r="Y21" s="392"/>
      <c r="Z21" s="324"/>
      <c r="AA21" s="324"/>
      <c r="AB21" s="324"/>
      <c r="AD21" s="307">
        <v>288</v>
      </c>
      <c r="AE21" s="307">
        <v>629.505</v>
      </c>
      <c r="AF21" s="307">
        <v>0</v>
      </c>
      <c r="AH21" s="307">
        <v>469.08181818181816</v>
      </c>
      <c r="AI21" s="307">
        <v>2199.0154545454548</v>
      </c>
      <c r="AJ21" s="307">
        <v>0</v>
      </c>
      <c r="AL21" s="307">
        <v>21.636363636363637</v>
      </c>
      <c r="AM21" s="307">
        <v>458.28562499999987</v>
      </c>
      <c r="AN21" s="307">
        <v>0</v>
      </c>
      <c r="AP21" s="324">
        <v>9.545454545454545</v>
      </c>
      <c r="AQ21" s="324">
        <v>213.03181818181818</v>
      </c>
      <c r="AR21" s="324">
        <v>0</v>
      </c>
      <c r="AT21" s="324">
        <v>2023.1018181818183</v>
      </c>
      <c r="AU21" s="324">
        <v>4447.186818181819</v>
      </c>
      <c r="AV21" s="324">
        <v>0</v>
      </c>
      <c r="AX21" s="324">
        <v>0</v>
      </c>
      <c r="AY21" s="324">
        <v>0</v>
      </c>
      <c r="AZ21" s="324">
        <v>0</v>
      </c>
    </row>
    <row r="22" spans="1:52">
      <c r="A22" s="166">
        <f>'Input Data'!A21</f>
        <v>41838</v>
      </c>
      <c r="B22" s="671">
        <v>0</v>
      </c>
      <c r="C22" s="672">
        <v>12.080257992148066</v>
      </c>
      <c r="D22" s="672">
        <v>0</v>
      </c>
      <c r="E22" s="673">
        <v>14.359844868735076</v>
      </c>
      <c r="F22" s="96"/>
      <c r="G22" s="308">
        <v>117135.68558793914</v>
      </c>
      <c r="H22" s="112"/>
      <c r="I22" s="102"/>
      <c r="J22" s="308">
        <v>30646.465133744288</v>
      </c>
      <c r="K22" s="308">
        <v>86961.611389323341</v>
      </c>
      <c r="L22" s="308">
        <v>0</v>
      </c>
      <c r="M22" s="391"/>
      <c r="N22" s="307">
        <v>32500.110909090912</v>
      </c>
      <c r="O22" s="307">
        <v>89715.648219697046</v>
      </c>
      <c r="P22" s="307">
        <v>0</v>
      </c>
      <c r="Q22" s="392"/>
      <c r="R22" s="307">
        <v>65.772727272727266</v>
      </c>
      <c r="S22" s="307">
        <v>8090.47346590909</v>
      </c>
      <c r="T22" s="307">
        <v>0</v>
      </c>
      <c r="U22" s="392"/>
      <c r="V22" s="307"/>
      <c r="W22" s="307"/>
      <c r="X22" s="307"/>
      <c r="Y22" s="392"/>
      <c r="Z22" s="324"/>
      <c r="AA22" s="324"/>
      <c r="AB22" s="324"/>
      <c r="AD22" s="307">
        <v>288</v>
      </c>
      <c r="AE22" s="307">
        <v>629.505</v>
      </c>
      <c r="AF22" s="307">
        <v>0</v>
      </c>
      <c r="AH22" s="307">
        <v>469.08181818181816</v>
      </c>
      <c r="AI22" s="307">
        <v>2199.0154545454548</v>
      </c>
      <c r="AJ22" s="307">
        <v>0</v>
      </c>
      <c r="AL22" s="307">
        <v>21.636363636363637</v>
      </c>
      <c r="AM22" s="307">
        <v>458.28562499999987</v>
      </c>
      <c r="AN22" s="307">
        <v>0</v>
      </c>
      <c r="AP22" s="324">
        <v>9.545454545454545</v>
      </c>
      <c r="AQ22" s="324">
        <v>213.03181818181818</v>
      </c>
      <c r="AR22" s="324">
        <v>0</v>
      </c>
      <c r="AT22" s="324">
        <v>2023.1018181818183</v>
      </c>
      <c r="AU22" s="324">
        <v>4447.186818181819</v>
      </c>
      <c r="AV22" s="324">
        <v>0</v>
      </c>
      <c r="AX22" s="324">
        <v>0</v>
      </c>
      <c r="AY22" s="324">
        <v>0</v>
      </c>
      <c r="AZ22" s="324">
        <v>0</v>
      </c>
    </row>
    <row r="23" spans="1:52">
      <c r="A23" s="166">
        <f>'Input Data'!A22</f>
        <v>41839</v>
      </c>
      <c r="B23" s="671">
        <v>0</v>
      </c>
      <c r="C23" s="672">
        <v>12.773387549074595</v>
      </c>
      <c r="D23" s="672">
        <v>0</v>
      </c>
      <c r="E23" s="673">
        <v>14.954045346062047</v>
      </c>
      <c r="F23" s="96"/>
      <c r="G23" s="308">
        <v>107793.52319266519</v>
      </c>
      <c r="H23" s="112"/>
      <c r="I23" s="102"/>
      <c r="J23" s="308">
        <v>28850.333164145421</v>
      </c>
      <c r="K23" s="308">
        <v>0</v>
      </c>
      <c r="L23" s="308">
        <v>77308.738210588737</v>
      </c>
      <c r="M23" s="391"/>
      <c r="N23" s="307">
        <v>29222.900000000005</v>
      </c>
      <c r="O23" s="307">
        <v>0</v>
      </c>
      <c r="P23" s="307">
        <v>78381.879166666695</v>
      </c>
      <c r="Q23" s="392"/>
      <c r="R23" s="307">
        <v>49.888888888888886</v>
      </c>
      <c r="S23" s="307">
        <v>0</v>
      </c>
      <c r="T23" s="307">
        <v>4217.0237500000003</v>
      </c>
      <c r="U23" s="392"/>
      <c r="V23" s="307"/>
      <c r="W23" s="307"/>
      <c r="X23" s="307"/>
      <c r="Y23" s="392"/>
      <c r="Z23" s="324"/>
      <c r="AA23" s="324"/>
      <c r="AB23" s="324"/>
      <c r="AD23" s="307">
        <v>288</v>
      </c>
      <c r="AE23" s="307">
        <v>0</v>
      </c>
      <c r="AF23" s="307">
        <v>576</v>
      </c>
      <c r="AH23" s="307">
        <v>468.66666666666669</v>
      </c>
      <c r="AI23" s="307">
        <v>0</v>
      </c>
      <c r="AJ23" s="307">
        <v>1781.68</v>
      </c>
      <c r="AL23" s="307">
        <v>131.44444444444446</v>
      </c>
      <c r="AM23" s="307">
        <v>0</v>
      </c>
      <c r="AN23" s="307">
        <v>353.33624999999995</v>
      </c>
      <c r="AP23" s="324">
        <v>0</v>
      </c>
      <c r="AQ23" s="324">
        <v>0</v>
      </c>
      <c r="AR23" s="324">
        <v>959.25</v>
      </c>
      <c r="AT23" s="324">
        <v>1814.4555555555555</v>
      </c>
      <c r="AU23" s="324">
        <v>0</v>
      </c>
      <c r="AV23" s="324">
        <v>4111.0199999999995</v>
      </c>
      <c r="AX23" s="324">
        <v>0</v>
      </c>
      <c r="AY23" s="324">
        <v>0</v>
      </c>
      <c r="AZ23" s="324">
        <v>0</v>
      </c>
    </row>
    <row r="24" spans="1:52">
      <c r="A24" s="166">
        <f>'Input Data'!A23</f>
        <v>41840</v>
      </c>
      <c r="B24" s="671">
        <v>0</v>
      </c>
      <c r="C24" s="672">
        <v>12.426822770611333</v>
      </c>
      <c r="D24" s="672">
        <v>0</v>
      </c>
      <c r="E24" s="673">
        <v>14.458878281622905</v>
      </c>
      <c r="F24" s="96"/>
      <c r="G24" s="308">
        <v>105927.27834284451</v>
      </c>
      <c r="H24" s="112"/>
      <c r="I24" s="102"/>
      <c r="J24" s="308">
        <v>28850.333164145421</v>
      </c>
      <c r="K24" s="308">
        <v>0</v>
      </c>
      <c r="L24" s="308">
        <v>77308.738210588737</v>
      </c>
      <c r="M24" s="391"/>
      <c r="N24" s="307">
        <v>29222.900000000005</v>
      </c>
      <c r="O24" s="307">
        <v>0</v>
      </c>
      <c r="P24" s="307">
        <v>78381.879166666695</v>
      </c>
      <c r="Q24" s="392"/>
      <c r="R24" s="307">
        <v>49.888888888888886</v>
      </c>
      <c r="S24" s="307">
        <v>0</v>
      </c>
      <c r="T24" s="307">
        <v>4217.0237500000003</v>
      </c>
      <c r="U24" s="392"/>
      <c r="V24" s="307"/>
      <c r="W24" s="307"/>
      <c r="X24" s="307"/>
      <c r="Y24" s="392"/>
      <c r="Z24" s="324"/>
      <c r="AA24" s="324"/>
      <c r="AB24" s="324"/>
      <c r="AD24" s="307">
        <v>288</v>
      </c>
      <c r="AE24" s="307">
        <v>0</v>
      </c>
      <c r="AF24" s="307">
        <v>576</v>
      </c>
      <c r="AH24" s="307">
        <v>468.66666666666669</v>
      </c>
      <c r="AI24" s="307">
        <v>0</v>
      </c>
      <c r="AJ24" s="307">
        <v>1781.68</v>
      </c>
      <c r="AL24" s="307">
        <v>131.44444444444446</v>
      </c>
      <c r="AM24" s="307">
        <v>0</v>
      </c>
      <c r="AN24" s="307">
        <v>353.33624999999995</v>
      </c>
      <c r="AP24" s="324">
        <v>0</v>
      </c>
      <c r="AQ24" s="324">
        <v>0</v>
      </c>
      <c r="AR24" s="324">
        <v>959.25</v>
      </c>
      <c r="AT24" s="324">
        <v>1814.4555555555555</v>
      </c>
      <c r="AU24" s="324">
        <v>0</v>
      </c>
      <c r="AV24" s="324">
        <v>4111.0199999999995</v>
      </c>
      <c r="AX24" s="324">
        <v>0</v>
      </c>
      <c r="AY24" s="324">
        <v>0</v>
      </c>
      <c r="AZ24" s="324">
        <v>0</v>
      </c>
    </row>
    <row r="25" spans="1:52">
      <c r="A25" s="166">
        <f>'Input Data'!A24</f>
        <v>41841</v>
      </c>
      <c r="B25" s="671">
        <v>0</v>
      </c>
      <c r="C25" s="672">
        <v>12.377313516545151</v>
      </c>
      <c r="D25" s="672">
        <v>0</v>
      </c>
      <c r="E25" s="673">
        <v>14.26081145584725</v>
      </c>
      <c r="F25" s="96"/>
      <c r="G25" s="308">
        <v>117586.17723670957</v>
      </c>
      <c r="H25" s="112"/>
      <c r="I25" s="102"/>
      <c r="J25" s="308">
        <v>30646.465133744288</v>
      </c>
      <c r="K25" s="308">
        <v>86961.611389323341</v>
      </c>
      <c r="L25" s="308">
        <v>0</v>
      </c>
      <c r="M25" s="391"/>
      <c r="N25" s="307">
        <v>32500.110909090912</v>
      </c>
      <c r="O25" s="307">
        <v>89715.648219697046</v>
      </c>
      <c r="P25" s="307">
        <v>0</v>
      </c>
      <c r="Q25" s="392"/>
      <c r="R25" s="307">
        <v>65.772727272727266</v>
      </c>
      <c r="S25" s="307">
        <v>8090.47346590909</v>
      </c>
      <c r="T25" s="307">
        <v>0</v>
      </c>
      <c r="U25" s="392"/>
      <c r="V25" s="307"/>
      <c r="W25" s="307"/>
      <c r="X25" s="307"/>
      <c r="Y25" s="392"/>
      <c r="Z25" s="324"/>
      <c r="AA25" s="324"/>
      <c r="AB25" s="324"/>
      <c r="AD25" s="307">
        <v>288</v>
      </c>
      <c r="AE25" s="307">
        <v>629.505</v>
      </c>
      <c r="AF25" s="307">
        <v>0</v>
      </c>
      <c r="AH25" s="307">
        <v>469.08181818181816</v>
      </c>
      <c r="AI25" s="307">
        <v>2199.0154545454548</v>
      </c>
      <c r="AJ25" s="307">
        <v>0</v>
      </c>
      <c r="AL25" s="307">
        <v>21.636363636363637</v>
      </c>
      <c r="AM25" s="307">
        <v>458.28562499999987</v>
      </c>
      <c r="AN25" s="307">
        <v>0</v>
      </c>
      <c r="AP25" s="324">
        <v>9.545454545454545</v>
      </c>
      <c r="AQ25" s="324">
        <v>213.03181818181818</v>
      </c>
      <c r="AR25" s="324">
        <v>0</v>
      </c>
      <c r="AT25" s="324">
        <v>2023.1018181818183</v>
      </c>
      <c r="AU25" s="324">
        <v>4447.186818181819</v>
      </c>
      <c r="AV25" s="324">
        <v>0</v>
      </c>
      <c r="AX25" s="324">
        <v>0</v>
      </c>
      <c r="AY25" s="324">
        <v>0</v>
      </c>
      <c r="AZ25" s="324">
        <v>0</v>
      </c>
    </row>
    <row r="26" spans="1:52">
      <c r="A26" s="166">
        <f>'Input Data'!A25</f>
        <v>41842</v>
      </c>
      <c r="B26" s="671">
        <v>0</v>
      </c>
      <c r="C26" s="672">
        <v>12.377313516545151</v>
      </c>
      <c r="D26" s="672">
        <v>0</v>
      </c>
      <c r="E26" s="673">
        <v>14.211294749403335</v>
      </c>
      <c r="F26" s="96"/>
      <c r="G26" s="308">
        <v>119747.31808730237</v>
      </c>
      <c r="H26" s="112"/>
      <c r="I26" s="102"/>
      <c r="J26" s="308">
        <v>30646.465133744288</v>
      </c>
      <c r="K26" s="308">
        <v>86961.611389323341</v>
      </c>
      <c r="L26" s="308">
        <v>0</v>
      </c>
      <c r="M26" s="391"/>
      <c r="N26" s="307">
        <v>32500.110909090912</v>
      </c>
      <c r="O26" s="307">
        <v>89715.648219697046</v>
      </c>
      <c r="P26" s="307">
        <v>0</v>
      </c>
      <c r="Q26" s="392"/>
      <c r="R26" s="307">
        <v>65.772727272727266</v>
      </c>
      <c r="S26" s="307">
        <v>8090.47346590909</v>
      </c>
      <c r="T26" s="307">
        <v>0</v>
      </c>
      <c r="U26" s="392"/>
      <c r="V26" s="307"/>
      <c r="W26" s="307"/>
      <c r="X26" s="307"/>
      <c r="Y26" s="392"/>
      <c r="Z26" s="324"/>
      <c r="AA26" s="324"/>
      <c r="AB26" s="324"/>
      <c r="AD26" s="307">
        <v>288</v>
      </c>
      <c r="AE26" s="307">
        <v>629.505</v>
      </c>
      <c r="AF26" s="307">
        <v>0</v>
      </c>
      <c r="AH26" s="307">
        <v>469.08181818181816</v>
      </c>
      <c r="AI26" s="307">
        <v>2199.0154545454548</v>
      </c>
      <c r="AJ26" s="307">
        <v>0</v>
      </c>
      <c r="AL26" s="307">
        <v>21.636363636363637</v>
      </c>
      <c r="AM26" s="307">
        <v>458.28562499999987</v>
      </c>
      <c r="AN26" s="307">
        <v>0</v>
      </c>
      <c r="AP26" s="324">
        <v>9.545454545454545</v>
      </c>
      <c r="AQ26" s="324">
        <v>213.03181818181818</v>
      </c>
      <c r="AR26" s="324">
        <v>0</v>
      </c>
      <c r="AT26" s="324">
        <v>2023.1018181818183</v>
      </c>
      <c r="AU26" s="324">
        <v>4447.186818181819</v>
      </c>
      <c r="AV26" s="324">
        <v>0</v>
      </c>
      <c r="AX26" s="324">
        <v>0</v>
      </c>
      <c r="AY26" s="324">
        <v>0</v>
      </c>
      <c r="AZ26" s="324">
        <v>0</v>
      </c>
    </row>
    <row r="27" spans="1:52">
      <c r="A27" s="166">
        <f>'Input Data'!A26</f>
        <v>41843</v>
      </c>
      <c r="B27" s="671">
        <v>0</v>
      </c>
      <c r="C27" s="672">
        <v>12.327804262478969</v>
      </c>
      <c r="D27" s="672">
        <v>0</v>
      </c>
      <c r="E27" s="673">
        <v>14.161778042959423</v>
      </c>
      <c r="F27" s="96"/>
      <c r="G27" s="308">
        <v>120223.01949577969</v>
      </c>
      <c r="H27" s="112"/>
      <c r="I27" s="102"/>
      <c r="J27" s="308">
        <v>30646.465133744288</v>
      </c>
      <c r="K27" s="308">
        <v>86961.611389323341</v>
      </c>
      <c r="L27" s="308">
        <v>0</v>
      </c>
      <c r="M27" s="391"/>
      <c r="N27" s="307">
        <v>32500.110909090912</v>
      </c>
      <c r="O27" s="307">
        <v>89715.648219697046</v>
      </c>
      <c r="P27" s="307">
        <v>0</v>
      </c>
      <c r="Q27" s="392"/>
      <c r="R27" s="307">
        <v>65.772727272727266</v>
      </c>
      <c r="S27" s="307">
        <v>8090.47346590909</v>
      </c>
      <c r="T27" s="307">
        <v>0</v>
      </c>
      <c r="U27" s="392"/>
      <c r="V27" s="307"/>
      <c r="W27" s="307"/>
      <c r="X27" s="307"/>
      <c r="Y27" s="392"/>
      <c r="Z27" s="324"/>
      <c r="AA27" s="324"/>
      <c r="AB27" s="324"/>
      <c r="AD27" s="307">
        <v>288</v>
      </c>
      <c r="AE27" s="307">
        <v>629.505</v>
      </c>
      <c r="AF27" s="307">
        <v>0</v>
      </c>
      <c r="AH27" s="307">
        <v>469.08181818181816</v>
      </c>
      <c r="AI27" s="307">
        <v>2199.0154545454548</v>
      </c>
      <c r="AJ27" s="307">
        <v>0</v>
      </c>
      <c r="AL27" s="307">
        <v>21.636363636363637</v>
      </c>
      <c r="AM27" s="307">
        <v>458.28562499999987</v>
      </c>
      <c r="AN27" s="307">
        <v>0</v>
      </c>
      <c r="AP27" s="324">
        <v>9.545454545454545</v>
      </c>
      <c r="AQ27" s="324">
        <v>213.03181818181818</v>
      </c>
      <c r="AR27" s="324">
        <v>0</v>
      </c>
      <c r="AT27" s="324">
        <v>2023.1018181818183</v>
      </c>
      <c r="AU27" s="324">
        <v>4447.186818181819</v>
      </c>
      <c r="AV27" s="324">
        <v>0</v>
      </c>
      <c r="AX27" s="324">
        <v>0</v>
      </c>
      <c r="AY27" s="324">
        <v>0</v>
      </c>
      <c r="AZ27" s="324">
        <v>0</v>
      </c>
    </row>
    <row r="28" spans="1:52">
      <c r="A28" s="166">
        <f>'Input Data'!A27</f>
        <v>41844</v>
      </c>
      <c r="B28" s="671">
        <v>0</v>
      </c>
      <c r="C28" s="672">
        <v>12.030748738081886</v>
      </c>
      <c r="D28" s="672">
        <v>0</v>
      </c>
      <c r="E28" s="673">
        <v>13.963711217183764</v>
      </c>
      <c r="F28" s="96"/>
      <c r="G28" s="308">
        <v>120281.06353687547</v>
      </c>
      <c r="H28" s="112"/>
      <c r="I28" s="102"/>
      <c r="J28" s="308">
        <v>30646.465133744288</v>
      </c>
      <c r="K28" s="308">
        <v>86961.611389323341</v>
      </c>
      <c r="L28" s="308">
        <v>0</v>
      </c>
      <c r="M28" s="391"/>
      <c r="N28" s="307">
        <v>32500.110909090912</v>
      </c>
      <c r="O28" s="307">
        <v>89715.648219697046</v>
      </c>
      <c r="P28" s="307">
        <v>0</v>
      </c>
      <c r="Q28" s="392"/>
      <c r="R28" s="307">
        <v>65.772727272727266</v>
      </c>
      <c r="S28" s="307">
        <v>8090.47346590909</v>
      </c>
      <c r="T28" s="307">
        <v>0</v>
      </c>
      <c r="U28" s="392"/>
      <c r="V28" s="307"/>
      <c r="W28" s="307"/>
      <c r="X28" s="307"/>
      <c r="Y28" s="392"/>
      <c r="Z28" s="324"/>
      <c r="AA28" s="324"/>
      <c r="AB28" s="324"/>
      <c r="AD28" s="307">
        <v>288</v>
      </c>
      <c r="AE28" s="307">
        <v>629.505</v>
      </c>
      <c r="AF28" s="307">
        <v>0</v>
      </c>
      <c r="AH28" s="307">
        <v>469.08181818181816</v>
      </c>
      <c r="AI28" s="307">
        <v>2199.0154545454548</v>
      </c>
      <c r="AJ28" s="307">
        <v>0</v>
      </c>
      <c r="AL28" s="307">
        <v>21.636363636363637</v>
      </c>
      <c r="AM28" s="307">
        <v>458.28562499999987</v>
      </c>
      <c r="AN28" s="307">
        <v>0</v>
      </c>
      <c r="AP28" s="324">
        <v>9.545454545454545</v>
      </c>
      <c r="AQ28" s="324">
        <v>213.03181818181818</v>
      </c>
      <c r="AR28" s="324">
        <v>0</v>
      </c>
      <c r="AT28" s="324">
        <v>2023.1018181818183</v>
      </c>
      <c r="AU28" s="324">
        <v>4447.186818181819</v>
      </c>
      <c r="AV28" s="324">
        <v>0</v>
      </c>
      <c r="AX28" s="324">
        <v>0</v>
      </c>
      <c r="AY28" s="324">
        <v>0</v>
      </c>
      <c r="AZ28" s="324">
        <v>0</v>
      </c>
    </row>
    <row r="29" spans="1:52">
      <c r="A29" s="166">
        <f>'Input Data'!A28</f>
        <v>41845</v>
      </c>
      <c r="B29" s="671">
        <v>0</v>
      </c>
      <c r="C29" s="672">
        <v>11.882220975883344</v>
      </c>
      <c r="D29" s="672">
        <v>0</v>
      </c>
      <c r="E29" s="673">
        <v>13.765644391408108</v>
      </c>
      <c r="F29" s="96"/>
      <c r="G29" s="308">
        <v>118607.34797112948</v>
      </c>
      <c r="H29" s="112"/>
      <c r="I29" s="102"/>
      <c r="J29" s="308">
        <v>30646.465133744288</v>
      </c>
      <c r="K29" s="308">
        <v>86961.611389323341</v>
      </c>
      <c r="L29" s="308">
        <v>0</v>
      </c>
      <c r="M29" s="391"/>
      <c r="N29" s="307">
        <v>32500.110909090912</v>
      </c>
      <c r="O29" s="307">
        <v>89715.648219697046</v>
      </c>
      <c r="P29" s="307">
        <v>0</v>
      </c>
      <c r="Q29" s="392"/>
      <c r="R29" s="307">
        <v>65.772727272727266</v>
      </c>
      <c r="S29" s="307">
        <v>8090.47346590909</v>
      </c>
      <c r="T29" s="307">
        <v>0</v>
      </c>
      <c r="U29" s="392"/>
      <c r="V29" s="307"/>
      <c r="W29" s="307"/>
      <c r="X29" s="307"/>
      <c r="Y29" s="392"/>
      <c r="Z29" s="324"/>
      <c r="AA29" s="324"/>
      <c r="AB29" s="324"/>
      <c r="AD29" s="307">
        <v>288</v>
      </c>
      <c r="AE29" s="307">
        <v>629.505</v>
      </c>
      <c r="AF29" s="307">
        <v>0</v>
      </c>
      <c r="AH29" s="307">
        <v>469.08181818181816</v>
      </c>
      <c r="AI29" s="307">
        <v>2199.0154545454548</v>
      </c>
      <c r="AJ29" s="307">
        <v>0</v>
      </c>
      <c r="AL29" s="307">
        <v>21.636363636363637</v>
      </c>
      <c r="AM29" s="307">
        <v>458.28562499999987</v>
      </c>
      <c r="AN29" s="307">
        <v>0</v>
      </c>
      <c r="AP29" s="324">
        <v>9.545454545454545</v>
      </c>
      <c r="AQ29" s="324">
        <v>213.03181818181818</v>
      </c>
      <c r="AR29" s="324">
        <v>0</v>
      </c>
      <c r="AT29" s="324">
        <v>2023.1018181818183</v>
      </c>
      <c r="AU29" s="324">
        <v>4447.186818181819</v>
      </c>
      <c r="AV29" s="324">
        <v>0</v>
      </c>
      <c r="AX29" s="324">
        <v>0</v>
      </c>
      <c r="AY29" s="324">
        <v>0</v>
      </c>
      <c r="AZ29" s="324">
        <v>0</v>
      </c>
    </row>
    <row r="30" spans="1:52">
      <c r="A30" s="166">
        <f>'Input Data'!A29</f>
        <v>41846</v>
      </c>
      <c r="B30" s="671">
        <v>0</v>
      </c>
      <c r="C30" s="672">
        <v>11.634674705552444</v>
      </c>
      <c r="D30" s="672">
        <v>0</v>
      </c>
      <c r="E30" s="673">
        <v>13.716127684964196</v>
      </c>
      <c r="F30" s="96"/>
      <c r="G30" s="308">
        <v>110597.0634477601</v>
      </c>
      <c r="H30" s="112"/>
      <c r="I30" s="102"/>
      <c r="J30" s="308">
        <v>28850.333164145421</v>
      </c>
      <c r="K30" s="308">
        <v>0</v>
      </c>
      <c r="L30" s="308">
        <v>77308.738210588737</v>
      </c>
      <c r="M30" s="391"/>
      <c r="N30" s="307">
        <v>29222.900000000005</v>
      </c>
      <c r="O30" s="307">
        <v>0</v>
      </c>
      <c r="P30" s="307">
        <v>78381.879166666695</v>
      </c>
      <c r="Q30" s="392"/>
      <c r="R30" s="307">
        <v>49.888888888888886</v>
      </c>
      <c r="S30" s="307">
        <v>0</v>
      </c>
      <c r="T30" s="307">
        <v>4217.0237500000003</v>
      </c>
      <c r="U30" s="392"/>
      <c r="V30" s="307"/>
      <c r="W30" s="307"/>
      <c r="X30" s="307"/>
      <c r="Y30" s="392"/>
      <c r="Z30" s="324"/>
      <c r="AA30" s="324"/>
      <c r="AB30" s="324"/>
      <c r="AD30" s="307">
        <v>288</v>
      </c>
      <c r="AE30" s="307">
        <v>0</v>
      </c>
      <c r="AF30" s="307">
        <v>576</v>
      </c>
      <c r="AH30" s="307">
        <v>468.66666666666669</v>
      </c>
      <c r="AI30" s="307">
        <v>0</v>
      </c>
      <c r="AJ30" s="307">
        <v>1781.68</v>
      </c>
      <c r="AL30" s="307">
        <v>131.44444444444446</v>
      </c>
      <c r="AM30" s="307">
        <v>0</v>
      </c>
      <c r="AN30" s="307">
        <v>353.33624999999995</v>
      </c>
      <c r="AP30" s="324">
        <v>0</v>
      </c>
      <c r="AQ30" s="324">
        <v>0</v>
      </c>
      <c r="AR30" s="324">
        <v>959.25</v>
      </c>
      <c r="AT30" s="324">
        <v>1814.4555555555555</v>
      </c>
      <c r="AU30" s="324">
        <v>0</v>
      </c>
      <c r="AV30" s="324">
        <v>4111.0199999999995</v>
      </c>
      <c r="AX30" s="324">
        <v>0</v>
      </c>
      <c r="AY30" s="324">
        <v>0</v>
      </c>
      <c r="AZ30" s="324">
        <v>0</v>
      </c>
    </row>
    <row r="31" spans="1:52">
      <c r="A31" s="166">
        <f>'Input Data'!A30</f>
        <v>41847</v>
      </c>
      <c r="B31" s="671">
        <v>0</v>
      </c>
      <c r="C31" s="672">
        <v>11.634674705552444</v>
      </c>
      <c r="D31" s="672">
        <v>0</v>
      </c>
      <c r="E31" s="673">
        <v>13.716127684964196</v>
      </c>
      <c r="F31" s="96"/>
      <c r="G31" s="308">
        <v>108001.19387924118</v>
      </c>
      <c r="H31" s="112"/>
      <c r="I31" s="102"/>
      <c r="J31" s="308">
        <v>28850.333164145421</v>
      </c>
      <c r="K31" s="308">
        <v>0</v>
      </c>
      <c r="L31" s="308">
        <v>77308.738210588737</v>
      </c>
      <c r="M31" s="391"/>
      <c r="N31" s="307">
        <v>29222.900000000005</v>
      </c>
      <c r="O31" s="307">
        <v>0</v>
      </c>
      <c r="P31" s="307">
        <v>78381.879166666695</v>
      </c>
      <c r="Q31" s="392"/>
      <c r="R31" s="307">
        <v>49.888888888888886</v>
      </c>
      <c r="S31" s="307">
        <v>0</v>
      </c>
      <c r="T31" s="307">
        <v>4217.0237500000003</v>
      </c>
      <c r="U31" s="392"/>
      <c r="V31" s="307"/>
      <c r="W31" s="307"/>
      <c r="X31" s="307"/>
      <c r="Y31" s="392"/>
      <c r="Z31" s="324"/>
      <c r="AA31" s="324"/>
      <c r="AB31" s="324"/>
      <c r="AD31" s="307">
        <v>288</v>
      </c>
      <c r="AE31" s="307">
        <v>0</v>
      </c>
      <c r="AF31" s="307">
        <v>576</v>
      </c>
      <c r="AH31" s="307">
        <v>468.66666666666669</v>
      </c>
      <c r="AI31" s="307">
        <v>0</v>
      </c>
      <c r="AJ31" s="307">
        <v>1781.68</v>
      </c>
      <c r="AL31" s="307">
        <v>131.44444444444446</v>
      </c>
      <c r="AM31" s="307">
        <v>0</v>
      </c>
      <c r="AN31" s="307">
        <v>353.33624999999995</v>
      </c>
      <c r="AP31" s="324">
        <v>0</v>
      </c>
      <c r="AQ31" s="324">
        <v>0</v>
      </c>
      <c r="AR31" s="324">
        <v>959.25</v>
      </c>
      <c r="AT31" s="324">
        <v>1814.4555555555555</v>
      </c>
      <c r="AU31" s="324">
        <v>0</v>
      </c>
      <c r="AV31" s="324">
        <v>4111.0199999999995</v>
      </c>
      <c r="AX31" s="324">
        <v>0</v>
      </c>
      <c r="AY31" s="324">
        <v>0</v>
      </c>
      <c r="AZ31" s="324">
        <v>0</v>
      </c>
    </row>
    <row r="32" spans="1:52">
      <c r="A32" s="166">
        <f>'Input Data'!A31</f>
        <v>41848</v>
      </c>
      <c r="B32" s="671">
        <v>0</v>
      </c>
      <c r="C32" s="672">
        <v>11.53565619742008</v>
      </c>
      <c r="D32" s="672">
        <v>0</v>
      </c>
      <c r="E32" s="673">
        <v>13.716127684964196</v>
      </c>
      <c r="F32" s="96"/>
      <c r="G32" s="308">
        <v>119483.95573796812</v>
      </c>
      <c r="H32" s="112"/>
      <c r="I32" s="102"/>
      <c r="J32" s="308">
        <v>30646.465133744288</v>
      </c>
      <c r="K32" s="308">
        <v>86961.611389323341</v>
      </c>
      <c r="L32" s="308">
        <v>0</v>
      </c>
      <c r="M32" s="391"/>
      <c r="N32" s="307">
        <v>32500.110909090912</v>
      </c>
      <c r="O32" s="307">
        <v>89715.648219697046</v>
      </c>
      <c r="P32" s="307">
        <v>0</v>
      </c>
      <c r="Q32" s="392"/>
      <c r="R32" s="307">
        <v>65.772727272727266</v>
      </c>
      <c r="S32" s="307">
        <v>8090.47346590909</v>
      </c>
      <c r="T32" s="307">
        <v>0</v>
      </c>
      <c r="U32" s="392"/>
      <c r="V32" s="307"/>
      <c r="W32" s="307"/>
      <c r="X32" s="307"/>
      <c r="Y32" s="392"/>
      <c r="Z32" s="324"/>
      <c r="AA32" s="324"/>
      <c r="AB32" s="324"/>
      <c r="AD32" s="307">
        <v>288</v>
      </c>
      <c r="AE32" s="307">
        <v>629.505</v>
      </c>
      <c r="AF32" s="307">
        <v>0</v>
      </c>
      <c r="AH32" s="307">
        <v>469.08181818181816</v>
      </c>
      <c r="AI32" s="307">
        <v>2199.0154545454548</v>
      </c>
      <c r="AJ32" s="307">
        <v>0</v>
      </c>
      <c r="AL32" s="307">
        <v>21.636363636363637</v>
      </c>
      <c r="AM32" s="307">
        <v>458.28562499999987</v>
      </c>
      <c r="AN32" s="307">
        <v>0</v>
      </c>
      <c r="AP32" s="324">
        <v>9.545454545454545</v>
      </c>
      <c r="AQ32" s="324">
        <v>213.03181818181818</v>
      </c>
      <c r="AR32" s="324">
        <v>0</v>
      </c>
      <c r="AT32" s="324">
        <v>2023.1018181818183</v>
      </c>
      <c r="AU32" s="324">
        <v>4447.186818181819</v>
      </c>
      <c r="AV32" s="324">
        <v>0</v>
      </c>
      <c r="AX32" s="324">
        <v>0</v>
      </c>
      <c r="AY32" s="324">
        <v>0</v>
      </c>
      <c r="AZ32" s="324">
        <v>0</v>
      </c>
    </row>
    <row r="33" spans="1:52">
      <c r="A33" s="166">
        <f>'Input Data'!A32</f>
        <v>41849</v>
      </c>
      <c r="B33" s="671">
        <v>0</v>
      </c>
      <c r="C33" s="672">
        <v>11.53565619742008</v>
      </c>
      <c r="D33" s="672">
        <v>0</v>
      </c>
      <c r="E33" s="673">
        <v>13.716127684964196</v>
      </c>
      <c r="F33" s="96"/>
      <c r="G33" s="308">
        <v>121402.20204923207</v>
      </c>
      <c r="H33" s="112"/>
      <c r="I33" s="102"/>
      <c r="J33" s="308">
        <v>30646.465133744288</v>
      </c>
      <c r="K33" s="308">
        <v>86961.611389323341</v>
      </c>
      <c r="L33" s="308">
        <v>0</v>
      </c>
      <c r="M33" s="391"/>
      <c r="N33" s="307">
        <v>32500.110909090912</v>
      </c>
      <c r="O33" s="307">
        <v>89715.648219697046</v>
      </c>
      <c r="P33" s="307">
        <v>0</v>
      </c>
      <c r="Q33" s="392"/>
      <c r="R33" s="307">
        <v>65.772727272727266</v>
      </c>
      <c r="S33" s="307">
        <v>8090.47346590909</v>
      </c>
      <c r="T33" s="307">
        <v>0</v>
      </c>
      <c r="U33" s="392"/>
      <c r="V33" s="307"/>
      <c r="W33" s="307"/>
      <c r="X33" s="307"/>
      <c r="Y33" s="392"/>
      <c r="Z33" s="324"/>
      <c r="AA33" s="324"/>
      <c r="AB33" s="324"/>
      <c r="AD33" s="307">
        <v>288</v>
      </c>
      <c r="AE33" s="307">
        <v>629.505</v>
      </c>
      <c r="AF33" s="307">
        <v>0</v>
      </c>
      <c r="AH33" s="307">
        <v>469.08181818181816</v>
      </c>
      <c r="AI33" s="307">
        <v>2199.0154545454548</v>
      </c>
      <c r="AJ33" s="307">
        <v>0</v>
      </c>
      <c r="AL33" s="307">
        <v>21.636363636363637</v>
      </c>
      <c r="AM33" s="307">
        <v>458.28562499999987</v>
      </c>
      <c r="AN33" s="307">
        <v>0</v>
      </c>
      <c r="AP33" s="324">
        <v>9.545454545454545</v>
      </c>
      <c r="AQ33" s="324">
        <v>213.03181818181818</v>
      </c>
      <c r="AR33" s="324">
        <v>0</v>
      </c>
      <c r="AT33" s="324">
        <v>2023.1018181818183</v>
      </c>
      <c r="AU33" s="324">
        <v>4447.186818181819</v>
      </c>
      <c r="AV33" s="324">
        <v>0</v>
      </c>
      <c r="AX33" s="324">
        <v>0</v>
      </c>
      <c r="AY33" s="324">
        <v>0</v>
      </c>
      <c r="AZ33" s="324">
        <v>0</v>
      </c>
    </row>
    <row r="34" spans="1:52">
      <c r="A34" s="166">
        <f>'Input Data'!A33</f>
        <v>41850</v>
      </c>
      <c r="B34" s="671">
        <v>0</v>
      </c>
      <c r="C34" s="672">
        <v>11.4861469433539</v>
      </c>
      <c r="D34" s="672">
        <v>0</v>
      </c>
      <c r="E34" s="673">
        <v>13.666610978520282</v>
      </c>
      <c r="F34" s="105"/>
      <c r="G34" s="308">
        <v>121435.89993477584</v>
      </c>
      <c r="H34" s="112"/>
      <c r="I34" s="104"/>
      <c r="J34" s="308">
        <v>30646.465133744288</v>
      </c>
      <c r="K34" s="308">
        <v>86961.611389323341</v>
      </c>
      <c r="L34" s="308">
        <v>0</v>
      </c>
      <c r="M34" s="391"/>
      <c r="N34" s="307">
        <v>32500.110909090912</v>
      </c>
      <c r="O34" s="307">
        <v>89715.648219697046</v>
      </c>
      <c r="P34" s="307">
        <v>0</v>
      </c>
      <c r="Q34" s="392"/>
      <c r="R34" s="307">
        <v>65.772727272727266</v>
      </c>
      <c r="S34" s="307">
        <v>8090.47346590909</v>
      </c>
      <c r="T34" s="307">
        <v>0</v>
      </c>
      <c r="U34" s="392"/>
      <c r="V34" s="307"/>
      <c r="W34" s="307"/>
      <c r="X34" s="307"/>
      <c r="Y34" s="392"/>
      <c r="Z34" s="324"/>
      <c r="AA34" s="324"/>
      <c r="AB34" s="324"/>
      <c r="AD34" s="307">
        <v>288</v>
      </c>
      <c r="AE34" s="307">
        <v>629.505</v>
      </c>
      <c r="AF34" s="307">
        <v>0</v>
      </c>
      <c r="AH34" s="307">
        <v>469.08181818181816</v>
      </c>
      <c r="AI34" s="307">
        <v>2199.0154545454548</v>
      </c>
      <c r="AJ34" s="307">
        <v>0</v>
      </c>
      <c r="AL34" s="307">
        <v>21.636363636363637</v>
      </c>
      <c r="AM34" s="307">
        <v>458.28562499999987</v>
      </c>
      <c r="AN34" s="307">
        <v>0</v>
      </c>
      <c r="AP34" s="324">
        <v>9.545454545454545</v>
      </c>
      <c r="AQ34" s="324">
        <v>213.03181818181818</v>
      </c>
      <c r="AR34" s="324">
        <v>0</v>
      </c>
      <c r="AT34" s="324">
        <v>2023.1018181818183</v>
      </c>
      <c r="AU34" s="324">
        <v>4447.186818181819</v>
      </c>
      <c r="AV34" s="324">
        <v>0</v>
      </c>
      <c r="AX34" s="324">
        <v>0</v>
      </c>
      <c r="AY34" s="324">
        <v>0</v>
      </c>
      <c r="AZ34" s="324">
        <v>0</v>
      </c>
    </row>
    <row r="35" spans="1:52">
      <c r="A35" s="166">
        <f>'Input Data'!A34</f>
        <v>41851</v>
      </c>
      <c r="B35" s="674">
        <v>0</v>
      </c>
      <c r="C35" s="398">
        <v>11.4861469433539</v>
      </c>
      <c r="D35" s="398">
        <v>0</v>
      </c>
      <c r="E35" s="675">
        <v>13.617094272076367</v>
      </c>
      <c r="F35" s="130"/>
      <c r="G35" s="340">
        <v>121319.69592839756</v>
      </c>
      <c r="H35" s="139"/>
      <c r="I35" s="333"/>
      <c r="J35" s="340">
        <v>30646.465133744288</v>
      </c>
      <c r="K35" s="340">
        <v>86961.611389323341</v>
      </c>
      <c r="L35" s="340">
        <v>0</v>
      </c>
      <c r="M35" s="130"/>
      <c r="N35" s="341">
        <v>32500.110909090912</v>
      </c>
      <c r="O35" s="341">
        <v>89715.648219697046</v>
      </c>
      <c r="P35" s="342">
        <v>0</v>
      </c>
      <c r="Q35" s="393"/>
      <c r="R35" s="341">
        <v>65.772727272727266</v>
      </c>
      <c r="S35" s="341">
        <v>8090.47346590909</v>
      </c>
      <c r="T35" s="341">
        <v>0</v>
      </c>
      <c r="U35" s="393"/>
      <c r="V35" s="341"/>
      <c r="W35" s="341"/>
      <c r="X35" s="341"/>
      <c r="Y35" s="393"/>
      <c r="Z35" s="324"/>
      <c r="AA35" s="324"/>
      <c r="AB35" s="324"/>
      <c r="AD35" s="341">
        <v>288</v>
      </c>
      <c r="AE35" s="341">
        <v>629.505</v>
      </c>
      <c r="AF35" s="341">
        <v>0</v>
      </c>
      <c r="AH35" s="341">
        <v>469.08181818181816</v>
      </c>
      <c r="AI35" s="341">
        <v>2199.0154545454548</v>
      </c>
      <c r="AJ35" s="341">
        <v>0</v>
      </c>
      <c r="AL35" s="341">
        <v>21.636363636363637</v>
      </c>
      <c r="AM35" s="341">
        <v>458.28562499999987</v>
      </c>
      <c r="AN35" s="341">
        <v>0</v>
      </c>
      <c r="AP35" s="324">
        <v>9.545454545454545</v>
      </c>
      <c r="AQ35" s="324">
        <v>213.03181818181818</v>
      </c>
      <c r="AR35" s="324">
        <v>0</v>
      </c>
      <c r="AT35" s="324">
        <v>2023.1018181818183</v>
      </c>
      <c r="AU35" s="324">
        <v>4447.186818181819</v>
      </c>
      <c r="AV35" s="324">
        <v>0</v>
      </c>
      <c r="AX35" s="324"/>
      <c r="AY35" s="324"/>
      <c r="AZ35" s="324"/>
    </row>
    <row r="36" spans="1:52" ht="14.25">
      <c r="B36" s="399"/>
      <c r="C36" s="399"/>
      <c r="D36" s="399"/>
      <c r="E36" s="399"/>
      <c r="F36" s="105"/>
      <c r="G36" s="112"/>
      <c r="H36" s="112"/>
      <c r="I36" s="112"/>
      <c r="J36" s="112"/>
      <c r="K36" s="112"/>
      <c r="L36" s="112"/>
      <c r="M36" s="112"/>
      <c r="N36" s="113"/>
      <c r="O36" s="113"/>
      <c r="P36" s="114"/>
      <c r="Q36" s="114"/>
      <c r="R36" s="95"/>
      <c r="S36" s="95"/>
      <c r="T36" s="107"/>
      <c r="U36" s="107"/>
      <c r="V36" s="95"/>
      <c r="W36" s="95"/>
      <c r="X36" s="107"/>
      <c r="Y36" s="107"/>
      <c r="Z36" s="107"/>
      <c r="AA36" s="107"/>
      <c r="AB36" s="107"/>
      <c r="AD36" s="95"/>
      <c r="AE36" s="95"/>
      <c r="AF36" s="107"/>
      <c r="AH36" s="121"/>
      <c r="AI36" s="121"/>
      <c r="AJ36" s="121"/>
      <c r="AL36" s="121"/>
      <c r="AM36" s="121"/>
      <c r="AN36" s="121"/>
    </row>
    <row r="37" spans="1:52">
      <c r="B37" s="400"/>
      <c r="C37" s="400"/>
      <c r="D37" s="400"/>
      <c r="E37" s="400">
        <f>SUM(B5:E35)</f>
        <v>768.25000000000023</v>
      </c>
      <c r="G37" s="286">
        <f>SUM(G5:G35)</f>
        <v>3542809.3258800958</v>
      </c>
      <c r="H37" s="286"/>
      <c r="I37" s="286" t="e">
        <f>SUM(I5:I36)</f>
        <v>#REF!</v>
      </c>
      <c r="J37" s="309"/>
      <c r="K37" s="431"/>
      <c r="L37" s="286">
        <f>SUM(J5:L35)</f>
        <v>3542809.325880093</v>
      </c>
      <c r="M37" s="310"/>
      <c r="P37" s="286">
        <f>SUM(N5:P35)</f>
        <v>3657189.7133333352</v>
      </c>
      <c r="Q37" s="286"/>
      <c r="T37" s="286">
        <f>SUM(R5:T35)</f>
        <v>217839.63000000012</v>
      </c>
      <c r="U37" s="286"/>
      <c r="X37" s="286">
        <f>SUM(V5:X35)</f>
        <v>0</v>
      </c>
      <c r="Y37" s="286"/>
      <c r="Z37" s="286"/>
      <c r="AA37" s="286"/>
      <c r="AB37" s="286">
        <f>SUM(Z5:AB32)</f>
        <v>0</v>
      </c>
      <c r="AD37" s="123">
        <f>SUM(AD5:AD35)</f>
        <v>8928</v>
      </c>
      <c r="AE37" s="123">
        <f>SUM(AE5:AE35)</f>
        <v>14425.109999999993</v>
      </c>
      <c r="AF37" s="123">
        <f>SUM(AF5:AF35)</f>
        <v>4608</v>
      </c>
      <c r="AH37" s="123">
        <f>SUM(AH5:AH35)</f>
        <v>14537.799999999996</v>
      </c>
      <c r="AI37" s="123">
        <f>SUM(AI5:AI35)</f>
        <v>50160.020000000011</v>
      </c>
      <c r="AJ37" s="123">
        <f>SUM(AJ5:AJ35)</f>
        <v>14253.44</v>
      </c>
      <c r="AL37" s="123">
        <f>SUM(AL5:AL35)</f>
        <v>1659.0000000000009</v>
      </c>
      <c r="AM37" s="123">
        <f>SUM(AM5:AM35)</f>
        <v>10435.619999999997</v>
      </c>
      <c r="AN37" s="123">
        <f>SUM(AN5:AN35)</f>
        <v>2826.6899999999991</v>
      </c>
      <c r="AP37" s="123">
        <f>SUM(AP5:AP35)</f>
        <v>209.99999999999989</v>
      </c>
      <c r="AQ37" s="123">
        <f>SUM(AQ5:AQ35)</f>
        <v>5645.9500000000035</v>
      </c>
      <c r="AR37" s="123">
        <f>SUM(AR5:AR35)</f>
        <v>7674</v>
      </c>
      <c r="AT37" s="123">
        <f>SUM(AT5:AT35)</f>
        <v>60838.34000000004</v>
      </c>
      <c r="AU37" s="123">
        <f>SUM(AU5:AU35)</f>
        <v>101949.12999999999</v>
      </c>
      <c r="AV37" s="123">
        <f>SUM(AV5:AV35)</f>
        <v>32888.159999999996</v>
      </c>
      <c r="AX37" s="123">
        <f>SUM(AX5:AX35)</f>
        <v>0</v>
      </c>
      <c r="AY37" s="123">
        <f>SUM(AY5:AY35)</f>
        <v>0</v>
      </c>
      <c r="AZ37" s="123">
        <f>SUM(AZ5:AZ35)</f>
        <v>0</v>
      </c>
    </row>
    <row r="38" spans="1:52" ht="15" thickBot="1">
      <c r="B38" s="397"/>
      <c r="C38" s="397"/>
      <c r="D38" s="397"/>
      <c r="H38" s="93"/>
      <c r="I38" s="93"/>
      <c r="J38" s="93"/>
      <c r="K38" s="93"/>
      <c r="L38" s="93"/>
      <c r="O38" s="99"/>
      <c r="P38" s="1"/>
      <c r="Q38" s="389"/>
      <c r="AD38" s="122"/>
      <c r="AE38" s="122"/>
      <c r="AF38" s="122"/>
      <c r="AH38" s="122"/>
      <c r="AI38" s="122"/>
      <c r="AJ38" s="122"/>
      <c r="AL38" s="122"/>
      <c r="AM38" s="122"/>
      <c r="AN38" s="122"/>
    </row>
    <row r="39" spans="1:52" ht="14.25">
      <c r="B39" s="397"/>
      <c r="C39" s="397"/>
      <c r="D39" s="701" t="s">
        <v>319</v>
      </c>
      <c r="E39" s="702"/>
      <c r="F39" s="702"/>
      <c r="G39" s="552">
        <f>(HLOOKUP('OSS Summary'!$F$2,'2014 Budget'!$D$6:$P111,56,0))</f>
        <v>28.850748360646211</v>
      </c>
      <c r="H39" s="93"/>
      <c r="I39" s="93"/>
      <c r="J39" s="93"/>
      <c r="K39" s="93"/>
      <c r="L39" s="93"/>
      <c r="O39" s="99"/>
      <c r="P39" s="1"/>
      <c r="Q39" s="389"/>
      <c r="AE39" s="122"/>
      <c r="AF39" s="123">
        <f>AD37+AE37+AF37</f>
        <v>27961.109999999993</v>
      </c>
      <c r="AI39" s="122"/>
      <c r="AJ39" s="123">
        <f>AH37+AI37+AJ37</f>
        <v>78951.260000000009</v>
      </c>
      <c r="AM39" s="93"/>
      <c r="AN39" s="123">
        <f>AL37+AM37+AN37</f>
        <v>14921.309999999998</v>
      </c>
      <c r="AR39" s="123">
        <f>AP37+AQ37+AR37</f>
        <v>13529.950000000004</v>
      </c>
      <c r="AV39" s="123">
        <f>AT37+AU37+AV37</f>
        <v>195675.63000000003</v>
      </c>
      <c r="AZ39" s="123">
        <f>AX37+AY37+AZ37</f>
        <v>0</v>
      </c>
    </row>
    <row r="40" spans="1:52" ht="15" thickBot="1">
      <c r="B40" s="401"/>
      <c r="C40" s="401"/>
      <c r="D40" s="703" t="s">
        <v>320</v>
      </c>
      <c r="E40" s="704"/>
      <c r="F40" s="704"/>
      <c r="G40" s="553">
        <f>(HLOOKUP('OSS Summary'!$F$2,'2014 Budget'!$D$6:$P111,60,0))</f>
        <v>27.196316521208896</v>
      </c>
      <c r="H40" s="302"/>
      <c r="I40" s="302"/>
      <c r="J40" s="432"/>
      <c r="K40" s="432"/>
      <c r="L40" s="432"/>
      <c r="M40" s="432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</row>
    <row r="42" spans="1:52">
      <c r="G42" s="276"/>
    </row>
    <row r="43" spans="1:52">
      <c r="G43" s="276"/>
    </row>
    <row r="44" spans="1:52">
      <c r="J44" s="276"/>
    </row>
    <row r="45" spans="1:52">
      <c r="G45" s="276"/>
    </row>
    <row r="46" spans="1:52">
      <c r="G46" s="677"/>
    </row>
    <row r="47" spans="1:52">
      <c r="G47" s="677"/>
    </row>
  </sheetData>
  <sortState ref="D5:D34">
    <sortCondition descending="1" ref="D5"/>
  </sortState>
  <mergeCells count="14">
    <mergeCell ref="D39:F39"/>
    <mergeCell ref="D40:F40"/>
    <mergeCell ref="AT2:AV2"/>
    <mergeCell ref="AD2:AF2"/>
    <mergeCell ref="AX2:AZ2"/>
    <mergeCell ref="AP2:AR2"/>
    <mergeCell ref="B2:E2"/>
    <mergeCell ref="Z2:AB2"/>
    <mergeCell ref="AH2:AJ2"/>
    <mergeCell ref="AL2:AN2"/>
    <mergeCell ref="N2:P2"/>
    <mergeCell ref="V2:X2"/>
    <mergeCell ref="R2:T2"/>
    <mergeCell ref="J2:L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99"/>
  <sheetViews>
    <sheetView zoomScale="79" zoomScaleNormal="79" workbookViewId="0">
      <pane xSplit="1" ySplit="8" topLeftCell="E158" activePane="bottomRight" state="frozen"/>
      <selection pane="topRight" activeCell="B1" sqref="B1"/>
      <selection pane="bottomLeft" activeCell="A9" sqref="A9"/>
      <selection pane="bottomRight" sqref="A1:S1048576"/>
    </sheetView>
  </sheetViews>
  <sheetFormatPr defaultRowHeight="12.75"/>
  <cols>
    <col min="1" max="1" width="43.140625" style="160" bestFit="1" customWidth="1"/>
    <col min="2" max="4" width="18.140625" style="1" customWidth="1"/>
    <col min="5" max="5" width="13.42578125" style="1" customWidth="1"/>
    <col min="6" max="8" width="18.140625" style="1" customWidth="1"/>
    <col min="9" max="9" width="13.5703125" style="1" customWidth="1"/>
    <col min="10" max="12" width="18.140625" style="1" customWidth="1"/>
    <col min="13" max="13" width="13.7109375" customWidth="1"/>
    <col min="15" max="15" width="13.7109375" customWidth="1"/>
    <col min="16" max="16" width="12.140625" customWidth="1"/>
    <col min="17" max="17" width="15.28515625" customWidth="1"/>
  </cols>
  <sheetData>
    <row r="1" spans="1:16" s="159" customFormat="1" ht="23.25">
      <c r="B1" s="195"/>
      <c r="C1" s="195"/>
      <c r="D1" s="195"/>
      <c r="E1" s="195"/>
      <c r="F1" s="706" t="s">
        <v>239</v>
      </c>
      <c r="G1" s="706"/>
      <c r="H1" s="706"/>
      <c r="I1" s="706"/>
      <c r="J1" s="195"/>
      <c r="K1" s="195"/>
      <c r="L1" s="195"/>
      <c r="M1" s="195"/>
      <c r="N1" s="193"/>
    </row>
    <row r="2" spans="1:16" s="159" customFormat="1" ht="20.25">
      <c r="A2" s="371"/>
      <c r="B2" s="194"/>
      <c r="C2" s="194"/>
      <c r="D2" s="194"/>
      <c r="E2" s="194"/>
      <c r="F2" s="707" t="s">
        <v>12</v>
      </c>
      <c r="G2" s="707"/>
      <c r="H2" s="707"/>
      <c r="I2" s="707"/>
      <c r="J2" s="194"/>
      <c r="K2" s="194"/>
      <c r="L2" s="194"/>
      <c r="M2" s="194"/>
      <c r="N2" s="193"/>
    </row>
    <row r="3" spans="1:16" s="159" customFormat="1" ht="21" customHeight="1">
      <c r="B3" s="194"/>
      <c r="C3" s="194"/>
      <c r="D3" s="194"/>
      <c r="E3" s="194"/>
      <c r="F3" s="708">
        <v>2014</v>
      </c>
      <c r="G3" s="708"/>
      <c r="H3" s="708"/>
      <c r="I3" s="708"/>
      <c r="J3" s="194"/>
      <c r="K3" s="194"/>
      <c r="L3" s="194"/>
      <c r="M3" s="194"/>
      <c r="N3" s="193"/>
    </row>
    <row r="4" spans="1:16" s="159" customFormat="1" ht="16.5" customHeight="1">
      <c r="B4" s="194"/>
      <c r="C4" s="194"/>
      <c r="D4" s="194"/>
      <c r="E4" s="194"/>
      <c r="F4" s="212"/>
      <c r="G4" s="212"/>
      <c r="H4" s="212"/>
      <c r="I4" s="212"/>
      <c r="J4" s="194"/>
      <c r="K4" s="194"/>
      <c r="L4" s="194"/>
      <c r="M4" s="194"/>
      <c r="N4" s="193"/>
    </row>
    <row r="5" spans="1:16" s="159" customFormat="1" ht="18.75" customHeight="1">
      <c r="A5" s="371"/>
      <c r="B5" s="194"/>
      <c r="C5" s="717" t="str">
        <f>'Chart Data'!$E$37</f>
        <v>Thursday</v>
      </c>
      <c r="D5" s="717"/>
      <c r="E5" s="194"/>
      <c r="F5" s="212"/>
      <c r="G5" s="212"/>
      <c r="H5" s="212"/>
      <c r="I5" s="212"/>
      <c r="J5" s="194"/>
      <c r="K5" s="194"/>
      <c r="L5" s="194"/>
      <c r="M5" s="194"/>
      <c r="N5" s="193"/>
    </row>
    <row r="6" spans="1:16" s="159" customFormat="1" ht="18">
      <c r="A6" s="195"/>
      <c r="B6" s="593" t="s">
        <v>326</v>
      </c>
      <c r="C6" s="716">
        <f>'Chart Data'!D37</f>
        <v>41851</v>
      </c>
      <c r="D6" s="716"/>
      <c r="E6" s="589"/>
      <c r="F6" s="709" t="str">
        <f>"Month to Date as of "&amp; TEXT(DATE($F$3,MONTH('Input Data'!$A$4),'Input Data'!$A$1),"M/D")</f>
        <v>Month to Date as of 7/29</v>
      </c>
      <c r="G6" s="710"/>
      <c r="H6" s="710"/>
      <c r="I6" s="711"/>
      <c r="J6" s="713" t="str">
        <f>"Year to Date as of "&amp; TEXT(DATE($F$3,MONTH('Input Data'!$A$4),'Input Data'!$A$1),"M/D")</f>
        <v>Year to Date as of 7/29</v>
      </c>
      <c r="K6" s="714"/>
      <c r="L6" s="714"/>
      <c r="M6" s="715"/>
      <c r="N6" s="193"/>
    </row>
    <row r="7" spans="1:16" s="159" customFormat="1" ht="18" customHeight="1">
      <c r="A7" s="196"/>
      <c r="B7" s="292" t="s">
        <v>50</v>
      </c>
      <c r="C7" s="293" t="s">
        <v>406</v>
      </c>
      <c r="D7" s="293" t="s">
        <v>104</v>
      </c>
      <c r="E7" s="298" t="s">
        <v>127</v>
      </c>
      <c r="F7" s="294" t="s">
        <v>50</v>
      </c>
      <c r="G7" s="295" t="s">
        <v>406</v>
      </c>
      <c r="H7" s="295" t="s">
        <v>104</v>
      </c>
      <c r="I7" s="299" t="s">
        <v>127</v>
      </c>
      <c r="J7" s="296" t="s">
        <v>50</v>
      </c>
      <c r="K7" s="297" t="s">
        <v>406</v>
      </c>
      <c r="L7" s="297" t="s">
        <v>104</v>
      </c>
      <c r="M7" s="300" t="s">
        <v>127</v>
      </c>
      <c r="N7" s="193"/>
    </row>
    <row r="8" spans="1:16" s="93" customFormat="1" ht="15" customHeight="1">
      <c r="A8" s="197"/>
      <c r="B8" s="590"/>
      <c r="C8" s="591"/>
      <c r="D8" s="591"/>
      <c r="E8" s="592" t="s">
        <v>128</v>
      </c>
      <c r="F8" s="361"/>
      <c r="G8" s="362"/>
      <c r="H8" s="362"/>
      <c r="I8" s="299" t="s">
        <v>128</v>
      </c>
      <c r="J8" s="365"/>
      <c r="K8" s="366"/>
      <c r="L8" s="366"/>
      <c r="M8" s="300" t="s">
        <v>128</v>
      </c>
    </row>
    <row r="9" spans="1:16" ht="16.5" customHeight="1">
      <c r="A9" s="588" t="s">
        <v>221</v>
      </c>
      <c r="B9" s="202">
        <f>(VLOOKUP($C$6,'Input Data'!A4:AH34,2,0))</f>
        <v>0</v>
      </c>
      <c r="C9" s="202">
        <f>(HLOOKUP($F$2,'2014 Budget'!$D$6:$P$111,8,0)/HLOOKUP($F$2,'2014 Budget'!$D$6:$P$111,2,0))</f>
        <v>19562.967741935485</v>
      </c>
      <c r="D9" s="202">
        <f>B9-C9</f>
        <v>-19562.967741935485</v>
      </c>
      <c r="E9" s="204"/>
      <c r="F9" s="198">
        <f>'Input Data'!I36</f>
        <v>639707.04</v>
      </c>
      <c r="G9" s="199">
        <f>C9*'Input Data'!A1</f>
        <v>567326.06451612909</v>
      </c>
      <c r="H9" s="199">
        <f>F9-G9</f>
        <v>72380.975483870949</v>
      </c>
      <c r="I9" s="199"/>
      <c r="J9" s="198">
        <f>'Year to Date'!G20+F9</f>
        <v>25095595.039999999</v>
      </c>
      <c r="K9" s="199">
        <f>'Year to Date'!G59+G9</f>
        <v>8696071.7645161282</v>
      </c>
      <c r="L9" s="199">
        <f>J9-K9</f>
        <v>16399523.275483871</v>
      </c>
      <c r="M9" s="200"/>
      <c r="N9" s="93"/>
      <c r="O9" s="223"/>
    </row>
    <row r="10" spans="1:16" ht="16.5" customHeight="1">
      <c r="A10" s="382" t="s">
        <v>222</v>
      </c>
      <c r="B10" s="202">
        <f>(VLOOKUP($C$6,'Input Data'!A4:AH34,20,0))</f>
        <v>0</v>
      </c>
      <c r="C10" s="202">
        <f>(HLOOKUP($F$2,'2014 Budget'!$D$6:$P$111,13,0)/HLOOKUP($F$2,'2014 Budget'!$D$6:$P$111,2,0))</f>
        <v>0</v>
      </c>
      <c r="D10" s="202">
        <f>C10-B10</f>
        <v>0</v>
      </c>
      <c r="E10" s="204"/>
      <c r="F10" s="201">
        <f>'Input Data'!T36</f>
        <v>11100.000000000044</v>
      </c>
      <c r="G10" s="202">
        <f>C10*'Input Data'!A1</f>
        <v>0</v>
      </c>
      <c r="H10" s="202">
        <f>G10-F10</f>
        <v>-11100.000000000044</v>
      </c>
      <c r="I10" s="202"/>
      <c r="J10" s="201">
        <f>'Year to Date'!Y20+F10</f>
        <v>51832.242665999613</v>
      </c>
      <c r="K10" s="202">
        <f>'Year to Date'!J59+G10</f>
        <v>26655.3</v>
      </c>
      <c r="L10" s="202">
        <f>K10-J10</f>
        <v>-25176.942665999613</v>
      </c>
      <c r="M10" s="203"/>
      <c r="N10" s="93"/>
      <c r="O10" s="223"/>
    </row>
    <row r="11" spans="1:16" ht="16.5" customHeight="1">
      <c r="A11" s="382" t="s">
        <v>223</v>
      </c>
      <c r="B11" s="202">
        <f>(VLOOKUP($C$6,'Input Data'!A4:AH34,25,0))</f>
        <v>0</v>
      </c>
      <c r="C11" s="202">
        <f>(HLOOKUP($F$2,'2014 Budget'!$D$6:$P$111,28,0)/HLOOKUP($F$2,'2014 Budget'!$D$6:$P$111,2,0))</f>
        <v>13154.254838709676</v>
      </c>
      <c r="D11" s="202">
        <f>C11-B11</f>
        <v>13154.254838709676</v>
      </c>
      <c r="E11" s="204"/>
      <c r="F11" s="201">
        <f>'Input Data'!Y36</f>
        <v>455343.98289999994</v>
      </c>
      <c r="G11" s="202">
        <f>C11*'Input Data'!A1</f>
        <v>381473.39032258058</v>
      </c>
      <c r="H11" s="202">
        <f>G11-F11</f>
        <v>-73870.59257741936</v>
      </c>
      <c r="I11" s="202"/>
      <c r="J11" s="201">
        <f>'Year to Date'!X20+F11</f>
        <v>12625963.164299998</v>
      </c>
      <c r="K11" s="202">
        <f>'Year to Date'!I59+G11</f>
        <v>5971903.9903225806</v>
      </c>
      <c r="L11" s="202">
        <f>K11-J11</f>
        <v>-6654059.1739774179</v>
      </c>
      <c r="M11" s="203"/>
      <c r="N11" s="93"/>
      <c r="O11" s="223"/>
    </row>
    <row r="12" spans="1:16" ht="16.5" customHeight="1">
      <c r="A12" s="382" t="s">
        <v>273</v>
      </c>
      <c r="B12" s="202">
        <f>(VLOOKUP($C$6,'Input Data'!A4:AH34,19,0))</f>
        <v>0</v>
      </c>
      <c r="C12" s="202">
        <f>(HLOOKUP($F$2,'2014 Budget'!$D$6:$P$111,17,0)/HLOOKUP($F$2,'2014 Budget'!$D$6:$P$111,2,0))</f>
        <v>0</v>
      </c>
      <c r="D12" s="202">
        <f>C12-B12</f>
        <v>0</v>
      </c>
      <c r="E12" s="204" t="s">
        <v>68</v>
      </c>
      <c r="F12" s="201">
        <f>'Input Data'!S36</f>
        <v>6388.5</v>
      </c>
      <c r="G12" s="202">
        <f>C12*'Input Data'!A1</f>
        <v>0</v>
      </c>
      <c r="H12" s="202">
        <f>G12-F12</f>
        <v>-6388.5</v>
      </c>
      <c r="I12" s="202"/>
      <c r="J12" s="201">
        <f>'Year to Date'!H20+'Year to Date'!W20+F12</f>
        <v>172585.5</v>
      </c>
      <c r="K12" s="202">
        <f>'Year to Date'!L59+G12</f>
        <v>0</v>
      </c>
      <c r="L12" s="202">
        <f>K12-J12</f>
        <v>-172585.5</v>
      </c>
      <c r="M12" s="203"/>
      <c r="N12" s="93"/>
      <c r="O12" s="223"/>
    </row>
    <row r="13" spans="1:16" ht="16.5" customHeight="1">
      <c r="A13" s="382" t="s">
        <v>224</v>
      </c>
      <c r="B13" s="202">
        <f>(VLOOKUP($C$6,'Input Data'!A4:AH34,18,0))</f>
        <v>0</v>
      </c>
      <c r="C13" s="202">
        <f>(HLOOKUP($F$2,'2014 Budget'!$D$6:$P$111,21,0)/HLOOKUP($F$2,'2014 Budget'!$D$6:$P$111,2,0))</f>
        <v>1317.7387096774194</v>
      </c>
      <c r="D13" s="202">
        <f>C13-B13</f>
        <v>1317.7387096774194</v>
      </c>
      <c r="E13" s="204"/>
      <c r="F13" s="201">
        <f>'Input Data'!R36</f>
        <v>3379.9279750000005</v>
      </c>
      <c r="G13" s="202">
        <f>C13*'Input Data'!A1</f>
        <v>38214.422580645165</v>
      </c>
      <c r="H13" s="202">
        <f>G13-F13</f>
        <v>34834.494605645166</v>
      </c>
      <c r="I13" s="202"/>
      <c r="J13" s="201">
        <f>'Year to Date'!I20+F13</f>
        <v>1424961.9279750001</v>
      </c>
      <c r="K13" s="202">
        <f>'Year to Date'!K59+G13</f>
        <v>352983.22258064523</v>
      </c>
      <c r="L13" s="202">
        <f>K13-J13</f>
        <v>-1071978.7053943549</v>
      </c>
      <c r="M13" s="203"/>
      <c r="N13" s="93"/>
      <c r="O13" s="223"/>
    </row>
    <row r="14" spans="1:16" ht="16.5" customHeight="1">
      <c r="A14" s="382" t="s">
        <v>225</v>
      </c>
      <c r="B14" s="202">
        <f>(VLOOKUP($C$6,'Input Data'!A4:AH34,6,0))</f>
        <v>0</v>
      </c>
      <c r="C14" s="202">
        <f>(HLOOKUP($F$2,'2014 Budget'!$D$6:$P$111,23,0)/HLOOKUP($F$2,'2014 Budget'!$D$6:$P$111,2,0))</f>
        <v>1304.3109677419354</v>
      </c>
      <c r="D14" s="202">
        <f>C14-B14</f>
        <v>1304.3109677419354</v>
      </c>
      <c r="E14" s="204"/>
      <c r="F14" s="201">
        <f>'Input Data'!F36</f>
        <v>40527.207000000002</v>
      </c>
      <c r="G14" s="202">
        <f>C14*'Input Data'!A1</f>
        <v>37825.018064516131</v>
      </c>
      <c r="H14" s="202">
        <f>G14-F14</f>
        <v>-2702.1889354838713</v>
      </c>
      <c r="I14" s="202"/>
      <c r="J14" s="201">
        <f>'Year to Date'!Q20+F14</f>
        <v>1161053.2069999999</v>
      </c>
      <c r="K14" s="202">
        <f>'Year to Date'!M59+G14</f>
        <v>635867.95406451612</v>
      </c>
      <c r="L14" s="202">
        <f>K14-J14</f>
        <v>-525185.25293548382</v>
      </c>
      <c r="M14" s="203"/>
      <c r="N14" s="93"/>
      <c r="O14" s="317"/>
      <c r="P14" s="317"/>
    </row>
    <row r="15" spans="1:16" ht="16.5" customHeight="1">
      <c r="A15" s="382"/>
      <c r="B15" s="201"/>
      <c r="C15" s="202"/>
      <c r="D15" s="202"/>
      <c r="E15" s="210"/>
      <c r="F15" s="201"/>
      <c r="G15" s="202"/>
      <c r="H15" s="202"/>
      <c r="I15" s="202"/>
      <c r="J15" s="201"/>
      <c r="K15" s="202"/>
      <c r="L15" s="202"/>
      <c r="M15" s="203"/>
      <c r="N15" s="93"/>
    </row>
    <row r="16" spans="1:16" ht="16.5" customHeight="1">
      <c r="A16" s="383" t="s">
        <v>247</v>
      </c>
      <c r="B16" s="201">
        <f>B9-B10-B11-B12-B13-B14</f>
        <v>0</v>
      </c>
      <c r="C16" s="202">
        <f>C9-C10-C11-C12-C13-C14</f>
        <v>3786.6632258064546</v>
      </c>
      <c r="D16" s="202">
        <f>B16-C16</f>
        <v>-3786.6632258064546</v>
      </c>
      <c r="E16" s="211">
        <f>IFERROR((B16/C16)-1,"-")</f>
        <v>-1</v>
      </c>
      <c r="F16" s="201">
        <f>F9-F10-F11-F12-F13-F14</f>
        <v>122967.4221250001</v>
      </c>
      <c r="G16" s="202">
        <f>G9-G10-G11-G12-G13-G14</f>
        <v>109813.23354838722</v>
      </c>
      <c r="H16" s="202">
        <f>F16-G16</f>
        <v>13154.188576612883</v>
      </c>
      <c r="I16" s="272">
        <f>IFERROR((F16/G16)-1,"-")</f>
        <v>0.11978691594412183</v>
      </c>
      <c r="J16" s="201">
        <f>J9-J10-J11-J12-J13-J14</f>
        <v>9659198.9980590008</v>
      </c>
      <c r="K16" s="202">
        <f>K9-K10-K11-K12-K13-K14</f>
        <v>1708661.2975483856</v>
      </c>
      <c r="L16" s="202">
        <f>J16-K16</f>
        <v>7950537.7005106155</v>
      </c>
      <c r="M16" s="211">
        <f>(J16/K16)-1</f>
        <v>4.6530799942142851</v>
      </c>
      <c r="N16" s="93"/>
      <c r="O16" s="223"/>
    </row>
    <row r="17" spans="1:14" ht="16.5" customHeight="1">
      <c r="A17" s="530" t="s">
        <v>306</v>
      </c>
      <c r="B17" s="531">
        <f>B16</f>
        <v>0</v>
      </c>
      <c r="C17" s="532">
        <f>C16</f>
        <v>3786.6632258064546</v>
      </c>
      <c r="D17" s="532">
        <f>B17-C17</f>
        <v>-3786.6632258064546</v>
      </c>
      <c r="E17" s="534">
        <f>IFERROR((B17/C17)-1,"-")</f>
        <v>-1</v>
      </c>
      <c r="F17" s="531">
        <f>F16</f>
        <v>122967.4221250001</v>
      </c>
      <c r="G17" s="532">
        <f>C17*'Input Data'!A1</f>
        <v>109813.23354838719</v>
      </c>
      <c r="H17" s="532">
        <f>F17-G17</f>
        <v>13154.188576612913</v>
      </c>
      <c r="I17" s="534">
        <f>(F17/G17)-1</f>
        <v>0.11978691594412227</v>
      </c>
      <c r="J17" s="531">
        <f>J16</f>
        <v>9659198.9980590008</v>
      </c>
      <c r="K17" s="532">
        <f>K16</f>
        <v>1708661.2975483856</v>
      </c>
      <c r="L17" s="532">
        <f>J17-K17</f>
        <v>7950537.7005106155</v>
      </c>
      <c r="M17" s="533">
        <f>(J17/K17)-1</f>
        <v>4.6530799942142851</v>
      </c>
      <c r="N17" s="93"/>
    </row>
    <row r="18" spans="1:14" ht="16.5" customHeight="1">
      <c r="A18" s="382"/>
      <c r="B18" s="201"/>
      <c r="C18" s="202"/>
      <c r="D18" s="202"/>
      <c r="E18" s="211"/>
      <c r="F18" s="201"/>
      <c r="G18" s="202"/>
      <c r="H18" s="202"/>
      <c r="I18" s="272"/>
      <c r="J18" s="201"/>
      <c r="K18" s="202"/>
      <c r="L18" s="202"/>
      <c r="M18" s="211"/>
      <c r="N18" s="93"/>
    </row>
    <row r="19" spans="1:14" ht="16.5" customHeight="1">
      <c r="A19" s="382"/>
      <c r="B19" s="201"/>
      <c r="C19" s="208"/>
      <c r="D19" s="208"/>
      <c r="E19" s="204"/>
      <c r="F19" s="201"/>
      <c r="G19" s="202"/>
      <c r="H19" s="202"/>
      <c r="I19" s="272"/>
      <c r="J19" s="218"/>
      <c r="K19" s="202"/>
      <c r="L19" s="202"/>
      <c r="M19" s="211"/>
      <c r="N19" s="93"/>
    </row>
    <row r="20" spans="1:14" ht="16.5" customHeight="1">
      <c r="A20" s="383" t="s">
        <v>226</v>
      </c>
      <c r="B20" s="207"/>
      <c r="C20" s="208"/>
      <c r="D20" s="208"/>
      <c r="E20" s="204"/>
      <c r="F20" s="219"/>
      <c r="G20" s="209"/>
      <c r="H20" s="209"/>
      <c r="I20" s="209"/>
      <c r="J20" s="201"/>
      <c r="K20" s="209"/>
      <c r="L20" s="209"/>
      <c r="M20" s="220"/>
      <c r="N20" s="93"/>
    </row>
    <row r="21" spans="1:14" ht="16.5" customHeight="1">
      <c r="A21" s="382" t="s">
        <v>227</v>
      </c>
      <c r="B21" s="202">
        <f>(VLOOKUP($C$6,'Input Data'!A4:AH34,24,0))</f>
        <v>0</v>
      </c>
      <c r="C21" s="202">
        <f>(HLOOKUP($F$2,'2014 Budget'!$D$6:$P$111,26,0)/HLOOKUP($F$2,'2014 Budget'!$D$6:$P$111,2,0))</f>
        <v>436.45161290322579</v>
      </c>
      <c r="D21" s="216">
        <f>B21-C21</f>
        <v>-436.45161290322579</v>
      </c>
      <c r="E21" s="211">
        <f>IFERROR((B21/C21)-1,"-")</f>
        <v>-1</v>
      </c>
      <c r="F21" s="201">
        <f>'Input Data'!X36</f>
        <v>12777</v>
      </c>
      <c r="G21" s="202">
        <f>C21*'Input Data'!A1</f>
        <v>12657.096774193547</v>
      </c>
      <c r="H21" s="216">
        <f>F21-G21</f>
        <v>119.90322580645261</v>
      </c>
      <c r="I21" s="272">
        <f>IFERROR((F21/G21)-1,"-")</f>
        <v>9.4732013150853334E-3</v>
      </c>
      <c r="J21" s="201">
        <f>'Year to Date'!U20+F21</f>
        <v>320745</v>
      </c>
      <c r="K21" s="202">
        <f>'Year to Date'!C59+G21</f>
        <v>207663.19677419352</v>
      </c>
      <c r="L21" s="216">
        <f>J21-K21</f>
        <v>113081.80322580648</v>
      </c>
      <c r="M21" s="211">
        <f>(J21/K21)-1</f>
        <v>0.54454426678583823</v>
      </c>
      <c r="N21" s="93"/>
    </row>
    <row r="22" spans="1:14" ht="16.5" customHeight="1">
      <c r="A22" s="382" t="s">
        <v>228</v>
      </c>
      <c r="B22" s="202">
        <f>(VLOOKUP($C$6,'Input Data'!A4:AH34,23,0))</f>
        <v>0</v>
      </c>
      <c r="C22" s="202">
        <f>(HLOOKUP($F$2,'2014 Budget'!$D$6:$P$111,77,0)/HLOOKUP($F$2,'2014 Budget'!$D$6:$P$111,2,0))</f>
        <v>0</v>
      </c>
      <c r="D22" s="202">
        <f>B22-C22</f>
        <v>0</v>
      </c>
      <c r="E22" s="211"/>
      <c r="F22" s="201">
        <f>'Input Data'!W36</f>
        <v>111</v>
      </c>
      <c r="G22" s="202">
        <f>C22*'Input Data'!A1</f>
        <v>0</v>
      </c>
      <c r="H22" s="202">
        <f>F22-G22</f>
        <v>111</v>
      </c>
      <c r="I22" s="272"/>
      <c r="J22" s="201">
        <f>'Year to Date'!P59+F22</f>
        <v>1054</v>
      </c>
      <c r="K22" s="202">
        <f>'Year to Date'!D59+G22</f>
        <v>485.20000000000005</v>
      </c>
      <c r="L22" s="202">
        <f>J22-K22</f>
        <v>568.79999999999995</v>
      </c>
      <c r="M22" s="211"/>
      <c r="N22" s="93"/>
    </row>
    <row r="23" spans="1:14" ht="16.5" customHeight="1">
      <c r="A23" s="382" t="s">
        <v>229</v>
      </c>
      <c r="B23" s="201">
        <f>SUM(B21:B22)</f>
        <v>0</v>
      </c>
      <c r="C23" s="202">
        <f>SUM(C21:C22)</f>
        <v>436.45161290322579</v>
      </c>
      <c r="D23" s="202">
        <f>B23-C23</f>
        <v>-436.45161290322579</v>
      </c>
      <c r="E23" s="211">
        <f>IFERROR((B23/C23)-1,"-")</f>
        <v>-1</v>
      </c>
      <c r="F23" s="201">
        <f>SUM(F21:F22)</f>
        <v>12888</v>
      </c>
      <c r="G23" s="202">
        <f>C23*'Input Data'!A1</f>
        <v>12657.096774193547</v>
      </c>
      <c r="H23" s="202">
        <f>F23-G23</f>
        <v>230.90322580645261</v>
      </c>
      <c r="I23" s="272">
        <f>IFERROR((F23/G23)-1,"-")</f>
        <v>1.8242984937686391E-2</v>
      </c>
      <c r="J23" s="201">
        <f>SUM(J21:J22)</f>
        <v>321799</v>
      </c>
      <c r="K23" s="202">
        <f>SUM(K21:K22)</f>
        <v>208148.39677419353</v>
      </c>
      <c r="L23" s="202">
        <f>J23-K23</f>
        <v>113650.60322580647</v>
      </c>
      <c r="M23" s="211">
        <f>(J23/K23)-1</f>
        <v>0.54600758395030313</v>
      </c>
      <c r="N23" s="93"/>
    </row>
    <row r="24" spans="1:14" ht="16.5" customHeight="1">
      <c r="A24" s="382"/>
      <c r="B24" s="201"/>
      <c r="C24" s="202"/>
      <c r="D24" s="202"/>
      <c r="E24" s="211"/>
      <c r="F24" s="201"/>
      <c r="G24" s="202"/>
      <c r="H24" s="202"/>
      <c r="I24" s="272"/>
      <c r="J24" s="201"/>
      <c r="K24" s="202"/>
      <c r="L24" s="202"/>
      <c r="M24" s="211"/>
      <c r="N24" s="93"/>
    </row>
    <row r="25" spans="1:14" ht="16.5" customHeight="1">
      <c r="A25" s="382" t="s">
        <v>230</v>
      </c>
      <c r="B25" s="218" t="str">
        <f>IFERROR(B9/B23,"-")</f>
        <v>-</v>
      </c>
      <c r="C25" s="217">
        <f>IFERROR(C9/C23,"-")</f>
        <v>44.822764227642281</v>
      </c>
      <c r="D25" s="217" t="str">
        <f>IFERROR(B25-C25,"-")</f>
        <v>-</v>
      </c>
      <c r="E25" s="211" t="str">
        <f>IFERROR((B25/C25)-1,"-")</f>
        <v>-</v>
      </c>
      <c r="F25" s="218">
        <f>IFERROR(F9/F23,"-")</f>
        <v>49.635865921787712</v>
      </c>
      <c r="G25" s="217">
        <f>IFERROR(G9/G23,"-")</f>
        <v>44.822764227642281</v>
      </c>
      <c r="H25" s="217">
        <f>IFERROR(F25-G25,"-")</f>
        <v>4.8131016941454305</v>
      </c>
      <c r="I25" s="272">
        <f>IFERROR((F25/G25)-1,"-")</f>
        <v>0.10738074228758032</v>
      </c>
      <c r="J25" s="218">
        <f>J9/J23</f>
        <v>77.985310830673797</v>
      </c>
      <c r="K25" s="217">
        <f>K9/K23</f>
        <v>41.778230816497341</v>
      </c>
      <c r="L25" s="217">
        <f>J25-K25</f>
        <v>36.207080014176455</v>
      </c>
      <c r="M25" s="211">
        <f>(J25/K25)-1</f>
        <v>0.86664943216980461</v>
      </c>
      <c r="N25" s="93"/>
    </row>
    <row r="26" spans="1:14" ht="16.5" customHeight="1">
      <c r="A26" s="382" t="s">
        <v>231</v>
      </c>
      <c r="B26" s="218" t="str">
        <f>IFERROR((B9-B13-B14)/B23,"-")</f>
        <v>-</v>
      </c>
      <c r="C26" s="217">
        <f>IFERROR((C9-C13-C14)/C23,"-")</f>
        <v>38.81511160384332</v>
      </c>
      <c r="D26" s="217" t="str">
        <f>IFERROR(B26-C26,"-")</f>
        <v>-</v>
      </c>
      <c r="E26" s="210"/>
      <c r="F26" s="218">
        <f>IFERROR((F9-F13-F14)/F23,"-")</f>
        <v>46.229042910071385</v>
      </c>
      <c r="G26" s="217">
        <f>IFERROR((G9-G13-G14)/G23,"-")</f>
        <v>38.815111603843313</v>
      </c>
      <c r="H26" s="217">
        <f>IFERROR(F26-G26,"-")</f>
        <v>7.4139313062280721</v>
      </c>
      <c r="I26" s="272"/>
      <c r="J26" s="218">
        <f>(J9-J13-J14)/J23</f>
        <v>69.949191591723405</v>
      </c>
      <c r="K26" s="217">
        <f>(K9-K13-K14)/K23</f>
        <v>37.027527991157299</v>
      </c>
      <c r="L26" s="217">
        <f>J26-K26</f>
        <v>32.921663600566106</v>
      </c>
      <c r="M26" s="211"/>
      <c r="N26" s="93"/>
    </row>
    <row r="27" spans="1:14" ht="16.5" customHeight="1">
      <c r="A27" s="382" t="s">
        <v>232</v>
      </c>
      <c r="B27" s="218" t="str">
        <f>IFERROR((B11+B12+B30)/(B23),"-")</f>
        <v>-</v>
      </c>
      <c r="C27" s="217">
        <f>IFERROR((C11+C12+C30)/(C23),"-")</f>
        <v>30.139090909090907</v>
      </c>
      <c r="D27" s="217" t="str">
        <f>IFERROR(C27-B27,"-")</f>
        <v>-</v>
      </c>
      <c r="E27" s="210"/>
      <c r="F27" s="218">
        <f>IFERROR((F11+F12+F30)/(F23),"-")</f>
        <v>36.687809039416514</v>
      </c>
      <c r="G27" s="217">
        <f>IFERROR((G11+G12+G30)/(G23),"-")</f>
        <v>30.139090909090907</v>
      </c>
      <c r="H27" s="217">
        <f>IFERROR(G27-F27,"-")</f>
        <v>-6.5487181303256072</v>
      </c>
      <c r="I27" s="272"/>
      <c r="J27" s="218">
        <f>(J11+J12+J30)/(J23)</f>
        <v>39.932942324140221</v>
      </c>
      <c r="K27" s="217">
        <f>(K11+K12+K13+K30)/(K23)</f>
        <v>30.514491638355473</v>
      </c>
      <c r="L27" s="217">
        <f>K27-J27</f>
        <v>-9.4184506857847481</v>
      </c>
      <c r="M27" s="211"/>
      <c r="N27" s="93"/>
    </row>
    <row r="28" spans="1:14" ht="16.5" customHeight="1">
      <c r="A28" s="382"/>
      <c r="B28" s="201"/>
      <c r="C28" s="202"/>
      <c r="D28" s="202"/>
      <c r="E28" s="203"/>
      <c r="F28" s="201"/>
      <c r="G28" s="202"/>
      <c r="H28" s="202"/>
      <c r="I28" s="202"/>
      <c r="J28" s="201"/>
      <c r="K28" s="202"/>
      <c r="L28" s="202"/>
      <c r="M28" s="203"/>
      <c r="N28" s="93"/>
    </row>
    <row r="29" spans="1:14" ht="16.5" customHeight="1">
      <c r="A29" s="382" t="s">
        <v>233</v>
      </c>
      <c r="B29" s="217" t="str">
        <f>(IFERROR(B11/B21,"-"))</f>
        <v>-</v>
      </c>
      <c r="C29" s="217">
        <f>IFERROR(C11/C21,"-")</f>
        <v>30.139090909090907</v>
      </c>
      <c r="D29" s="217" t="str">
        <f>(IFERROR(C29-B29,"-"))</f>
        <v>-</v>
      </c>
      <c r="E29" s="211" t="str">
        <f>IFERROR((B29/C29)-1,"-")</f>
        <v>-</v>
      </c>
      <c r="F29" s="218">
        <f>IFERROR('Input Data'!Z36,"-")</f>
        <v>35.637785309540575</v>
      </c>
      <c r="G29" s="217">
        <f>IFERROR(G11/G21,"-")</f>
        <v>30.139090909090907</v>
      </c>
      <c r="H29" s="217">
        <f>IFERROR(G29-F29,"-")</f>
        <v>-5.4986944004496685</v>
      </c>
      <c r="I29" s="272">
        <f>IFERROR((F29/G29)-1,"-")</f>
        <v>0.18244393691354133</v>
      </c>
      <c r="J29" s="218">
        <f>J11/J21</f>
        <v>39.364489436468219</v>
      </c>
      <c r="K29" s="217">
        <f>K11/K21</f>
        <v>28.757642582263831</v>
      </c>
      <c r="L29" s="217">
        <f>K29-J29</f>
        <v>-10.606846854204388</v>
      </c>
      <c r="M29" s="211">
        <f>(K29/J29)-1</f>
        <v>-0.26945216376610615</v>
      </c>
      <c r="N29" s="93"/>
    </row>
    <row r="30" spans="1:14" ht="16.5" customHeight="1">
      <c r="A30" s="384" t="s">
        <v>234</v>
      </c>
      <c r="B30" s="202">
        <f>(VLOOKUP($C$6,'Input Data'!A4:AH34,22,0))</f>
        <v>0</v>
      </c>
      <c r="C30" s="206">
        <f>(HLOOKUP($F$2,'2014 Budget'!$D$6:$P$111,79,0)/HLOOKUP($F$2,'2014 Budget'!$D$6:$P$111,2,0))</f>
        <v>0</v>
      </c>
      <c r="D30" s="206">
        <f>C30-B30</f>
        <v>0</v>
      </c>
      <c r="E30" s="211" t="str">
        <f>IFERROR((B30/C30)-1,"-")</f>
        <v>-</v>
      </c>
      <c r="F30" s="205">
        <f>'Input Data'!V36</f>
        <v>11100.000000000044</v>
      </c>
      <c r="G30" s="206">
        <f>C30*'Input Data'!A1</f>
        <v>0</v>
      </c>
      <c r="H30" s="206">
        <f>G30-F30</f>
        <v>-11100.000000000044</v>
      </c>
      <c r="I30" s="272" t="str">
        <f>IFERROR((F30/G30)-1,"-")</f>
        <v>-</v>
      </c>
      <c r="J30" s="205">
        <f>'Year to Date'!Q59+F30</f>
        <v>51832.242665999613</v>
      </c>
      <c r="K30" s="206">
        <f>'Year to Date'!F59+G30</f>
        <v>26655.3</v>
      </c>
      <c r="L30" s="206">
        <f>K30-J30</f>
        <v>-25176.942665999613</v>
      </c>
      <c r="M30" s="213">
        <f>IFERROR((J30/K30)-1,"-")</f>
        <v>0.94453795928012863</v>
      </c>
      <c r="N30" s="93"/>
    </row>
    <row r="31" spans="1:14" ht="16.5" customHeight="1">
      <c r="A31" s="363"/>
      <c r="B31" s="198"/>
      <c r="C31" s="199"/>
      <c r="D31" s="199"/>
      <c r="E31" s="235"/>
      <c r="F31" s="198"/>
      <c r="G31" s="199"/>
      <c r="H31" s="199"/>
      <c r="I31" s="235"/>
      <c r="J31" s="202"/>
      <c r="K31" s="202"/>
      <c r="L31" s="202"/>
      <c r="M31" s="211"/>
      <c r="N31" s="93"/>
    </row>
    <row r="32" spans="1:14" ht="16.5" customHeight="1">
      <c r="A32" s="364"/>
      <c r="B32" s="201"/>
      <c r="C32" s="202"/>
      <c r="D32" s="202"/>
      <c r="E32" s="211"/>
      <c r="F32" s="201"/>
      <c r="G32" s="202"/>
      <c r="H32" s="202"/>
      <c r="I32" s="211"/>
      <c r="J32" s="217"/>
      <c r="K32" s="202"/>
      <c r="L32" s="202"/>
      <c r="M32" s="211"/>
      <c r="N32" s="93"/>
    </row>
    <row r="33" spans="1:17" ht="16.5" customHeight="1">
      <c r="A33" s="383" t="s">
        <v>356</v>
      </c>
      <c r="B33" s="201"/>
      <c r="C33" s="202"/>
      <c r="D33" s="202"/>
      <c r="E33" s="211"/>
      <c r="F33" s="201"/>
      <c r="G33" s="202"/>
      <c r="H33" s="202"/>
      <c r="I33" s="211"/>
      <c r="J33" s="202"/>
      <c r="K33" s="202"/>
      <c r="L33" s="202"/>
      <c r="M33" s="211"/>
      <c r="N33" s="93"/>
    </row>
    <row r="34" spans="1:17" ht="16.5" customHeight="1">
      <c r="A34" s="382" t="s">
        <v>240</v>
      </c>
      <c r="B34" s="202">
        <f>(VLOOKUP($C$6,'Input Data'!A4:AH34,33,0))</f>
        <v>0</v>
      </c>
      <c r="C34" s="202">
        <f>(VLOOKUP($C$6,'Input Data'!A4:AH34,34,0))</f>
        <v>0</v>
      </c>
      <c r="D34" s="202">
        <f>B34-C34</f>
        <v>0</v>
      </c>
      <c r="E34" s="211" t="e">
        <f>(B34/C34)-1</f>
        <v>#DIV/0!</v>
      </c>
      <c r="F34" s="201">
        <f>'Input Data'!AG36</f>
        <v>2924170.7372436523</v>
      </c>
      <c r="G34" s="202">
        <f>'Input Data'!AH36</f>
        <v>3300053.7300169226</v>
      </c>
      <c r="H34" s="202">
        <f>F34-G34</f>
        <v>-375882.99277327023</v>
      </c>
      <c r="I34" s="211">
        <f>(F34/G34)-1</f>
        <v>-0.11390208267043667</v>
      </c>
      <c r="J34" s="202">
        <f>'Year to Date'!L40+F34</f>
        <v>20875101.244262695</v>
      </c>
      <c r="K34" s="202">
        <f>'Year to Date'!M40+G34</f>
        <v>20547661.001911573</v>
      </c>
      <c r="L34" s="202">
        <f>J34-K34</f>
        <v>327440.2423511222</v>
      </c>
      <c r="M34" s="211">
        <f>(J34/K34)-1</f>
        <v>1.5935645537497489E-2</v>
      </c>
      <c r="N34" s="93"/>
      <c r="O34" s="223"/>
      <c r="P34" s="223"/>
      <c r="Q34" s="526"/>
    </row>
    <row r="35" spans="1:17" ht="16.5" customHeight="1">
      <c r="A35" s="382" t="s">
        <v>246</v>
      </c>
      <c r="B35" s="201">
        <f>(B34*0.94)*'Monthly Budget Data'!G39</f>
        <v>0</v>
      </c>
      <c r="C35" s="202">
        <f>(C34*0.94)*'Monthly Budget Data'!G39</f>
        <v>0</v>
      </c>
      <c r="D35" s="202">
        <f>B35-C35</f>
        <v>0</v>
      </c>
      <c r="E35" s="211" t="e">
        <f>(B35/C35)-1</f>
        <v>#DIV/0!</v>
      </c>
      <c r="F35" s="201">
        <f>(F34*0.94)*'Monthly Budget Data'!G39</f>
        <v>79302643.257555008</v>
      </c>
      <c r="G35" s="202">
        <f>(G34*0.94)*'Monthly Budget Data'!G39</f>
        <v>89496478.556850329</v>
      </c>
      <c r="H35" s="202">
        <f>F35-G35</f>
        <v>-10193835.299295321</v>
      </c>
      <c r="I35" s="211">
        <f>(F35/G35)-1</f>
        <v>-0.11390208267043656</v>
      </c>
      <c r="J35" s="202">
        <f>'Year to Date'!N40+F35</f>
        <v>559292240.24171412</v>
      </c>
      <c r="K35" s="202">
        <f>'Year to Date'!O40+G35</f>
        <v>546841063.83448553</v>
      </c>
      <c r="L35" s="202">
        <f>J35-K35</f>
        <v>12451176.407228589</v>
      </c>
      <c r="M35" s="211">
        <f>(J35/K35)-1</f>
        <v>2.276927837115994E-2</v>
      </c>
      <c r="N35" s="93"/>
      <c r="O35" s="223"/>
      <c r="P35" s="223"/>
      <c r="Q35" s="317"/>
    </row>
    <row r="36" spans="1:17" ht="16.5" customHeight="1">
      <c r="A36" s="364"/>
      <c r="B36" s="201"/>
      <c r="C36" s="202"/>
      <c r="D36" s="202"/>
      <c r="E36" s="211"/>
      <c r="F36" s="201"/>
      <c r="G36" s="202"/>
      <c r="H36" s="202"/>
      <c r="I36" s="211"/>
      <c r="J36" s="202"/>
      <c r="K36" s="202"/>
      <c r="L36" s="202"/>
      <c r="M36" s="211"/>
      <c r="N36" s="93"/>
    </row>
    <row r="37" spans="1:17" ht="16.5" customHeight="1">
      <c r="A37" s="530" t="s">
        <v>304</v>
      </c>
      <c r="B37" s="531">
        <f>(VLOOKUP($C$6,'Input Data'!A4:AH34,33,0))</f>
        <v>0</v>
      </c>
      <c r="C37" s="532">
        <f>(VLOOKUP($C$6,'Input Data'!A4:AH34,29,0))</f>
        <v>0</v>
      </c>
      <c r="D37" s="532">
        <f>B37-C37</f>
        <v>0</v>
      </c>
      <c r="E37" s="535" t="e">
        <f>(B37/C37)-1</f>
        <v>#DIV/0!</v>
      </c>
      <c r="F37" s="531">
        <f>'Input Data'!AG36</f>
        <v>2924170.7372436523</v>
      </c>
      <c r="G37" s="532">
        <f>'Input Data'!AC36</f>
        <v>3227911.717432545</v>
      </c>
      <c r="H37" s="532">
        <f>F37-G37</f>
        <v>-303740.98018889269</v>
      </c>
      <c r="I37" s="536">
        <f>(F37/G37)-1</f>
        <v>-9.4098292263855909E-2</v>
      </c>
      <c r="J37" s="532">
        <f>'Year to Date'!L40+F37</f>
        <v>20875101.244262695</v>
      </c>
      <c r="K37" s="532">
        <f>'Year to Date'!S40+G37</f>
        <v>21178842.224451587</v>
      </c>
      <c r="L37" s="532">
        <f>J37-K37</f>
        <v>-303740.98018889129</v>
      </c>
      <c r="M37" s="533">
        <f>(J37/K37)-1</f>
        <v>-1.434171787909222E-2</v>
      </c>
      <c r="N37" s="93"/>
    </row>
    <row r="38" spans="1:17" ht="16.5" customHeight="1">
      <c r="A38" s="530" t="s">
        <v>305</v>
      </c>
      <c r="B38" s="531">
        <f>(B37*0.94)*'Monthly Budget Data'!G39</f>
        <v>0</v>
      </c>
      <c r="C38" s="532">
        <f>(C37*0.94)*'Monthly Budget Data'!G40</f>
        <v>0</v>
      </c>
      <c r="D38" s="532">
        <f>B38-C38</f>
        <v>0</v>
      </c>
      <c r="E38" s="535" t="e">
        <f>(B38/C38)-1</f>
        <v>#DIV/0!</v>
      </c>
      <c r="F38" s="531">
        <f>(F37*0.94)*'Monthly Budget Data'!G39</f>
        <v>79302643.257555008</v>
      </c>
      <c r="G38" s="532">
        <f>(G37*0.94)*'Monthly Budget Data'!G40</f>
        <v>82520070.243625626</v>
      </c>
      <c r="H38" s="532">
        <f>F38-G38</f>
        <v>-3217426.986070618</v>
      </c>
      <c r="I38" s="536">
        <f>(F38/G38)-1</f>
        <v>-3.8989629753970689E-2</v>
      </c>
      <c r="J38" s="531">
        <f>'Year to Date'!N40+F38</f>
        <v>559292240.24171412</v>
      </c>
      <c r="K38" s="532">
        <f>'Year to Date'!T40+G38</f>
        <v>539864655.52126086</v>
      </c>
      <c r="L38" s="532">
        <f>J38-K38</f>
        <v>19427584.720453262</v>
      </c>
      <c r="M38" s="536">
        <f>(J38/K38)-1</f>
        <v>3.5986028204967768E-2</v>
      </c>
      <c r="N38" s="93"/>
    </row>
    <row r="39" spans="1:17" ht="16.5" customHeight="1">
      <c r="A39" s="364"/>
      <c r="B39" s="201"/>
      <c r="C39" s="202"/>
      <c r="D39" s="202"/>
      <c r="E39" s="211"/>
      <c r="F39" s="201"/>
      <c r="G39" s="202"/>
      <c r="H39" s="202"/>
      <c r="I39" s="211"/>
      <c r="J39" s="202"/>
      <c r="K39" s="202"/>
      <c r="L39" s="202"/>
      <c r="M39" s="211"/>
      <c r="N39" s="93"/>
    </row>
    <row r="40" spans="1:17" ht="16.5" customHeight="1">
      <c r="A40" s="382" t="s">
        <v>327</v>
      </c>
      <c r="B40" s="201">
        <f>(HLOOKUP($F$2,'2014 Budget'!$D$6:$P$111,57,0)/HLOOKUP($F$2,'2014 Budget'!$D$6:$P$111,2,0))</f>
        <v>2097999.9242278216</v>
      </c>
      <c r="C40" s="202">
        <f>(HLOOKUP($F$2,'2014 Budget'!$D$6:$P$111,57,0)/HLOOKUP($F$2,'2014 Budget'!$D$6:$P$111,2,0))</f>
        <v>2097999.9242278216</v>
      </c>
      <c r="D40" s="202">
        <f>B40-C40</f>
        <v>0</v>
      </c>
      <c r="E40" s="211">
        <f>(B40/C40)-1</f>
        <v>0</v>
      </c>
      <c r="F40" s="201">
        <f>B40*'Input Data'!A1</f>
        <v>60841997.802606829</v>
      </c>
      <c r="G40" s="202">
        <f>C40*'Input Data'!A1</f>
        <v>60841997.802606829</v>
      </c>
      <c r="H40" s="202">
        <f>F40-G40</f>
        <v>0</v>
      </c>
      <c r="I40" s="211">
        <f>(F40/G40)-1</f>
        <v>0</v>
      </c>
      <c r="J40" s="202">
        <f>'Year to Date'!P40+F40</f>
        <v>419259362.88440454</v>
      </c>
      <c r="K40" s="202">
        <f>'Year to Date'!Q40+G40</f>
        <v>407837362.88440371</v>
      </c>
      <c r="L40" s="202">
        <f>J40-K40</f>
        <v>11422000.000000834</v>
      </c>
      <c r="M40" s="211">
        <f>(J40/K40)-1</f>
        <v>2.8006261906019292E-2</v>
      </c>
      <c r="N40" s="93"/>
      <c r="O40" s="223"/>
    </row>
    <row r="41" spans="1:17" ht="16.5" customHeight="1">
      <c r="A41" s="530" t="s">
        <v>307</v>
      </c>
      <c r="B41" s="531">
        <f>(HLOOKUP($F$2,'2014 Budget'!$D$6:$P$111,61,0)/HLOOKUP($F$2,'2014 Budget'!$D$6:$P$111,2,0))</f>
        <v>2098694.9501534752</v>
      </c>
      <c r="C41" s="532">
        <f>(HLOOKUP($F$2,'2014 Budget'!$D$6:$P$111,57,0)/HLOOKUP($F$2,'2014 Budget'!$D$6:$P$111,2,0))</f>
        <v>2097999.9242278216</v>
      </c>
      <c r="D41" s="532">
        <f>B41-C41</f>
        <v>695.02592565352097</v>
      </c>
      <c r="E41" s="535">
        <f>(B41/C41)-1</f>
        <v>3.3128024344875051E-4</v>
      </c>
      <c r="F41" s="531">
        <f>B41*'Input Data'!A1</f>
        <v>60862153.55445078</v>
      </c>
      <c r="G41" s="532">
        <f>C41*'Input Data'!A1</f>
        <v>60841997.802606829</v>
      </c>
      <c r="H41" s="532">
        <f>F41-G41</f>
        <v>20155.751843951643</v>
      </c>
      <c r="I41" s="536">
        <f>(F41/G41)-1</f>
        <v>3.3128024344875051E-4</v>
      </c>
      <c r="J41" s="532">
        <f>'Year to Date'!P40+F41</f>
        <v>419279518.63624847</v>
      </c>
      <c r="K41" s="532">
        <f>'Year to Date'!Q40+G41</f>
        <v>407837362.88440371</v>
      </c>
      <c r="L41" s="532">
        <f>J41-K41</f>
        <v>11442155.751844764</v>
      </c>
      <c r="M41" s="533">
        <f>IFERROR((J41/K41)-1,"-")</f>
        <v>2.8055682958816774E-2</v>
      </c>
      <c r="N41" s="93"/>
    </row>
    <row r="42" spans="1:17" ht="16.5" customHeight="1">
      <c r="A42" s="382"/>
      <c r="B42" s="201"/>
      <c r="C42" s="202"/>
      <c r="D42" s="202"/>
      <c r="E42" s="211"/>
      <c r="F42" s="201"/>
      <c r="G42" s="202"/>
      <c r="H42" s="202"/>
      <c r="I42" s="211"/>
      <c r="J42" s="202"/>
      <c r="K42" s="202"/>
      <c r="L42" s="202"/>
      <c r="M42" s="211"/>
      <c r="N42" s="93"/>
    </row>
    <row r="43" spans="1:17" ht="16.5" customHeight="1">
      <c r="A43" s="541" t="s">
        <v>328</v>
      </c>
      <c r="B43" s="202">
        <f>B35+B41</f>
        <v>2098694.9501534752</v>
      </c>
      <c r="C43" s="202">
        <f>C35+C41</f>
        <v>2097999.9242278216</v>
      </c>
      <c r="D43" s="202">
        <f>B43-C43</f>
        <v>695.02592565352097</v>
      </c>
      <c r="E43" s="211">
        <f>(B43/C43)-1</f>
        <v>3.3128024344875051E-4</v>
      </c>
      <c r="F43" s="202">
        <f>F35+F41</f>
        <v>140164796.81200579</v>
      </c>
      <c r="G43" s="202">
        <f>G35+G41</f>
        <v>150338476.35945717</v>
      </c>
      <c r="H43" s="202">
        <f>F43-G43</f>
        <v>-10173679.547451377</v>
      </c>
      <c r="I43" s="211">
        <f>(F43/G43)-1</f>
        <v>-6.7671828222645058E-2</v>
      </c>
      <c r="J43" s="202">
        <f>J35+J41</f>
        <v>978571758.87796259</v>
      </c>
      <c r="K43" s="202">
        <f>K35+K41</f>
        <v>954678426.71888924</v>
      </c>
      <c r="L43" s="202">
        <f>J43-K43</f>
        <v>23893332.159073353</v>
      </c>
      <c r="M43" s="211">
        <f>(J43/K43)-1</f>
        <v>2.5027623428332646E-2</v>
      </c>
      <c r="N43" s="93"/>
      <c r="O43" s="223"/>
    </row>
    <row r="44" spans="1:17" ht="16.5" customHeight="1">
      <c r="A44" s="537" t="s">
        <v>405</v>
      </c>
      <c r="B44" s="538">
        <f>B38+B41</f>
        <v>2098694.9501534752</v>
      </c>
      <c r="C44" s="539">
        <f>C38+C41</f>
        <v>2097999.9242278216</v>
      </c>
      <c r="D44" s="539">
        <f>B44-C44</f>
        <v>695.02592565352097</v>
      </c>
      <c r="E44" s="540">
        <f>(B44/C44)-1</f>
        <v>3.3128024344875051E-4</v>
      </c>
      <c r="F44" s="538">
        <f>F38+F41</f>
        <v>140164796.81200579</v>
      </c>
      <c r="G44" s="539">
        <f>G38+G41</f>
        <v>143362068.04623246</v>
      </c>
      <c r="H44" s="539">
        <f>F44-G44</f>
        <v>-3197271.2342266738</v>
      </c>
      <c r="I44" s="540">
        <f>(F44/G44)-1</f>
        <v>-2.2302072492394576E-2</v>
      </c>
      <c r="J44" s="539">
        <f>J38+J41</f>
        <v>978571758.87796259</v>
      </c>
      <c r="K44" s="539">
        <f>K38+K41</f>
        <v>947702018.40566456</v>
      </c>
      <c r="L44" s="539">
        <f>J44-K44</f>
        <v>30869740.472298026</v>
      </c>
      <c r="M44" s="540">
        <f>(J44/K44)-1</f>
        <v>3.2573256015884233E-2</v>
      </c>
      <c r="N44" s="93"/>
    </row>
    <row r="45" spans="1:17" ht="16.5" customHeight="1">
      <c r="A45" s="364"/>
      <c r="B45" s="201"/>
      <c r="C45" s="202"/>
      <c r="D45" s="202"/>
      <c r="E45" s="211"/>
      <c r="F45" s="201"/>
      <c r="G45" s="202"/>
      <c r="H45" s="202"/>
      <c r="I45" s="211"/>
      <c r="J45" s="201"/>
      <c r="K45" s="202"/>
      <c r="L45" s="202"/>
      <c r="M45" s="211"/>
      <c r="N45" s="93"/>
    </row>
    <row r="46" spans="1:17" ht="16.5" customHeight="1">
      <c r="A46" s="385" t="s">
        <v>361</v>
      </c>
      <c r="B46" s="201"/>
      <c r="C46" s="202"/>
      <c r="D46" s="202"/>
      <c r="E46" s="211"/>
      <c r="F46" s="201"/>
      <c r="G46" s="202"/>
      <c r="H46" s="202"/>
      <c r="I46" s="211"/>
      <c r="J46" s="201"/>
      <c r="K46" s="202"/>
      <c r="L46" s="202"/>
      <c r="M46" s="211"/>
      <c r="N46" s="93"/>
    </row>
    <row r="47" spans="1:17" ht="16.5" customHeight="1">
      <c r="A47" s="632" t="s">
        <v>384</v>
      </c>
      <c r="B47" s="202" t="str">
        <f>IFERROR(IF(OR(MONTH('Input Data'!$A$4)&lt;=4,MONTH('Input Data'!$A$4)&gt;=11),INDEX('Input Data'!$CI$4:$CI$34,DAY($C$6)),"-"),"-")</f>
        <v>-</v>
      </c>
      <c r="C47" s="202" t="str">
        <f>IFERROR(IF(OR(MONTH('Input Data'!$A$4)&lt;=4,MONTH('Input Data'!$A$4)&gt;=11),AVERAGEIFS('Daily Historical Avg Temp'!$F$4:$F$369,'Daily Historical Avg Temp'!$B$4:$B$369,MONTH('Input Data'!$A$4),'Daily Historical Avg Temp'!$C$4:$C$369,DAY($C$6)),"-"),"-")</f>
        <v>-</v>
      </c>
      <c r="D47" s="202" t="str">
        <f>IFERROR(IF(OR(MONTH('Input Data'!$A$4)&lt;=4,MONTH('Input Data'!$A$4)&gt;=11),(C47-B47)*IF(AND(MONTH('Input Data'!$A$4)=4,C47-B47&lt;0,D34&gt;0),-1,1),"-"),"-")</f>
        <v>-</v>
      </c>
      <c r="E47" s="624"/>
      <c r="F47" s="202" t="str">
        <f>IFERROR(IF(OR(MONTH('Input Data'!$A$4)&lt;=4,MONTH('Input Data'!$A$4)&gt;=11),'Input Data'!$CI$36,"-"),"-")</f>
        <v>-</v>
      </c>
      <c r="G47" s="202" t="str">
        <f>IFERROR(IF(OR(MONTH('Input Data'!$A$4)&lt;=4,MONTH('Input Data'!$A$4)&gt;=11),AVERAGEIFS('Daily Historical Avg Temp'!$F$4:$F$369,'Daily Historical Avg Temp'!$B$4:$B$369,MONTH('Input Data'!$A$4),'Daily Historical Avg Temp'!$C$4:$C$369,"&lt;="&amp;'Input Data'!$A$1),"-"),"-")</f>
        <v>-</v>
      </c>
      <c r="H47" s="202" t="str">
        <f>IF(OR(MONTH('Input Data'!$A$4)&lt;=4,MONTH('Input Data'!$A$4)&gt;=11),(G47-F47)*IF(AND(MONTH('Input Data'!$A$4)=4,G47-F47&lt;0,H34&gt;0),-1,1),"-")</f>
        <v>-</v>
      </c>
      <c r="I47" s="624"/>
      <c r="J47" s="201">
        <f>('Year to Date'!$AJ$60+IF(F47="-",0,(F47*'Input Data'!$A$1)))/('Year to Date'!$AF$60+IF(F47="-",0,'Input Data'!$A$1))</f>
        <v>39.341666666666669</v>
      </c>
      <c r="K47" s="202">
        <f>AVERAGEIFS('Daily Historical Avg Temp'!$F$4:$F$369,'Daily Historical Avg Temp'!$J$4:$J$369,"H",'Daily Historical Avg Temp'!$A$4:$A$369,"&lt;="&amp;DATE(YEAR('Input Data'!$A$4),MONTH('Input Data'!$A$4),'Input Data'!$A$1))</f>
        <v>42.846666666666678</v>
      </c>
      <c r="L47" s="202">
        <f>K47-J47</f>
        <v>3.5050000000000097</v>
      </c>
      <c r="M47" s="624"/>
      <c r="N47" s="93"/>
    </row>
    <row r="48" spans="1:17" ht="16.5" customHeight="1">
      <c r="A48" s="632" t="s">
        <v>387</v>
      </c>
      <c r="B48" s="202" t="str">
        <f>IFERROR(IF(OR(MONTH('Input Data'!$A$4)&lt;=4,MONTH('Input Data'!$A$4)&gt;=11),INDEX('Input Data'!$CJ$4:$CJ$34,DAY($C$6)),"-"),"-")</f>
        <v>-</v>
      </c>
      <c r="C48" s="202" t="str">
        <f>IFERROR(IF(OR(MONTH('Input Data'!$A$4)&lt;=4,MONTH('Input Data'!$A$4)&gt;=11),AVERAGEIFS('Daily Historical Avg Temp'!$G$4:$G$369,'Daily Historical Avg Temp'!$B$4:$B$369,MONTH('Input Data'!$A$4),'Daily Historical Avg Temp'!$C$4:$C$369,DAY($C$6)),"-"),"-")</f>
        <v>-</v>
      </c>
      <c r="D48" s="202" t="str">
        <f>IFERROR(IF(OR(MONTH('Input Data'!$A$4)&lt;=4,MONTH('Input Data'!$A$4)&gt;=11),(C48-B48)*IF(AND(MONTH('Input Data'!$A$4)=4,C48-B48&lt;0,D35&gt;0),-1,1),"-"),"-")</f>
        <v>-</v>
      </c>
      <c r="E48" s="624"/>
      <c r="F48" s="202" t="str">
        <f>IFERROR(IF(OR(MONTH('Input Data'!$A$4)&lt;=4,MONTH('Input Data'!$A$4)&gt;=11),'Input Data'!$CJ$36,"-"),"-")</f>
        <v>-</v>
      </c>
      <c r="G48" s="202" t="str">
        <f>IFERROR(IF(OR(MONTH('Input Data'!$A$4)&lt;=4,MONTH('Input Data'!$A$4)&gt;=11),AVERAGEIFS('Daily Historical Avg Temp'!$G$4:$G$369,'Daily Historical Avg Temp'!$B$4:$B$369,MONTH('Input Data'!$A$4),'Daily Historical Avg Temp'!$C$4:$C$369,"&lt;="&amp;'Input Data'!$A$1),"-"),"-")</f>
        <v>-</v>
      </c>
      <c r="H48" s="202" t="str">
        <f>IF(OR(MONTH('Input Data'!$A$4)&lt;=4,MONTH('Input Data'!$A$4)&gt;=11),(G48-F48)*IF(AND(MONTH('Input Data'!$A$4)=4,G48-F48&lt;0,H35&gt;0),-1,1),"-")</f>
        <v>-</v>
      </c>
      <c r="I48" s="624"/>
      <c r="J48" s="201">
        <f>('Year to Date'!$AK$60+IF(F48="-",0,(F48*'Input Data'!$A$1)))/('Year to Date'!$AF$60+IF(F48="-",0,'Input Data'!$A$1))</f>
        <v>40.488333333333337</v>
      </c>
      <c r="K48" s="202">
        <f>AVERAGEIFS('Daily Historical Avg Temp'!$G$4:$G$369,'Daily Historical Avg Temp'!$J$4:$J$369,"H",'Daily Historical Avg Temp'!$A$4:$A$369,"&lt;="&amp;DATE(YEAR('Input Data'!$A$4),MONTH('Input Data'!$A$4),'Input Data'!$A$1))</f>
        <v>44.582916666666662</v>
      </c>
      <c r="L48" s="202">
        <f>K48-J48</f>
        <v>4.0945833333333255</v>
      </c>
      <c r="M48" s="624"/>
      <c r="N48" s="93"/>
    </row>
    <row r="49" spans="1:14" ht="16.5" customHeight="1">
      <c r="A49" s="632"/>
      <c r="B49" s="202"/>
      <c r="C49" s="202"/>
      <c r="D49" s="202"/>
      <c r="E49" s="624"/>
      <c r="F49" s="201"/>
      <c r="G49" s="202"/>
      <c r="H49" s="202"/>
      <c r="I49" s="624"/>
      <c r="J49" s="201"/>
      <c r="K49" s="202"/>
      <c r="L49" s="202"/>
      <c r="M49" s="624"/>
      <c r="N49" s="93"/>
    </row>
    <row r="50" spans="1:14" ht="16.5" customHeight="1">
      <c r="A50" s="632" t="s">
        <v>385</v>
      </c>
      <c r="B50" s="202" t="str">
        <f>IFERROR(IF(AND(MONTH('Input Data'!$A$4)&gt;=5,MONTH('Input Data'!$A$4)&lt;=10),INDEX('Input Data'!$CI$4:$CI$34,DAY($C$6)),"-"),"-")</f>
        <v/>
      </c>
      <c r="C50" s="202">
        <f>IFERROR(IF(AND(MONTH('Input Data'!$A$4)&gt;=5,MONTH('Input Data'!$A$4)&lt;=10),AVERAGEIFS('Daily Historical Avg Temp'!$F$4:$F$369,'Daily Historical Avg Temp'!$B$4:$B$369,MONTH('Input Data'!$A$4),'Daily Historical Avg Temp'!$C$4:$C$369,DAY($C$6)),"-"),"-")</f>
        <v>76.650000000000006</v>
      </c>
      <c r="D50" s="202" t="str">
        <f>IFERROR(IF(AND(MONTH('Input Data'!$A$4)&gt;=5,MONTH('Input Data'!$A$4)&lt;10),(B50-C50)*IF(AND(MONTH('Input Data'!$A$4)=10,B50-C50&lt;0,D34&gt;0),-1,1),"-"),"-")</f>
        <v>-</v>
      </c>
      <c r="E50" s="624"/>
      <c r="F50" s="202">
        <f>IFERROR(IF(AND(MONTH('Input Data'!$A$4)&gt;=5,MONTH('Input Data'!$A$4)&lt;=10),'Input Data'!$CI$36,"-"),"-")</f>
        <v>73.671695124659905</v>
      </c>
      <c r="G50" s="202">
        <f>IFERROR(IF(AND(MONTH('Input Data'!$A$4)&gt;=5,MONTH('Input Data'!$A$4)&lt;=10),AVERAGEIFS('Daily Historical Avg Temp'!$F$4:$F$369,'Daily Historical Avg Temp'!$B$4:$B$369,MONTH('Input Data'!$A$4),'Daily Historical Avg Temp'!$C$4:$C$369,"&lt;="&amp;'Input Data'!$A$1),"-"),"-")</f>
        <v>76.377586206896567</v>
      </c>
      <c r="H50" s="202">
        <f>IF(AND(MONTH('Input Data'!$A$4)&gt;=5,MONTH('Input Data'!$A$4)&lt;=10),(F50-G50)*IF(AND(MONTH('Input Data'!$A$4)=10,F50-G50&lt;0,H34&gt;0),-1,1),"-")</f>
        <v>-2.7058910822366613</v>
      </c>
      <c r="I50" s="624"/>
      <c r="J50" s="201">
        <f>IFERROR(('Year to Date'!$AJ$61+IF(F50="-",0,F50*'Input Data'!$A$1))/('Year to Date'!$AF$61+IF(F50="-",0,'Input Data'!$A$1)),"-")</f>
        <v>71.816435095723747</v>
      </c>
      <c r="K50" s="202">
        <f>IFERROR(AVERAGEIFS('Daily Historical Avg Temp'!$F$4:$F$369,'Daily Historical Avg Temp'!$J$4:$J$369,"C",'Daily Historical Avg Temp'!$A$4:$A$369,"&lt;="&amp;DATE(YEAR($C$6),MONTH($C$6),'Input Data'!$A$1)),"-")</f>
        <v>70.920555555555595</v>
      </c>
      <c r="L50" s="202">
        <f>IFERROR(J50-K50,"-")</f>
        <v>0.89587954016815274</v>
      </c>
      <c r="M50" s="624"/>
      <c r="N50" s="93"/>
    </row>
    <row r="51" spans="1:14" ht="15">
      <c r="A51" s="632" t="s">
        <v>386</v>
      </c>
      <c r="B51" s="202" t="str">
        <f>IFERROR(IF(AND(MONTH('Input Data'!$A$4)&gt;=5,MONTH('Input Data'!$A$4)&lt;=10),INDEX('Input Data'!$CJ$4:$CJ$34,DAY($C$6)),"-"),"-")</f>
        <v/>
      </c>
      <c r="C51" s="202">
        <f>IFERROR(IF(AND(MONTH('Input Data'!$A$4)&gt;=5,MONTH('Input Data'!$A$4)&lt;=10),AVERAGEIFS('Daily Historical Avg Temp'!$G$4:$G$369,'Daily Historical Avg Temp'!$B$4:$B$369,MONTH('Input Data'!$A$4),'Daily Historical Avg Temp'!$C$4:$C$369,DAY($C$6)),"-"),"-")</f>
        <v>78.3</v>
      </c>
      <c r="D51" s="202" t="str">
        <f>IFERROR(IF(AND(MONTH('Input Data'!$A$4)&gt;=5,MONTH('Input Data'!$A$4)&lt;10),(B51-C51)*IF(AND(MONTH('Input Data'!$A$4)=10,B51-C51&lt;0,D35&gt;0),-1,1),"-"),"-")</f>
        <v>-</v>
      </c>
      <c r="E51" s="624"/>
      <c r="F51" s="202">
        <f>IFERROR(IF(AND(MONTH('Input Data'!$A$4)&gt;=5,MONTH('Input Data'!$A$4)&lt;=10),'Input Data'!$CJ$36,"-"),"-")</f>
        <v>75.127987881059482</v>
      </c>
      <c r="G51" s="202">
        <f>IFERROR(IF(AND(MONTH('Input Data'!$A$4)&gt;=5,MONTH('Input Data'!$A$4)&lt;=10),AVERAGEIFS('Daily Historical Avg Temp'!$G$4:$G$369,'Daily Historical Avg Temp'!$B$4:$B$369,MONTH('Input Data'!$A$4),'Daily Historical Avg Temp'!$C$4:$C$369,"&lt;="&amp;'Input Data'!$A$1),"-"),"-")</f>
        <v>78.398275862068957</v>
      </c>
      <c r="H51" s="202">
        <f>IF(AND(MONTH('Input Data'!$A$4)&gt;=5,MONTH('Input Data'!$A$4)&lt;=10),(F51-G51)*IF(AND(MONTH('Input Data'!$A$4)=10,F51-G51&lt;0,H35&gt;0),-1,1),"-")</f>
        <v>-3.2702879810094743</v>
      </c>
      <c r="I51" s="624"/>
      <c r="J51" s="201">
        <f>IFERROR(('Year to Date'!$AK$61+IF(F51="-",0,F51*'Input Data'!$A$1))/('Year to Date'!$AF$61+IF(F51="-",0,'Input Data'!$A$1)),"-")</f>
        <v>73.985684983896945</v>
      </c>
      <c r="K51" s="202">
        <f>IFERROR(AVERAGEIFS('Daily Historical Avg Temp'!$G$4:$G$369,'Daily Historical Avg Temp'!$J$4:$J$369,"C",'Daily Historical Avg Temp'!$A$4:$A$369,"&lt;="&amp;DATE(YEAR($C$6),MONTH($C$6),'Input Data'!$A$1)),"-")</f>
        <v>73.052222222222269</v>
      </c>
      <c r="L51" s="202">
        <f>IFERROR(J51-K51,"-")</f>
        <v>0.93346276167467579</v>
      </c>
      <c r="M51" s="624"/>
      <c r="N51" s="93"/>
    </row>
    <row r="52" spans="1:14" ht="16.5" customHeight="1">
      <c r="A52" s="386"/>
      <c r="B52" s="202"/>
      <c r="C52" s="202"/>
      <c r="D52" s="202"/>
      <c r="E52" s="211"/>
      <c r="F52" s="201"/>
      <c r="G52" s="202"/>
      <c r="H52" s="202"/>
      <c r="I52" s="211"/>
      <c r="J52" s="201"/>
      <c r="K52" s="202"/>
      <c r="L52" s="202"/>
      <c r="M52" s="211"/>
      <c r="N52" s="93"/>
    </row>
    <row r="53" spans="1:14" ht="16.5" customHeight="1">
      <c r="A53" s="385" t="s">
        <v>357</v>
      </c>
      <c r="B53" s="202"/>
      <c r="C53" s="202"/>
      <c r="D53" s="202"/>
      <c r="E53" s="211"/>
      <c r="F53" s="201"/>
      <c r="G53" s="202"/>
      <c r="H53" s="202"/>
      <c r="I53" s="211"/>
      <c r="J53" s="201"/>
      <c r="K53" s="202"/>
      <c r="L53" s="202"/>
      <c r="M53" s="211"/>
      <c r="N53" s="93"/>
    </row>
    <row r="54" spans="1:14" ht="16.5" customHeight="1">
      <c r="A54" s="386" t="s">
        <v>235</v>
      </c>
      <c r="B54" s="202" t="str">
        <f>(VLOOKUP($C$6,'Input Data'!A4:BY34,74,0))</f>
        <v/>
      </c>
      <c r="C54" s="202">
        <f>(VLOOKUP($C$6,'Daily Budget Data'!A5:W35,20,0))</f>
        <v>0</v>
      </c>
      <c r="D54" s="202" t="str">
        <f>IFERROR(B54-C54,"-")</f>
        <v>-</v>
      </c>
      <c r="E54" s="211"/>
      <c r="F54" s="201">
        <f>'Input Data'!BV36</f>
        <v>2</v>
      </c>
      <c r="G54" s="202">
        <f>'Daily Budget Data'!T37</f>
        <v>0.2</v>
      </c>
      <c r="H54" s="202">
        <f>F54-G54</f>
        <v>1.8</v>
      </c>
      <c r="I54" s="211">
        <f>IFERROR((F54/G54)-1,"-")</f>
        <v>9</v>
      </c>
      <c r="J54" s="201">
        <f>'Year to Date'!U59+F54</f>
        <v>3099</v>
      </c>
      <c r="K54" s="202">
        <f>'Year to Date'!Y59+G54</f>
        <v>2845.2</v>
      </c>
      <c r="L54" s="202">
        <f>J54-K54</f>
        <v>253.80000000000018</v>
      </c>
      <c r="M54" s="211">
        <f>(J54/K54)-1</f>
        <v>8.9202867988190659E-2</v>
      </c>
      <c r="N54" s="93"/>
    </row>
    <row r="55" spans="1:14" ht="16.5" customHeight="1">
      <c r="A55" s="386" t="s">
        <v>236</v>
      </c>
      <c r="B55" s="202" t="str">
        <f>(VLOOKUP($C$6,'Input Data'!A4:BY34,76,0))</f>
        <v/>
      </c>
      <c r="C55" s="202">
        <f>(VLOOKUP($C$6,'Daily Budget Data'!A5:W35,22,0))</f>
        <v>0</v>
      </c>
      <c r="D55" s="202" t="str">
        <f>IFERROR(B55-C55,"-")</f>
        <v>-</v>
      </c>
      <c r="E55" s="211"/>
      <c r="F55" s="201">
        <f>'Input Data'!BX36</f>
        <v>0</v>
      </c>
      <c r="G55" s="202">
        <f>'Daily Budget Data'!V37</f>
        <v>0</v>
      </c>
      <c r="H55" s="202">
        <f>F55-G55</f>
        <v>0</v>
      </c>
      <c r="I55" s="211" t="str">
        <f>IFERROR((F55/G55)-1,"-")</f>
        <v>-</v>
      </c>
      <c r="J55" s="201">
        <f>'Year to Date'!W59+F55</f>
        <v>2960</v>
      </c>
      <c r="K55" s="202">
        <f>'Year to Date'!AA59+G55</f>
        <v>2614</v>
      </c>
      <c r="L55" s="202">
        <f>J55-K55</f>
        <v>346</v>
      </c>
      <c r="M55" s="211">
        <f>(J55/K55)-1</f>
        <v>0.13236419280795708</v>
      </c>
      <c r="N55" s="93"/>
    </row>
    <row r="56" spans="1:14" ht="16.5" customHeight="1">
      <c r="A56" s="386"/>
      <c r="B56" s="201"/>
      <c r="C56" s="202"/>
      <c r="D56" s="202"/>
      <c r="E56" s="211"/>
      <c r="F56" s="201"/>
      <c r="G56" s="202"/>
      <c r="H56" s="202"/>
      <c r="I56" s="211"/>
      <c r="J56" s="201"/>
      <c r="K56" s="202"/>
      <c r="L56" s="202"/>
      <c r="M56" s="211"/>
      <c r="N56" s="93"/>
    </row>
    <row r="57" spans="1:14" ht="16.5" customHeight="1">
      <c r="A57" s="386" t="s">
        <v>237</v>
      </c>
      <c r="B57" s="202" t="str">
        <f>(VLOOKUP($C$6,'Input Data'!A4:BY34,75,0))</f>
        <v/>
      </c>
      <c r="C57" s="202">
        <f>(VLOOKUP($C$6,'Daily Budget Data'!A5:W35,21,0))</f>
        <v>0</v>
      </c>
      <c r="D57" s="202" t="str">
        <f>IFERROR(B57-C57,"-")</f>
        <v>-</v>
      </c>
      <c r="E57" s="211"/>
      <c r="F57" s="201">
        <f>'Input Data'!BW36</f>
        <v>259</v>
      </c>
      <c r="G57" s="202">
        <f>'Daily Budget Data'!U37</f>
        <v>330.12770611329228</v>
      </c>
      <c r="H57" s="202">
        <f>F57-G57</f>
        <v>-71.127706113292277</v>
      </c>
      <c r="I57" s="211">
        <f>IFERROR((F57/G57)-1,"-")</f>
        <v>-0.21545512477793327</v>
      </c>
      <c r="J57" s="201">
        <f>'Year to Date'!V59+F57</f>
        <v>725</v>
      </c>
      <c r="K57" s="202">
        <f>'Year to Date'!Z59++G57</f>
        <v>680.12770611329233</v>
      </c>
      <c r="L57" s="202">
        <f>J57-K57</f>
        <v>44.872293886707666</v>
      </c>
      <c r="M57" s="211">
        <f>IFERROR((J57/K57)-1,"-")</f>
        <v>6.5976276930604927E-2</v>
      </c>
      <c r="N57" s="93"/>
    </row>
    <row r="58" spans="1:14" ht="16.5" customHeight="1">
      <c r="A58" s="387" t="s">
        <v>238</v>
      </c>
      <c r="B58" s="205" t="str">
        <f>(VLOOKUP($C$6,'Input Data'!A4:BY34,77,0))</f>
        <v/>
      </c>
      <c r="C58" s="206">
        <f>(VLOOKUP($C$6,'Daily Budget Data'!A5:W35,23,0))</f>
        <v>0</v>
      </c>
      <c r="D58" s="206" t="str">
        <f>IFERROR(B58-C58,"-")</f>
        <v>-</v>
      </c>
      <c r="E58" s="213"/>
      <c r="F58" s="205">
        <f>'Input Data'!BY36</f>
        <v>291</v>
      </c>
      <c r="G58" s="206">
        <f>'Daily Budget Data'!W37</f>
        <v>387.66629474940316</v>
      </c>
      <c r="H58" s="206">
        <f>F58-G58</f>
        <v>-96.666294749403164</v>
      </c>
      <c r="I58" s="213">
        <f>IFERROR((F58/G58)-1,"-")</f>
        <v>-0.24935439592934072</v>
      </c>
      <c r="J58" s="205">
        <f>'Year to Date'!X59+F58</f>
        <v>930</v>
      </c>
      <c r="K58" s="206">
        <f>'Year to Date'!AB59+G58</f>
        <v>850.66629474940316</v>
      </c>
      <c r="L58" s="206">
        <f>J58-K58</f>
        <v>79.333705250596836</v>
      </c>
      <c r="M58" s="213">
        <f>IFERROR((J58/K58)-1,"-")</f>
        <v>9.3260666068787579E-2</v>
      </c>
      <c r="N58" s="93"/>
    </row>
    <row r="59" spans="1:14" ht="16.5" customHeight="1">
      <c r="A59" s="301"/>
      <c r="B59" s="202"/>
      <c r="C59" s="202"/>
      <c r="D59" s="202"/>
      <c r="E59" s="272"/>
      <c r="F59" s="202"/>
      <c r="G59" s="202"/>
      <c r="H59" s="202"/>
      <c r="I59" s="272"/>
      <c r="J59" s="202"/>
      <c r="K59" s="202"/>
      <c r="L59" s="202"/>
      <c r="M59" s="272"/>
      <c r="N59" s="93"/>
    </row>
    <row r="60" spans="1:14" ht="16.5" customHeight="1">
      <c r="A60" s="712" t="s">
        <v>241</v>
      </c>
      <c r="B60" s="712"/>
      <c r="C60" s="712"/>
      <c r="D60" s="712"/>
      <c r="E60" s="712"/>
      <c r="F60" s="712"/>
      <c r="G60" s="712"/>
      <c r="H60" s="712"/>
      <c r="I60" s="712"/>
      <c r="J60" s="712"/>
      <c r="K60" s="712"/>
      <c r="L60" s="712"/>
      <c r="M60" s="712"/>
      <c r="N60" s="93"/>
    </row>
    <row r="61" spans="1:14" ht="15.75">
      <c r="A61" s="712" t="s">
        <v>242</v>
      </c>
      <c r="B61" s="712"/>
      <c r="C61" s="712"/>
      <c r="D61" s="712"/>
      <c r="E61" s="712"/>
      <c r="F61" s="712"/>
      <c r="G61" s="712"/>
      <c r="H61" s="712"/>
      <c r="I61" s="712"/>
      <c r="J61" s="712"/>
      <c r="K61" s="712"/>
      <c r="L61" s="712"/>
      <c r="M61" s="712"/>
      <c r="N61" s="93"/>
    </row>
    <row r="62" spans="1:14" ht="15.75">
      <c r="A62" s="712" t="s">
        <v>243</v>
      </c>
      <c r="B62" s="712"/>
      <c r="C62" s="712"/>
      <c r="D62" s="712"/>
      <c r="E62" s="712"/>
      <c r="F62" s="712"/>
      <c r="G62" s="712"/>
      <c r="H62" s="712"/>
      <c r="I62" s="712"/>
      <c r="J62" s="712"/>
      <c r="K62" s="712"/>
      <c r="L62" s="712"/>
      <c r="M62" s="712"/>
      <c r="N62" s="93"/>
    </row>
    <row r="63" spans="1:14" ht="15.75">
      <c r="A63" s="712"/>
      <c r="B63" s="712"/>
      <c r="C63" s="712"/>
      <c r="D63" s="712"/>
      <c r="E63" s="712"/>
      <c r="F63" s="712"/>
      <c r="G63" s="712"/>
      <c r="H63" s="712"/>
      <c r="I63" s="712"/>
      <c r="J63" s="712"/>
      <c r="K63" s="712"/>
      <c r="L63" s="712"/>
      <c r="M63" s="712"/>
      <c r="N63" s="93"/>
    </row>
    <row r="64" spans="1:14" ht="18">
      <c r="A64" s="719" t="s">
        <v>330</v>
      </c>
      <c r="B64" s="719"/>
      <c r="C64" s="719"/>
      <c r="D64" s="719"/>
      <c r="E64" s="719"/>
      <c r="F64" s="719"/>
      <c r="G64" s="719"/>
      <c r="H64" s="719"/>
      <c r="I64" s="719"/>
      <c r="J64" s="719"/>
      <c r="K64" s="719"/>
      <c r="L64" s="719"/>
      <c r="M64" s="719"/>
      <c r="N64" s="93"/>
    </row>
    <row r="65" spans="1:14" ht="14.25" customHeight="1">
      <c r="A65" s="712"/>
      <c r="B65" s="712"/>
      <c r="C65" s="712"/>
      <c r="D65" s="712"/>
      <c r="E65" s="712"/>
      <c r="F65" s="712"/>
      <c r="G65" s="712"/>
      <c r="H65" s="712"/>
      <c r="I65" s="712"/>
      <c r="J65" s="712"/>
      <c r="K65" s="712"/>
      <c r="L65" s="712"/>
      <c r="M65" s="712"/>
      <c r="N65" s="93"/>
    </row>
    <row r="66" spans="1:14" ht="18">
      <c r="A66" s="719" t="s">
        <v>244</v>
      </c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93"/>
    </row>
    <row r="67" spans="1:14" ht="15">
      <c r="A67" s="718" t="s">
        <v>401</v>
      </c>
      <c r="B67" s="718"/>
      <c r="C67" s="718"/>
      <c r="D67" s="718"/>
      <c r="E67" s="718"/>
      <c r="F67" s="718"/>
      <c r="G67" s="718"/>
      <c r="H67" s="718"/>
      <c r="I67" s="718"/>
      <c r="J67" s="718"/>
      <c r="K67" s="718"/>
      <c r="L67" s="718"/>
      <c r="M67" s="718"/>
      <c r="N67" s="93"/>
    </row>
    <row r="68" spans="1:14" ht="15" customHeight="1">
      <c r="A68" s="721"/>
      <c r="B68" s="721"/>
      <c r="C68" s="721"/>
      <c r="D68" s="721"/>
      <c r="E68" s="721"/>
      <c r="F68" s="721"/>
      <c r="G68" s="721"/>
      <c r="H68" s="721"/>
      <c r="I68" s="721"/>
      <c r="J68" s="721"/>
      <c r="K68" s="721"/>
      <c r="L68" s="721"/>
      <c r="M68" s="721"/>
      <c r="N68" s="93"/>
    </row>
    <row r="69" spans="1:14" ht="15" customHeight="1">
      <c r="A69" s="719" t="s">
        <v>362</v>
      </c>
      <c r="B69" s="719"/>
      <c r="C69" s="719"/>
      <c r="D69" s="719"/>
      <c r="E69" s="719"/>
      <c r="F69" s="719"/>
      <c r="G69" s="719"/>
      <c r="H69" s="719"/>
      <c r="I69" s="719"/>
      <c r="J69" s="719"/>
      <c r="K69" s="719"/>
      <c r="L69" s="719"/>
      <c r="M69" s="719"/>
      <c r="N69" s="93"/>
    </row>
    <row r="70" spans="1:14" ht="15" customHeight="1">
      <c r="A70" s="718" t="s">
        <v>245</v>
      </c>
      <c r="B70" s="718"/>
      <c r="C70" s="718"/>
      <c r="D70" s="718"/>
      <c r="E70" s="718"/>
      <c r="F70" s="718"/>
      <c r="G70" s="718"/>
      <c r="H70" s="718"/>
      <c r="I70" s="718"/>
      <c r="J70" s="718"/>
      <c r="K70" s="718"/>
      <c r="L70" s="718"/>
      <c r="M70" s="718"/>
      <c r="N70" s="93"/>
    </row>
    <row r="71" spans="1:14" ht="15" customHeight="1">
      <c r="A71" s="722"/>
      <c r="B71" s="722"/>
      <c r="C71" s="722"/>
      <c r="D71" s="722"/>
      <c r="E71" s="722"/>
      <c r="F71" s="722"/>
      <c r="G71" s="722"/>
      <c r="H71" s="722"/>
      <c r="I71" s="722"/>
      <c r="J71" s="722"/>
      <c r="K71" s="722"/>
      <c r="L71" s="722"/>
      <c r="M71" s="722"/>
      <c r="N71" s="93"/>
    </row>
    <row r="72" spans="1:14" ht="15" customHeight="1">
      <c r="A72" s="719" t="s">
        <v>381</v>
      </c>
      <c r="B72" s="719"/>
      <c r="C72" s="719"/>
      <c r="D72" s="719"/>
      <c r="E72" s="719"/>
      <c r="F72" s="719"/>
      <c r="G72" s="719"/>
      <c r="H72" s="719"/>
      <c r="I72" s="719"/>
      <c r="J72" s="719"/>
      <c r="K72" s="719"/>
      <c r="L72" s="719"/>
      <c r="M72" s="719"/>
      <c r="N72" s="93"/>
    </row>
    <row r="73" spans="1:14" ht="15" customHeight="1">
      <c r="A73" s="718" t="s">
        <v>399</v>
      </c>
      <c r="B73" s="718"/>
      <c r="C73" s="718"/>
      <c r="D73" s="718"/>
      <c r="E73" s="718"/>
      <c r="F73" s="718"/>
      <c r="G73" s="718"/>
      <c r="H73" s="718"/>
      <c r="I73" s="718"/>
      <c r="J73" s="718"/>
      <c r="K73" s="718"/>
      <c r="L73" s="718"/>
      <c r="M73" s="718"/>
      <c r="N73" s="93"/>
    </row>
    <row r="74" spans="1:14" ht="15" customHeight="1">
      <c r="A74" s="718" t="s">
        <v>400</v>
      </c>
      <c r="B74" s="718"/>
      <c r="C74" s="718"/>
      <c r="D74" s="718"/>
      <c r="E74" s="718"/>
      <c r="F74" s="718"/>
      <c r="G74" s="718"/>
      <c r="H74" s="718"/>
      <c r="I74" s="718"/>
      <c r="J74" s="718"/>
      <c r="K74" s="718"/>
      <c r="L74" s="718"/>
      <c r="M74" s="718"/>
      <c r="N74" s="93"/>
    </row>
    <row r="75" spans="1:14" ht="15" customHeight="1">
      <c r="A75" s="718"/>
      <c r="B75" s="718"/>
      <c r="C75" s="718"/>
      <c r="D75" s="718"/>
      <c r="E75" s="718"/>
      <c r="F75" s="718"/>
      <c r="G75" s="718"/>
      <c r="H75" s="718"/>
      <c r="I75" s="718"/>
      <c r="J75" s="718"/>
      <c r="K75" s="718"/>
      <c r="L75" s="718"/>
      <c r="M75" s="718"/>
      <c r="N75" s="93"/>
    </row>
    <row r="76" spans="1:14" ht="15" customHeight="1">
      <c r="A76" s="720" t="s">
        <v>310</v>
      </c>
      <c r="B76" s="720"/>
      <c r="C76" s="720"/>
      <c r="D76" s="192"/>
      <c r="E76" s="192"/>
      <c r="F76" s="192"/>
      <c r="G76" s="192"/>
      <c r="H76" s="192"/>
      <c r="I76" s="192"/>
      <c r="J76" s="192"/>
      <c r="K76" s="192"/>
      <c r="L76" s="192"/>
      <c r="M76" s="93"/>
      <c r="N76" s="93"/>
    </row>
    <row r="77" spans="1:14" ht="15" customHeight="1">
      <c r="A77" s="191"/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93"/>
      <c r="N77" s="93"/>
    </row>
    <row r="78" spans="1:14" ht="15" customHeight="1"/>
    <row r="79" spans="1:14" ht="15" customHeight="1"/>
    <row r="80" spans="1:1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mergeCells count="24">
    <mergeCell ref="A75:M75"/>
    <mergeCell ref="A73:M73"/>
    <mergeCell ref="A72:M72"/>
    <mergeCell ref="A76:C76"/>
    <mergeCell ref="A64:M64"/>
    <mergeCell ref="A65:M65"/>
    <mergeCell ref="A66:M66"/>
    <mergeCell ref="A67:M67"/>
    <mergeCell ref="A68:M68"/>
    <mergeCell ref="A69:M69"/>
    <mergeCell ref="A70:M70"/>
    <mergeCell ref="A71:M71"/>
    <mergeCell ref="A74:M74"/>
    <mergeCell ref="F1:I1"/>
    <mergeCell ref="F2:I2"/>
    <mergeCell ref="F3:I3"/>
    <mergeCell ref="F6:I6"/>
    <mergeCell ref="A63:M63"/>
    <mergeCell ref="J6:M6"/>
    <mergeCell ref="C6:D6"/>
    <mergeCell ref="A60:M60"/>
    <mergeCell ref="A61:M61"/>
    <mergeCell ref="A62:M62"/>
    <mergeCell ref="C5:D5"/>
  </mergeCells>
  <phoneticPr fontId="0" type="noConversion"/>
  <pageMargins left="0.37" right="0.23" top="0.72" bottom="1" header="0.5" footer="0.5"/>
  <pageSetup scale="54" orientation="landscape" r:id="rId1"/>
  <headerFooter alignWithMargins="0"/>
  <rowBreaks count="1" manualBreakCount="1">
    <brk id="5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Spinner 5">
              <controlPr defaultSize="0" autoPict="0">
                <anchor moveWithCells="1" sizeWithCells="1">
                  <from>
                    <xdr:col>3</xdr:col>
                    <xdr:colOff>733425</xdr:colOff>
                    <xdr:row>4</xdr:row>
                    <xdr:rowOff>85725</xdr:rowOff>
                  </from>
                  <to>
                    <xdr:col>3</xdr:col>
                    <xdr:colOff>1171575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L174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12" sqref="A12"/>
      <selection pane="bottomRight" activeCell="C7" sqref="C7"/>
    </sheetView>
  </sheetViews>
  <sheetFormatPr defaultRowHeight="21.75" customHeight="1"/>
  <cols>
    <col min="1" max="1" width="12.5703125" style="437" bestFit="1" customWidth="1"/>
    <col min="2" max="2" width="10.42578125" style="371" bestFit="1" customWidth="1"/>
    <col min="3" max="3" width="18.85546875" style="371" customWidth="1"/>
    <col min="4" max="4" width="17.5703125" style="371" bestFit="1" customWidth="1"/>
    <col min="5" max="5" width="14.85546875" style="371" customWidth="1"/>
    <col min="6" max="6" width="2.85546875" style="442" customWidth="1"/>
    <col min="7" max="7" width="15.7109375" style="371" customWidth="1"/>
    <col min="8" max="9" width="14.7109375" style="371" customWidth="1"/>
    <col min="10" max="10" width="2.7109375" style="442" customWidth="1"/>
    <col min="11" max="13" width="14.85546875" style="442" customWidth="1"/>
    <col min="14" max="14" width="2.7109375" style="442" customWidth="1"/>
    <col min="15" max="17" width="14.7109375" style="371" customWidth="1"/>
    <col min="18" max="18" width="2" style="442" bestFit="1" customWidth="1"/>
    <col min="19" max="21" width="14.7109375" style="442" customWidth="1"/>
    <col min="22" max="22" width="5.85546875" style="442" customWidth="1"/>
    <col min="23" max="25" width="18" style="371" customWidth="1"/>
    <col min="26" max="26" width="2.5703125" style="371" customWidth="1"/>
    <col min="27" max="29" width="14.7109375" style="371" customWidth="1"/>
    <col min="30" max="30" width="2.85546875" style="371" customWidth="1"/>
    <col min="31" max="33" width="14.7109375" style="371" customWidth="1"/>
    <col min="34" max="34" width="2.85546875" style="443" customWidth="1"/>
    <col min="35" max="35" width="15.85546875" style="371" customWidth="1"/>
    <col min="36" max="36" width="16.28515625" style="371" customWidth="1"/>
    <col min="37" max="37" width="14.7109375" style="371" customWidth="1"/>
    <col min="38" max="38" width="5.7109375" style="442" customWidth="1"/>
    <col min="39" max="41" width="18" style="442" customWidth="1"/>
    <col min="42" max="42" width="2.85546875" style="371" customWidth="1"/>
    <col min="43" max="45" width="18" style="442" customWidth="1"/>
    <col min="46" max="46" width="2.85546875" style="371" customWidth="1"/>
    <col min="47" max="49" width="18" style="442" customWidth="1"/>
    <col min="50" max="50" width="6.28515625" style="442" customWidth="1"/>
    <col min="51" max="51" width="30.140625" style="442" customWidth="1"/>
    <col min="52" max="53" width="19.85546875" style="406" customWidth="1"/>
    <col min="54" max="54" width="19.85546875" style="442" customWidth="1"/>
    <col min="55" max="56" width="16" style="442" customWidth="1"/>
    <col min="57" max="58" width="9.140625" style="442" customWidth="1"/>
    <col min="59" max="104" width="9.140625" style="442"/>
    <col min="105" max="16384" width="9.140625" style="371"/>
  </cols>
  <sheetData>
    <row r="1" spans="1:104" ht="21.75" customHeight="1">
      <c r="A1" s="435"/>
      <c r="C1" s="440"/>
      <c r="D1" s="440"/>
      <c r="E1" s="214"/>
      <c r="F1" s="304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732" t="s">
        <v>322</v>
      </c>
      <c r="X1" s="732"/>
      <c r="Y1" s="732"/>
      <c r="Z1" s="732"/>
      <c r="AA1" s="732"/>
      <c r="AB1" s="732"/>
      <c r="AC1" s="732"/>
      <c r="AD1" s="732"/>
      <c r="AE1" s="732"/>
      <c r="AF1" s="732"/>
      <c r="AG1" s="732"/>
      <c r="AH1" s="732"/>
      <c r="AI1" s="732"/>
      <c r="AJ1" s="732"/>
      <c r="AK1" s="732"/>
      <c r="AP1" s="441"/>
      <c r="AT1" s="441"/>
    </row>
    <row r="2" spans="1:104" s="25" customFormat="1" ht="33" customHeight="1" thickBot="1">
      <c r="A2" s="481"/>
      <c r="B2" s="482"/>
      <c r="C2" s="731" t="s">
        <v>321</v>
      </c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483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  <c r="AH2" s="731"/>
      <c r="AI2" s="731"/>
      <c r="AJ2" s="731"/>
      <c r="AK2" s="731"/>
      <c r="AL2" s="441"/>
      <c r="AM2" s="731" t="s">
        <v>323</v>
      </c>
      <c r="AN2" s="731"/>
      <c r="AO2" s="731"/>
      <c r="AP2" s="731"/>
      <c r="AQ2" s="731"/>
      <c r="AR2" s="731"/>
      <c r="AS2" s="731"/>
      <c r="AT2" s="731"/>
      <c r="AU2" s="731"/>
      <c r="AV2" s="731"/>
      <c r="AW2" s="731"/>
      <c r="AX2" s="484"/>
      <c r="AY2" s="484"/>
      <c r="AZ2" s="485"/>
      <c r="BA2" s="485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4"/>
      <c r="BR2" s="484"/>
      <c r="BS2" s="484"/>
      <c r="BT2" s="484"/>
      <c r="BU2" s="484"/>
      <c r="BV2" s="484"/>
      <c r="BW2" s="484"/>
      <c r="BX2" s="484"/>
      <c r="BY2" s="484"/>
      <c r="BZ2" s="484"/>
      <c r="CA2" s="484"/>
      <c r="CB2" s="484"/>
      <c r="CC2" s="484"/>
      <c r="CD2" s="484"/>
      <c r="CE2" s="484"/>
      <c r="CF2" s="484"/>
      <c r="CG2" s="484"/>
      <c r="CH2" s="484"/>
      <c r="CI2" s="484"/>
      <c r="CJ2" s="484"/>
      <c r="CK2" s="484"/>
      <c r="CL2" s="484"/>
      <c r="CM2" s="484"/>
      <c r="CN2" s="484"/>
      <c r="CO2" s="484"/>
      <c r="CP2" s="484"/>
      <c r="CQ2" s="484"/>
      <c r="CR2" s="484"/>
      <c r="CS2" s="484"/>
      <c r="CT2" s="484"/>
      <c r="CU2" s="484"/>
      <c r="CV2" s="484"/>
      <c r="CW2" s="484"/>
      <c r="CX2" s="484"/>
      <c r="CY2" s="484"/>
      <c r="CZ2" s="484"/>
    </row>
    <row r="3" spans="1:104" s="442" customFormat="1" ht="15.75" customHeight="1" thickTop="1">
      <c r="A3" s="435"/>
      <c r="B3" s="222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502"/>
      <c r="X3" s="503"/>
      <c r="Y3" s="503"/>
      <c r="Z3" s="503"/>
      <c r="AA3" s="503"/>
      <c r="AB3" s="503"/>
      <c r="AC3" s="503"/>
      <c r="AD3" s="503"/>
      <c r="AE3" s="503"/>
      <c r="AF3" s="503"/>
      <c r="AG3" s="503"/>
      <c r="AH3" s="503"/>
      <c r="AI3" s="503"/>
      <c r="AJ3" s="503"/>
      <c r="AK3" s="503"/>
      <c r="AL3" s="441"/>
      <c r="AM3" s="441"/>
      <c r="AN3" s="441"/>
      <c r="AO3" s="441"/>
      <c r="AP3" s="503"/>
      <c r="AQ3" s="441"/>
      <c r="AR3" s="441"/>
      <c r="AS3" s="441"/>
      <c r="AT3" s="503"/>
      <c r="AZ3" s="406"/>
      <c r="BA3" s="406"/>
    </row>
    <row r="4" spans="1:104" ht="27.75" customHeight="1">
      <c r="A4" s="436"/>
      <c r="B4" s="402"/>
      <c r="C4" s="725" t="s">
        <v>294</v>
      </c>
      <c r="D4" s="726"/>
      <c r="E4" s="727"/>
      <c r="G4" s="725" t="s">
        <v>252</v>
      </c>
      <c r="H4" s="726"/>
      <c r="I4" s="727"/>
      <c r="K4" s="725" t="s">
        <v>267</v>
      </c>
      <c r="L4" s="726"/>
      <c r="M4" s="727"/>
      <c r="O4" s="725" t="s">
        <v>256</v>
      </c>
      <c r="P4" s="726"/>
      <c r="Q4" s="727"/>
      <c r="S4" s="725" t="s">
        <v>295</v>
      </c>
      <c r="T4" s="726"/>
      <c r="U4" s="727"/>
      <c r="V4" s="422"/>
      <c r="W4" s="725" t="s">
        <v>146</v>
      </c>
      <c r="X4" s="726"/>
      <c r="Y4" s="727"/>
      <c r="AA4" s="725" t="s">
        <v>296</v>
      </c>
      <c r="AB4" s="726"/>
      <c r="AC4" s="727"/>
      <c r="AE4" s="725" t="s">
        <v>298</v>
      </c>
      <c r="AF4" s="726"/>
      <c r="AG4" s="727"/>
      <c r="AH4" s="511"/>
      <c r="AI4" s="725" t="s">
        <v>297</v>
      </c>
      <c r="AJ4" s="726"/>
      <c r="AK4" s="727"/>
      <c r="AL4" s="422"/>
      <c r="AM4" s="725" t="s">
        <v>292</v>
      </c>
      <c r="AN4" s="726"/>
      <c r="AO4" s="727"/>
      <c r="AP4" s="443"/>
      <c r="AQ4" s="725" t="s">
        <v>282</v>
      </c>
      <c r="AR4" s="726"/>
      <c r="AS4" s="727"/>
      <c r="AT4" s="443"/>
      <c r="AU4" s="725" t="s">
        <v>301</v>
      </c>
      <c r="AV4" s="726"/>
      <c r="AW4" s="727"/>
      <c r="AZ4" s="723" t="s">
        <v>283</v>
      </c>
      <c r="BA4" s="723"/>
      <c r="BB4" s="723"/>
    </row>
    <row r="5" spans="1:104" ht="21.75" customHeight="1">
      <c r="A5" s="436"/>
      <c r="B5" s="402"/>
      <c r="C5" s="728"/>
      <c r="D5" s="729"/>
      <c r="E5" s="730"/>
      <c r="F5" s="444"/>
      <c r="G5" s="728" t="s">
        <v>290</v>
      </c>
      <c r="H5" s="729"/>
      <c r="I5" s="730"/>
      <c r="J5" s="444"/>
      <c r="K5" s="728" t="s">
        <v>290</v>
      </c>
      <c r="L5" s="729"/>
      <c r="M5" s="730"/>
      <c r="N5" s="444"/>
      <c r="O5" s="728" t="s">
        <v>290</v>
      </c>
      <c r="P5" s="729"/>
      <c r="Q5" s="730"/>
      <c r="R5" s="442" t="s">
        <v>68</v>
      </c>
      <c r="S5" s="728" t="s">
        <v>290</v>
      </c>
      <c r="T5" s="729"/>
      <c r="U5" s="730"/>
      <c r="V5" s="422"/>
      <c r="W5" s="728" t="s">
        <v>290</v>
      </c>
      <c r="X5" s="729"/>
      <c r="Y5" s="730"/>
      <c r="AA5" s="728" t="s">
        <v>290</v>
      </c>
      <c r="AB5" s="729"/>
      <c r="AC5" s="730"/>
      <c r="AE5" s="728" t="s">
        <v>290</v>
      </c>
      <c r="AF5" s="729"/>
      <c r="AG5" s="730"/>
      <c r="AH5" s="511"/>
      <c r="AI5" s="728" t="s">
        <v>290</v>
      </c>
      <c r="AJ5" s="729"/>
      <c r="AK5" s="730"/>
      <c r="AL5" s="422"/>
      <c r="AM5" s="728" t="s">
        <v>299</v>
      </c>
      <c r="AN5" s="729"/>
      <c r="AO5" s="730"/>
      <c r="AP5" s="445"/>
      <c r="AQ5" s="728" t="s">
        <v>299</v>
      </c>
      <c r="AR5" s="729"/>
      <c r="AS5" s="730"/>
      <c r="AT5" s="445"/>
      <c r="AU5" s="728" t="s">
        <v>299</v>
      </c>
      <c r="AV5" s="729"/>
      <c r="AW5" s="730"/>
    </row>
    <row r="6" spans="1:104" ht="21.75" customHeight="1">
      <c r="A6" s="436"/>
      <c r="B6" s="402"/>
      <c r="C6" s="596" t="s">
        <v>50</v>
      </c>
      <c r="D6" s="596" t="s">
        <v>67</v>
      </c>
      <c r="E6" s="597" t="s">
        <v>0</v>
      </c>
      <c r="F6" s="446"/>
      <c r="G6" s="596" t="s">
        <v>50</v>
      </c>
      <c r="H6" s="596" t="s">
        <v>67</v>
      </c>
      <c r="I6" s="597" t="s">
        <v>0</v>
      </c>
      <c r="J6" s="446"/>
      <c r="K6" s="596" t="s">
        <v>50</v>
      </c>
      <c r="L6" s="596" t="s">
        <v>67</v>
      </c>
      <c r="M6" s="597" t="s">
        <v>0</v>
      </c>
      <c r="N6" s="446"/>
      <c r="O6" s="596" t="s">
        <v>50</v>
      </c>
      <c r="P6" s="596" t="s">
        <v>67</v>
      </c>
      <c r="Q6" s="596" t="s">
        <v>0</v>
      </c>
      <c r="R6" s="438"/>
      <c r="S6" s="596" t="s">
        <v>50</v>
      </c>
      <c r="T6" s="596" t="s">
        <v>67</v>
      </c>
      <c r="U6" s="596" t="s">
        <v>0</v>
      </c>
      <c r="V6" s="422"/>
      <c r="W6" s="596" t="s">
        <v>168</v>
      </c>
      <c r="X6" s="596" t="s">
        <v>67</v>
      </c>
      <c r="Y6" s="596" t="s">
        <v>0</v>
      </c>
      <c r="AA6" s="596" t="s">
        <v>168</v>
      </c>
      <c r="AB6" s="596" t="s">
        <v>291</v>
      </c>
      <c r="AC6" s="596" t="s">
        <v>0</v>
      </c>
      <c r="AE6" s="596" t="s">
        <v>168</v>
      </c>
      <c r="AF6" s="596" t="s">
        <v>263</v>
      </c>
      <c r="AG6" s="596" t="s">
        <v>0</v>
      </c>
      <c r="AH6" s="446"/>
      <c r="AI6" s="596" t="s">
        <v>168</v>
      </c>
      <c r="AJ6" s="596" t="s">
        <v>263</v>
      </c>
      <c r="AK6" s="596" t="s">
        <v>0</v>
      </c>
      <c r="AL6" s="422"/>
      <c r="AM6" s="596" t="s">
        <v>168</v>
      </c>
      <c r="AN6" s="596" t="s">
        <v>263</v>
      </c>
      <c r="AO6" s="596" t="s">
        <v>0</v>
      </c>
      <c r="AP6" s="446"/>
      <c r="AQ6" s="596" t="s">
        <v>168</v>
      </c>
      <c r="AR6" s="596" t="s">
        <v>263</v>
      </c>
      <c r="AS6" s="596" t="s">
        <v>0</v>
      </c>
      <c r="AT6" s="446"/>
      <c r="AU6" s="596" t="s">
        <v>264</v>
      </c>
      <c r="AV6" s="596" t="s">
        <v>265</v>
      </c>
      <c r="AW6" s="596" t="s">
        <v>302</v>
      </c>
      <c r="AZ6" s="501" t="s">
        <v>50</v>
      </c>
      <c r="BA6" s="501" t="s">
        <v>67</v>
      </c>
      <c r="BB6" s="501" t="s">
        <v>0</v>
      </c>
    </row>
    <row r="7" spans="1:104" ht="26.25">
      <c r="A7" s="447" t="s">
        <v>286</v>
      </c>
      <c r="B7" s="448" t="s">
        <v>87</v>
      </c>
      <c r="C7" s="449">
        <f t="shared" ref="C7:D13" si="0">SUM(C23,C39,C55)</f>
        <v>3528246.2321777344</v>
      </c>
      <c r="D7" s="450">
        <f t="shared" si="0"/>
        <v>3340700.0866666683</v>
      </c>
      <c r="E7" s="510">
        <f t="shared" ref="E7:E12" si="1">C7-D7</f>
        <v>187546.14551106608</v>
      </c>
      <c r="F7" s="452"/>
      <c r="G7" s="449">
        <f t="shared" ref="G7:H13" si="2">SUM(G23,G39,G55)</f>
        <v>294938</v>
      </c>
      <c r="H7" s="450">
        <f t="shared" si="2"/>
        <v>47627.839999999997</v>
      </c>
      <c r="I7" s="510">
        <f t="shared" ref="I7:I12" si="3">G7-H7</f>
        <v>247310.16</v>
      </c>
      <c r="J7" s="452"/>
      <c r="K7" s="449">
        <f t="shared" ref="K7:L13" si="4">SUM(K23,K39,K55)</f>
        <v>22480</v>
      </c>
      <c r="L7" s="450">
        <f t="shared" si="4"/>
        <v>29579.820000000003</v>
      </c>
      <c r="M7" s="510">
        <f t="shared" ref="M7:M12" si="5">K7-L7</f>
        <v>-7099.8200000000033</v>
      </c>
      <c r="N7" s="452"/>
      <c r="O7" s="449">
        <f t="shared" ref="O7:P13" si="6">SUM(O23,O39,O55)</f>
        <v>93210</v>
      </c>
      <c r="P7" s="450">
        <f t="shared" si="6"/>
        <v>54846.910000000025</v>
      </c>
      <c r="Q7" s="510">
        <f t="shared" ref="Q7:Q12" si="7">O7-P7</f>
        <v>38363.089999999975</v>
      </c>
      <c r="R7" s="452"/>
      <c r="S7" s="449">
        <f t="shared" ref="S7:T13" si="8">SUM(S23,S39,S55)</f>
        <v>3188</v>
      </c>
      <c r="T7" s="450">
        <f t="shared" si="8"/>
        <v>14299.140000000009</v>
      </c>
      <c r="U7" s="510">
        <f t="shared" ref="U7:U12" si="9">S7-T7</f>
        <v>-11111.140000000009</v>
      </c>
      <c r="V7" s="453"/>
      <c r="W7" s="449">
        <f t="shared" ref="W7:X13" si="10">SUM(W23,W39,W55)</f>
        <v>3631675.2310791016</v>
      </c>
      <c r="X7" s="450">
        <f t="shared" si="10"/>
        <v>3204054.0259430013</v>
      </c>
      <c r="Y7" s="510">
        <f t="shared" ref="Y7:Y12" si="11">W7-X7</f>
        <v>427621.2051361003</v>
      </c>
      <c r="Z7" s="214"/>
      <c r="AA7" s="449">
        <f t="shared" ref="AA7:AB13" si="12">SUM(AA23,AA39,AA55)</f>
        <v>86039</v>
      </c>
      <c r="AB7" s="450">
        <f t="shared" si="12"/>
        <v>83395.929999999993</v>
      </c>
      <c r="AC7" s="510">
        <f t="shared" ref="AC7:AC12" si="13">AA7-AB7</f>
        <v>2643.070000000007</v>
      </c>
      <c r="AD7" s="214"/>
      <c r="AE7" s="449">
        <f t="shared" ref="AE7:AF13" si="14">SUM(AE23,AE39,AE55)</f>
        <v>1433</v>
      </c>
      <c r="AF7" s="450">
        <f t="shared" si="14"/>
        <v>0</v>
      </c>
      <c r="AG7" s="510">
        <f t="shared" ref="AG7:AG12" si="15">AE7-AF7</f>
        <v>1433</v>
      </c>
      <c r="AH7" s="214"/>
      <c r="AI7" s="449">
        <f t="shared" ref="AI7:AJ13" si="16">SUM(AI23,AI39,AI55)</f>
        <v>220871</v>
      </c>
      <c r="AJ7" s="450">
        <f t="shared" si="16"/>
        <v>199592.83000000002</v>
      </c>
      <c r="AK7" s="510">
        <f t="shared" ref="AK7:AK12" si="17">AI7-AJ7</f>
        <v>21278.169999999984</v>
      </c>
      <c r="AL7" s="453"/>
      <c r="AM7" s="449">
        <f t="shared" ref="AM7:AN9" si="18">SUM(C7,G7,K7,O7,S7)</f>
        <v>3942062.2321777344</v>
      </c>
      <c r="AN7" s="450">
        <f t="shared" si="18"/>
        <v>3487053.7966666683</v>
      </c>
      <c r="AO7" s="510">
        <f t="shared" ref="AO7:AO12" si="19">AM7-AN7</f>
        <v>455008.43551106611</v>
      </c>
      <c r="AP7" s="214"/>
      <c r="AQ7" s="449">
        <f t="shared" ref="AQ7:AR9" si="20">SUM(W7,AA7,AE7,AI7)</f>
        <v>3940018.2310791016</v>
      </c>
      <c r="AR7" s="450">
        <f t="shared" si="20"/>
        <v>3487042.7859430015</v>
      </c>
      <c r="AS7" s="510">
        <f t="shared" ref="AS7:AS12" si="21">AQ7-AR7</f>
        <v>452975.44513610005</v>
      </c>
      <c r="AT7" s="214"/>
      <c r="AU7" s="449">
        <f t="shared" ref="AU7:AU12" si="22">AM7</f>
        <v>3942062.2321777344</v>
      </c>
      <c r="AV7" s="450">
        <f t="shared" ref="AV7:AV12" si="23">AQ7</f>
        <v>3940018.2310791016</v>
      </c>
      <c r="AW7" s="510">
        <f t="shared" ref="AW7:AW12" si="24">AU7-AV7</f>
        <v>2044.0010986328125</v>
      </c>
      <c r="AY7" s="496" t="s">
        <v>132</v>
      </c>
      <c r="AZ7" s="413"/>
      <c r="BA7" s="411"/>
      <c r="BB7" s="410"/>
      <c r="BC7" s="439"/>
      <c r="BG7" s="469"/>
      <c r="BH7" s="469"/>
      <c r="BI7" s="469"/>
    </row>
    <row r="8" spans="1:104" ht="21.75" customHeight="1">
      <c r="A8" s="436"/>
      <c r="B8" s="448" t="s">
        <v>88</v>
      </c>
      <c r="C8" s="454">
        <f t="shared" si="0"/>
        <v>2952836.1096191406</v>
      </c>
      <c r="D8" s="214">
        <f t="shared" si="0"/>
        <v>2734921.9700000021</v>
      </c>
      <c r="E8" s="451">
        <f t="shared" si="1"/>
        <v>217914.13961913856</v>
      </c>
      <c r="F8" s="452"/>
      <c r="G8" s="454">
        <f t="shared" si="2"/>
        <v>149552</v>
      </c>
      <c r="H8" s="214">
        <f t="shared" si="2"/>
        <v>103217.18000000001</v>
      </c>
      <c r="I8" s="451">
        <f t="shared" si="3"/>
        <v>46334.819999999992</v>
      </c>
      <c r="J8" s="452"/>
      <c r="K8" s="454">
        <f t="shared" si="4"/>
        <v>29729</v>
      </c>
      <c r="L8" s="214">
        <f t="shared" si="4"/>
        <v>29120</v>
      </c>
      <c r="M8" s="451">
        <f t="shared" si="5"/>
        <v>609</v>
      </c>
      <c r="N8" s="452"/>
      <c r="O8" s="454">
        <f t="shared" si="6"/>
        <v>84956</v>
      </c>
      <c r="P8" s="214">
        <f t="shared" si="6"/>
        <v>68294.350000000006</v>
      </c>
      <c r="Q8" s="451">
        <f t="shared" si="7"/>
        <v>16661.649999999994</v>
      </c>
      <c r="R8" s="452"/>
      <c r="S8" s="454">
        <f t="shared" si="8"/>
        <v>1054</v>
      </c>
      <c r="T8" s="214">
        <f t="shared" si="8"/>
        <v>20001.680000000004</v>
      </c>
      <c r="U8" s="451">
        <f t="shared" si="9"/>
        <v>-18947.680000000004</v>
      </c>
      <c r="V8" s="453"/>
      <c r="W8" s="454">
        <f t="shared" si="10"/>
        <v>3023658.1121826172</v>
      </c>
      <c r="X8" s="214">
        <f t="shared" si="10"/>
        <v>2859365.5968515174</v>
      </c>
      <c r="Y8" s="451">
        <f t="shared" si="11"/>
        <v>164292.51533109974</v>
      </c>
      <c r="Z8" s="214"/>
      <c r="AA8" s="454">
        <f t="shared" si="12"/>
        <v>76012</v>
      </c>
      <c r="AB8" s="214">
        <f t="shared" si="12"/>
        <v>23253.000000000007</v>
      </c>
      <c r="AC8" s="451">
        <f t="shared" si="13"/>
        <v>52758.999999999993</v>
      </c>
      <c r="AD8" s="214"/>
      <c r="AE8" s="454">
        <f t="shared" si="14"/>
        <v>50</v>
      </c>
      <c r="AF8" s="214">
        <f t="shared" si="14"/>
        <v>0</v>
      </c>
      <c r="AG8" s="451">
        <f t="shared" si="15"/>
        <v>50</v>
      </c>
      <c r="AH8" s="214"/>
      <c r="AI8" s="454">
        <f t="shared" si="16"/>
        <v>117520</v>
      </c>
      <c r="AJ8" s="214">
        <f t="shared" si="16"/>
        <v>73456.5</v>
      </c>
      <c r="AK8" s="451">
        <f t="shared" si="17"/>
        <v>44063.5</v>
      </c>
      <c r="AL8" s="453"/>
      <c r="AM8" s="454">
        <f t="shared" si="18"/>
        <v>3218127.1096191406</v>
      </c>
      <c r="AN8" s="214">
        <f t="shared" si="18"/>
        <v>2955555.1800000025</v>
      </c>
      <c r="AO8" s="451">
        <f t="shared" si="19"/>
        <v>262571.92961913813</v>
      </c>
      <c r="AP8" s="214"/>
      <c r="AQ8" s="454">
        <f t="shared" si="20"/>
        <v>3217240.1121826172</v>
      </c>
      <c r="AR8" s="214">
        <f t="shared" si="20"/>
        <v>2956075.0968515174</v>
      </c>
      <c r="AS8" s="451">
        <f t="shared" si="21"/>
        <v>261165.01533109974</v>
      </c>
      <c r="AT8" s="214"/>
      <c r="AU8" s="454">
        <f t="shared" si="22"/>
        <v>3218127.1096191406</v>
      </c>
      <c r="AV8" s="214">
        <f t="shared" si="23"/>
        <v>3217240.1121826172</v>
      </c>
      <c r="AW8" s="451">
        <f t="shared" si="24"/>
        <v>886.9974365234375</v>
      </c>
      <c r="AY8" s="495" t="s">
        <v>274</v>
      </c>
      <c r="AZ8" s="414">
        <f>C20/1000</f>
        <v>20199.959287963866</v>
      </c>
      <c r="BA8" s="417">
        <f>D20/1000</f>
        <v>19842.170514128797</v>
      </c>
      <c r="BB8" s="412">
        <f>AZ8-BA8</f>
        <v>357.78877383506915</v>
      </c>
      <c r="BC8" s="439"/>
      <c r="BG8" s="469"/>
      <c r="BH8" s="469"/>
      <c r="BI8" s="469"/>
    </row>
    <row r="9" spans="1:104" ht="21.75" customHeight="1">
      <c r="A9" s="436"/>
      <c r="B9" s="448" t="s">
        <v>89</v>
      </c>
      <c r="C9" s="454">
        <f t="shared" si="0"/>
        <v>2767738.4473876953</v>
      </c>
      <c r="D9" s="214">
        <f t="shared" si="0"/>
        <v>2515053.6266666697</v>
      </c>
      <c r="E9" s="451">
        <f t="shared" si="1"/>
        <v>252684.82072102558</v>
      </c>
      <c r="F9" s="452"/>
      <c r="G9" s="454">
        <f t="shared" si="2"/>
        <v>188512</v>
      </c>
      <c r="H9" s="214">
        <f t="shared" si="2"/>
        <v>220380.00999999995</v>
      </c>
      <c r="I9" s="451">
        <f t="shared" si="3"/>
        <v>-31868.009999999951</v>
      </c>
      <c r="J9" s="452"/>
      <c r="K9" s="454">
        <f t="shared" si="4"/>
        <v>31672</v>
      </c>
      <c r="L9" s="214">
        <f t="shared" si="4"/>
        <v>22154.570000000003</v>
      </c>
      <c r="M9" s="451">
        <f t="shared" si="5"/>
        <v>9517.4299999999967</v>
      </c>
      <c r="N9" s="452"/>
      <c r="O9" s="454">
        <f t="shared" si="6"/>
        <v>79167</v>
      </c>
      <c r="P9" s="214">
        <f t="shared" si="6"/>
        <v>93764.139999999985</v>
      </c>
      <c r="Q9" s="451">
        <f t="shared" si="7"/>
        <v>-14597.139999999985</v>
      </c>
      <c r="R9" s="452"/>
      <c r="S9" s="454">
        <f t="shared" si="8"/>
        <v>12046</v>
      </c>
      <c r="T9" s="214">
        <f t="shared" si="8"/>
        <v>45724.300000000017</v>
      </c>
      <c r="U9" s="451">
        <f t="shared" si="9"/>
        <v>-33678.300000000017</v>
      </c>
      <c r="V9" s="453"/>
      <c r="W9" s="454">
        <f t="shared" si="10"/>
        <v>2935640.4561157227</v>
      </c>
      <c r="X9" s="214">
        <f t="shared" si="10"/>
        <v>2811469.8371906099</v>
      </c>
      <c r="Y9" s="451">
        <f t="shared" si="11"/>
        <v>124170.61892511277</v>
      </c>
      <c r="Z9" s="214"/>
      <c r="AA9" s="454">
        <f t="shared" si="12"/>
        <v>51852</v>
      </c>
      <c r="AB9" s="214">
        <f t="shared" si="12"/>
        <v>1387.3800000000003</v>
      </c>
      <c r="AC9" s="451">
        <f t="shared" si="13"/>
        <v>50464.62</v>
      </c>
      <c r="AD9" s="214"/>
      <c r="AE9" s="454">
        <f t="shared" si="14"/>
        <v>958</v>
      </c>
      <c r="AF9" s="214">
        <f t="shared" si="14"/>
        <v>0</v>
      </c>
      <c r="AG9" s="451">
        <f t="shared" si="15"/>
        <v>958</v>
      </c>
      <c r="AH9" s="214"/>
      <c r="AI9" s="454">
        <f t="shared" si="16"/>
        <v>92533</v>
      </c>
      <c r="AJ9" s="214">
        <f t="shared" si="16"/>
        <v>84196.286666666667</v>
      </c>
      <c r="AK9" s="451">
        <f t="shared" si="17"/>
        <v>8336.7133333333331</v>
      </c>
      <c r="AL9" s="453"/>
      <c r="AM9" s="454">
        <f t="shared" si="18"/>
        <v>3079135.4473876953</v>
      </c>
      <c r="AN9" s="214">
        <f t="shared" si="18"/>
        <v>2897076.6466666693</v>
      </c>
      <c r="AO9" s="451">
        <f t="shared" si="19"/>
        <v>182058.80072102603</v>
      </c>
      <c r="AP9" s="214"/>
      <c r="AQ9" s="454">
        <f t="shared" si="20"/>
        <v>3080983.4561157227</v>
      </c>
      <c r="AR9" s="214">
        <f t="shared" si="20"/>
        <v>2897053.5038572764</v>
      </c>
      <c r="AS9" s="451">
        <f t="shared" si="21"/>
        <v>183929.95225844625</v>
      </c>
      <c r="AT9" s="214"/>
      <c r="AU9" s="454">
        <f t="shared" si="22"/>
        <v>3079135.4473876953</v>
      </c>
      <c r="AV9" s="214">
        <f t="shared" si="23"/>
        <v>3080983.4561157227</v>
      </c>
      <c r="AW9" s="451">
        <f t="shared" si="24"/>
        <v>-1848.0087280273437</v>
      </c>
      <c r="AY9" s="495" t="s">
        <v>275</v>
      </c>
      <c r="AZ9" s="414">
        <f>G20/1000</f>
        <v>1145.5920000000001</v>
      </c>
      <c r="BA9" s="417">
        <f>H20/1000</f>
        <v>950.45527761363621</v>
      </c>
      <c r="BB9" s="412">
        <f>AZ9-BA9</f>
        <v>195.13672238636389</v>
      </c>
      <c r="BC9" s="439"/>
      <c r="BG9" s="469"/>
      <c r="BH9" s="469"/>
      <c r="BI9" s="469"/>
    </row>
    <row r="10" spans="1:104" ht="21.75" customHeight="1">
      <c r="A10" s="436"/>
      <c r="B10" s="448" t="s">
        <v>90</v>
      </c>
      <c r="C10" s="454">
        <f t="shared" si="0"/>
        <v>2131632.3068847656</v>
      </c>
      <c r="D10" s="214">
        <f t="shared" si="0"/>
        <v>2190151.5900000008</v>
      </c>
      <c r="E10" s="451">
        <f t="shared" si="1"/>
        <v>-58519.283115235157</v>
      </c>
      <c r="F10" s="452"/>
      <c r="G10" s="454">
        <f t="shared" si="2"/>
        <v>289564</v>
      </c>
      <c r="H10" s="214">
        <f t="shared" si="2"/>
        <v>226177.70000000007</v>
      </c>
      <c r="I10" s="451">
        <f t="shared" si="3"/>
        <v>63386.29999999993</v>
      </c>
      <c r="J10" s="452"/>
      <c r="K10" s="454">
        <f t="shared" si="4"/>
        <v>22481</v>
      </c>
      <c r="L10" s="214">
        <f t="shared" si="4"/>
        <v>28557.809999999998</v>
      </c>
      <c r="M10" s="451">
        <f t="shared" si="5"/>
        <v>-6076.8099999999977</v>
      </c>
      <c r="N10" s="452"/>
      <c r="O10" s="454">
        <f t="shared" si="6"/>
        <v>54993</v>
      </c>
      <c r="P10" s="214">
        <f t="shared" si="6"/>
        <v>78846.820000000007</v>
      </c>
      <c r="Q10" s="451">
        <f t="shared" si="7"/>
        <v>-23853.820000000007</v>
      </c>
      <c r="R10" s="452"/>
      <c r="S10" s="454">
        <f t="shared" si="8"/>
        <v>51482</v>
      </c>
      <c r="T10" s="214">
        <f t="shared" si="8"/>
        <v>48697.17</v>
      </c>
      <c r="U10" s="451">
        <f t="shared" si="9"/>
        <v>2784.8300000000017</v>
      </c>
      <c r="V10" s="453"/>
      <c r="W10" s="454">
        <f t="shared" si="10"/>
        <v>2468114.3041381836</v>
      </c>
      <c r="X10" s="214">
        <f t="shared" si="10"/>
        <v>2517254.3277377072</v>
      </c>
      <c r="Y10" s="451">
        <f t="shared" si="11"/>
        <v>-49140.023599523585</v>
      </c>
      <c r="Z10" s="214"/>
      <c r="AA10" s="454">
        <f t="shared" si="12"/>
        <v>519</v>
      </c>
      <c r="AB10" s="214">
        <f t="shared" si="12"/>
        <v>0</v>
      </c>
      <c r="AC10" s="451">
        <f t="shared" si="13"/>
        <v>519</v>
      </c>
      <c r="AD10" s="214"/>
      <c r="AE10" s="454">
        <f t="shared" si="14"/>
        <v>414</v>
      </c>
      <c r="AF10" s="214">
        <f t="shared" si="14"/>
        <v>0</v>
      </c>
      <c r="AG10" s="451">
        <f t="shared" si="15"/>
        <v>414</v>
      </c>
      <c r="AH10" s="214"/>
      <c r="AI10" s="454">
        <f t="shared" si="16"/>
        <v>81941</v>
      </c>
      <c r="AJ10" s="214">
        <f t="shared" si="16"/>
        <v>55201.090000000011</v>
      </c>
      <c r="AK10" s="451">
        <f t="shared" si="17"/>
        <v>26739.909999999989</v>
      </c>
      <c r="AL10" s="453"/>
      <c r="AM10" s="454">
        <f t="shared" ref="AM10" si="25">SUM(C10,G10,K10,O10,S10)</f>
        <v>2550152.3068847656</v>
      </c>
      <c r="AN10" s="214">
        <f t="shared" ref="AN10" si="26">SUM(D10,H10,L10,P10,T10)</f>
        <v>2572431.0900000008</v>
      </c>
      <c r="AO10" s="451">
        <f t="shared" si="19"/>
        <v>-22278.783115235157</v>
      </c>
      <c r="AP10" s="214"/>
      <c r="AQ10" s="454">
        <f t="shared" ref="AQ10" si="27">SUM(W10,AA10,AE10,AI10)</f>
        <v>2550988.3041381836</v>
      </c>
      <c r="AR10" s="214">
        <f t="shared" ref="AR10" si="28">SUM(X10,AB10,AF10,AJ10)</f>
        <v>2572455.417737707</v>
      </c>
      <c r="AS10" s="451">
        <f t="shared" si="21"/>
        <v>-21467.113599523436</v>
      </c>
      <c r="AT10" s="214"/>
      <c r="AU10" s="454">
        <f t="shared" si="22"/>
        <v>2550152.3068847656</v>
      </c>
      <c r="AV10" s="214">
        <f t="shared" si="23"/>
        <v>2550988.3041381836</v>
      </c>
      <c r="AW10" s="451">
        <f t="shared" si="24"/>
        <v>-835.99725341796875</v>
      </c>
      <c r="AY10" s="495" t="s">
        <v>276</v>
      </c>
      <c r="AZ10" s="414">
        <f>K20/1000</f>
        <v>186.32599999999999</v>
      </c>
      <c r="BA10" s="417">
        <f>L20/1000</f>
        <v>183.97608000000002</v>
      </c>
      <c r="BB10" s="412">
        <f>AZ10-BA10</f>
        <v>2.3499199999999689</v>
      </c>
      <c r="BC10" s="439"/>
      <c r="BG10" s="469"/>
      <c r="BH10" s="469"/>
      <c r="BI10" s="469"/>
    </row>
    <row r="11" spans="1:104" ht="21.75" customHeight="1">
      <c r="A11" s="436"/>
      <c r="B11" s="448" t="s">
        <v>10</v>
      </c>
      <c r="C11" s="454">
        <f t="shared" si="0"/>
        <v>2766758.9864501953</v>
      </c>
      <c r="D11" s="214">
        <f t="shared" si="0"/>
        <v>2751594.4700000011</v>
      </c>
      <c r="E11" s="451">
        <f t="shared" si="1"/>
        <v>15164.516450194176</v>
      </c>
      <c r="F11" s="452"/>
      <c r="G11" s="454">
        <f t="shared" si="2"/>
        <v>72685</v>
      </c>
      <c r="H11" s="214">
        <f t="shared" si="2"/>
        <v>33437.699999999997</v>
      </c>
      <c r="I11" s="451">
        <f t="shared" si="3"/>
        <v>39247.300000000003</v>
      </c>
      <c r="J11" s="452"/>
      <c r="K11" s="454">
        <f t="shared" si="4"/>
        <v>17693</v>
      </c>
      <c r="L11" s="214">
        <f t="shared" si="4"/>
        <v>25285.789999999986</v>
      </c>
      <c r="M11" s="451">
        <f t="shared" si="5"/>
        <v>-7592.7899999999863</v>
      </c>
      <c r="N11" s="452"/>
      <c r="O11" s="454">
        <f t="shared" si="6"/>
        <v>56336</v>
      </c>
      <c r="P11" s="214">
        <f t="shared" si="6"/>
        <v>54328.9</v>
      </c>
      <c r="Q11" s="451">
        <f t="shared" si="7"/>
        <v>2007.0999999999985</v>
      </c>
      <c r="R11" s="452"/>
      <c r="S11" s="454">
        <f t="shared" si="8"/>
        <v>1432</v>
      </c>
      <c r="T11" s="214">
        <f t="shared" si="8"/>
        <v>21586.18</v>
      </c>
      <c r="U11" s="451">
        <f t="shared" si="9"/>
        <v>-20154.18</v>
      </c>
      <c r="V11" s="453"/>
      <c r="W11" s="454">
        <f t="shared" si="10"/>
        <v>2783204.9895629883</v>
      </c>
      <c r="X11" s="214">
        <f t="shared" si="10"/>
        <v>2701843.5086360862</v>
      </c>
      <c r="Y11" s="451">
        <f t="shared" si="11"/>
        <v>81361.480926902033</v>
      </c>
      <c r="Z11" s="214"/>
      <c r="AA11" s="454">
        <f t="shared" si="12"/>
        <v>42870</v>
      </c>
      <c r="AB11" s="214">
        <f t="shared" si="12"/>
        <v>65482.609999999979</v>
      </c>
      <c r="AC11" s="451">
        <f t="shared" si="13"/>
        <v>-22612.609999999979</v>
      </c>
      <c r="AD11" s="214"/>
      <c r="AE11" s="454">
        <f t="shared" si="14"/>
        <v>1185</v>
      </c>
      <c r="AF11" s="214">
        <f t="shared" si="14"/>
        <v>0</v>
      </c>
      <c r="AG11" s="451">
        <f t="shared" si="15"/>
        <v>1185</v>
      </c>
      <c r="AH11" s="214"/>
      <c r="AI11" s="454">
        <f t="shared" si="16"/>
        <v>88402</v>
      </c>
      <c r="AJ11" s="214">
        <f t="shared" si="16"/>
        <v>118896.42666666668</v>
      </c>
      <c r="AK11" s="451">
        <f t="shared" si="17"/>
        <v>-30494.426666666681</v>
      </c>
      <c r="AL11" s="453"/>
      <c r="AM11" s="454">
        <f t="shared" ref="AM11" si="29">SUM(C11,G11,K11,O11,S11)</f>
        <v>2914904.9864501953</v>
      </c>
      <c r="AN11" s="214">
        <f t="shared" ref="AN11" si="30">SUM(D11,H11,L11,P11,T11)</f>
        <v>2886233.0400000014</v>
      </c>
      <c r="AO11" s="451">
        <f t="shared" si="19"/>
        <v>28671.946450193878</v>
      </c>
      <c r="AP11" s="214"/>
      <c r="AQ11" s="454">
        <f t="shared" ref="AQ11" si="31">SUM(W11,AA11,AE11,AI11)</f>
        <v>2915661.9895629883</v>
      </c>
      <c r="AR11" s="214">
        <f t="shared" ref="AR11" si="32">SUM(X11,AB11,AF11,AJ11)</f>
        <v>2886222.5453027529</v>
      </c>
      <c r="AS11" s="451">
        <f t="shared" si="21"/>
        <v>29439.44426023541</v>
      </c>
      <c r="AT11" s="214"/>
      <c r="AU11" s="454">
        <f t="shared" si="22"/>
        <v>2914904.9864501953</v>
      </c>
      <c r="AV11" s="214">
        <f t="shared" si="23"/>
        <v>2915661.9895629883</v>
      </c>
      <c r="AW11" s="451">
        <f t="shared" si="24"/>
        <v>-757.00311279296875</v>
      </c>
      <c r="AY11" s="494"/>
      <c r="AZ11" s="414"/>
      <c r="BA11" s="418"/>
      <c r="BB11" s="410"/>
      <c r="BC11" s="439"/>
      <c r="BG11" s="469"/>
      <c r="BH11" s="469"/>
      <c r="BI11" s="469"/>
    </row>
    <row r="12" spans="1:104" ht="21.75" customHeight="1">
      <c r="A12" s="436"/>
      <c r="B12" s="448" t="s">
        <v>91</v>
      </c>
      <c r="C12" s="454">
        <f t="shared" si="0"/>
        <v>3177168.9470214844</v>
      </c>
      <c r="D12" s="214">
        <f t="shared" si="0"/>
        <v>3124643.8133333353</v>
      </c>
      <c r="E12" s="451">
        <f t="shared" si="1"/>
        <v>52525.133688149042</v>
      </c>
      <c r="F12" s="452"/>
      <c r="G12" s="454">
        <f t="shared" si="2"/>
        <v>64491</v>
      </c>
      <c r="H12" s="214">
        <f t="shared" si="2"/>
        <v>118087.71000000002</v>
      </c>
      <c r="I12" s="451">
        <f t="shared" si="3"/>
        <v>-53596.710000000021</v>
      </c>
      <c r="J12" s="452"/>
      <c r="K12" s="454">
        <f t="shared" si="4"/>
        <v>29889</v>
      </c>
      <c r="L12" s="214">
        <f t="shared" si="4"/>
        <v>23151.990000000009</v>
      </c>
      <c r="M12" s="451">
        <f t="shared" si="5"/>
        <v>6737.0099999999911</v>
      </c>
      <c r="N12" s="452"/>
      <c r="O12" s="454">
        <f t="shared" si="6"/>
        <v>76797</v>
      </c>
      <c r="P12" s="214">
        <f t="shared" si="6"/>
        <v>68708.39999999998</v>
      </c>
      <c r="Q12" s="451">
        <f t="shared" si="7"/>
        <v>8088.6000000000204</v>
      </c>
      <c r="R12" s="452"/>
      <c r="S12" s="454">
        <f t="shared" si="8"/>
        <v>552</v>
      </c>
      <c r="T12" s="214">
        <f t="shared" si="8"/>
        <v>23936.92</v>
      </c>
      <c r="U12" s="451">
        <f t="shared" si="9"/>
        <v>-23384.92</v>
      </c>
      <c r="V12" s="453"/>
      <c r="W12" s="454">
        <f t="shared" si="10"/>
        <v>3108632.9465332031</v>
      </c>
      <c r="X12" s="214">
        <f t="shared" si="10"/>
        <v>3153619.9342092043</v>
      </c>
      <c r="Y12" s="451">
        <f t="shared" si="11"/>
        <v>-44986.987676001154</v>
      </c>
      <c r="Z12" s="214"/>
      <c r="AA12" s="454">
        <f t="shared" si="12"/>
        <v>44080</v>
      </c>
      <c r="AB12" s="214">
        <f t="shared" si="12"/>
        <v>21972.269999999993</v>
      </c>
      <c r="AC12" s="451">
        <f t="shared" si="13"/>
        <v>22107.730000000007</v>
      </c>
      <c r="AD12" s="214"/>
      <c r="AE12" s="454">
        <f t="shared" si="14"/>
        <v>290</v>
      </c>
      <c r="AF12" s="214">
        <f t="shared" si="14"/>
        <v>0</v>
      </c>
      <c r="AG12" s="451">
        <f t="shared" si="15"/>
        <v>290</v>
      </c>
      <c r="AH12" s="214"/>
      <c r="AI12" s="454">
        <f t="shared" si="16"/>
        <v>195622</v>
      </c>
      <c r="AJ12" s="214">
        <f t="shared" si="16"/>
        <v>182922.57666666666</v>
      </c>
      <c r="AK12" s="451">
        <f t="shared" si="17"/>
        <v>12699.42333333334</v>
      </c>
      <c r="AL12" s="453"/>
      <c r="AM12" s="454">
        <f t="shared" ref="AM12" si="33">SUM(C12,G12,K12,O12,S12)</f>
        <v>3348897.9470214844</v>
      </c>
      <c r="AN12" s="214">
        <f t="shared" ref="AN12" si="34">SUM(D12,H12,L12,P12,T12)</f>
        <v>3358528.8333333354</v>
      </c>
      <c r="AO12" s="451">
        <f t="shared" si="19"/>
        <v>-9630.8863118509762</v>
      </c>
      <c r="AP12" s="214"/>
      <c r="AQ12" s="454">
        <f t="shared" ref="AQ12" si="35">SUM(W12,AA12,AE12,AI12)</f>
        <v>3348624.9465332031</v>
      </c>
      <c r="AR12" s="214">
        <f t="shared" ref="AR12" si="36">SUM(X12,AB12,AF12,AJ12)</f>
        <v>3358514.780875871</v>
      </c>
      <c r="AS12" s="451">
        <f t="shared" si="21"/>
        <v>-9889.834342667833</v>
      </c>
      <c r="AT12" s="214"/>
      <c r="AU12" s="454">
        <f t="shared" si="22"/>
        <v>3348897.9470214844</v>
      </c>
      <c r="AV12" s="214">
        <f t="shared" si="23"/>
        <v>3348624.9465332031</v>
      </c>
      <c r="AW12" s="451">
        <f t="shared" si="24"/>
        <v>273.00048828125</v>
      </c>
      <c r="AY12" s="496" t="s">
        <v>249</v>
      </c>
      <c r="AZ12" s="414"/>
      <c r="BA12" s="418"/>
      <c r="BB12" s="410"/>
      <c r="BC12" s="410"/>
      <c r="BG12" s="469"/>
      <c r="BH12" s="469"/>
      <c r="BI12" s="469"/>
    </row>
    <row r="13" spans="1:104" ht="21.75" customHeight="1">
      <c r="A13" s="436"/>
      <c r="B13" s="448" t="s">
        <v>92</v>
      </c>
      <c r="C13" s="454">
        <f t="shared" si="0"/>
        <v>2875578.2584228516</v>
      </c>
      <c r="D13" s="214">
        <f t="shared" si="0"/>
        <v>3185104.9574621227</v>
      </c>
      <c r="E13" s="451">
        <f t="shared" ref="E13" si="37">C13-D13</f>
        <v>-309526.6990392711</v>
      </c>
      <c r="F13" s="452"/>
      <c r="G13" s="454">
        <f t="shared" si="2"/>
        <v>85850</v>
      </c>
      <c r="H13" s="214">
        <f t="shared" si="2"/>
        <v>201527.1376136363</v>
      </c>
      <c r="I13" s="451">
        <f t="shared" ref="I13" si="38">G13-H13</f>
        <v>-115677.1376136363</v>
      </c>
      <c r="J13" s="452"/>
      <c r="K13" s="454">
        <f t="shared" si="4"/>
        <v>32382</v>
      </c>
      <c r="L13" s="214">
        <f t="shared" si="4"/>
        <v>26126.099999999995</v>
      </c>
      <c r="M13" s="451">
        <f t="shared" ref="M13" si="39">K13-L13</f>
        <v>6255.9000000000051</v>
      </c>
      <c r="N13" s="452"/>
      <c r="O13" s="454">
        <f t="shared" si="6"/>
        <v>79831</v>
      </c>
      <c r="P13" s="214">
        <f t="shared" si="6"/>
        <v>73615.06545454546</v>
      </c>
      <c r="Q13" s="451">
        <f t="shared" ref="Q13" si="40">O13-P13</f>
        <v>6215.9345454545401</v>
      </c>
      <c r="R13" s="452"/>
      <c r="S13" s="454">
        <f t="shared" si="8"/>
        <v>569</v>
      </c>
      <c r="T13" s="214">
        <f t="shared" si="8"/>
        <v>13961.466022727269</v>
      </c>
      <c r="U13" s="451">
        <f t="shared" ref="U13" si="41">S13-T13</f>
        <v>-13392.466022727269</v>
      </c>
      <c r="V13" s="453"/>
      <c r="W13" s="454">
        <f t="shared" si="10"/>
        <v>2924170.7372436523</v>
      </c>
      <c r="X13" s="214">
        <f t="shared" si="10"/>
        <v>3307593.1728339605</v>
      </c>
      <c r="Y13" s="451">
        <f t="shared" ref="Y13" si="42">W13-X13</f>
        <v>-383422.43559030816</v>
      </c>
      <c r="Z13" s="214"/>
      <c r="AA13" s="454">
        <f t="shared" si="12"/>
        <v>12530</v>
      </c>
      <c r="AB13" s="214">
        <f t="shared" si="12"/>
        <v>13084.795454545458</v>
      </c>
      <c r="AC13" s="451">
        <f t="shared" ref="AC13" si="43">AA13-AB13</f>
        <v>-554.79545454545769</v>
      </c>
      <c r="AD13" s="214"/>
      <c r="AE13" s="454">
        <f t="shared" si="14"/>
        <v>358</v>
      </c>
      <c r="AF13" s="214">
        <f t="shared" si="14"/>
        <v>0</v>
      </c>
      <c r="AG13" s="451">
        <f t="shared" ref="AG13" si="44">AE13-AF13</f>
        <v>358</v>
      </c>
      <c r="AH13" s="214"/>
      <c r="AI13" s="454">
        <f t="shared" si="16"/>
        <v>137205</v>
      </c>
      <c r="AJ13" s="214">
        <f t="shared" si="16"/>
        <v>182735.05272727276</v>
      </c>
      <c r="AK13" s="451">
        <f t="shared" ref="AK13" si="45">AI13-AJ13</f>
        <v>-45530.052727272763</v>
      </c>
      <c r="AL13" s="453"/>
      <c r="AM13" s="454">
        <f t="shared" ref="AM13" si="46">SUM(C13,G13,K13,O13,S13)</f>
        <v>3074210.2584228516</v>
      </c>
      <c r="AN13" s="214">
        <f t="shared" ref="AN13" si="47">SUM(D13,H13,L13,P13,T13)</f>
        <v>3500334.7265530317</v>
      </c>
      <c r="AO13" s="451">
        <f t="shared" ref="AO13" si="48">AM13-AN13</f>
        <v>-426124.46813018015</v>
      </c>
      <c r="AP13" s="214"/>
      <c r="AQ13" s="454">
        <f t="shared" ref="AQ13" si="49">SUM(W13,AA13,AE13,AI13)</f>
        <v>3074263.7372436523</v>
      </c>
      <c r="AR13" s="214">
        <f t="shared" ref="AR13" si="50">SUM(X13,AB13,AF13,AJ13)</f>
        <v>3503413.0210157786</v>
      </c>
      <c r="AS13" s="451">
        <f t="shared" ref="AS13" si="51">AQ13-AR13</f>
        <v>-429149.28377212631</v>
      </c>
      <c r="AT13" s="214"/>
      <c r="AU13" s="454">
        <f t="shared" ref="AU13" si="52">AM13</f>
        <v>3074210.2584228516</v>
      </c>
      <c r="AV13" s="214">
        <f t="shared" ref="AV13" si="53">AQ13</f>
        <v>3074263.7372436523</v>
      </c>
      <c r="AW13" s="451">
        <f t="shared" ref="AW13" si="54">AU13-AV13</f>
        <v>-53.47882080078125</v>
      </c>
      <c r="AY13" s="495" t="s">
        <v>277</v>
      </c>
      <c r="AZ13" s="414">
        <f>O20/1000</f>
        <v>525.29</v>
      </c>
      <c r="BA13" s="417">
        <f>P20/1000</f>
        <v>492.40458545454544</v>
      </c>
      <c r="BB13" s="412">
        <f>AZ13-BA13</f>
        <v>32.885414545454523</v>
      </c>
      <c r="BC13" s="410"/>
      <c r="BG13" s="469"/>
      <c r="BH13" s="469"/>
    </row>
    <row r="14" spans="1:104" ht="21.75" customHeight="1">
      <c r="A14" s="436"/>
      <c r="B14" s="448" t="s">
        <v>93</v>
      </c>
      <c r="C14" s="454"/>
      <c r="D14" s="214"/>
      <c r="E14" s="451"/>
      <c r="F14" s="452"/>
      <c r="G14" s="454"/>
      <c r="H14" s="214"/>
      <c r="I14" s="451"/>
      <c r="J14" s="452"/>
      <c r="K14" s="454"/>
      <c r="L14" s="214"/>
      <c r="M14" s="451"/>
      <c r="N14" s="452"/>
      <c r="O14" s="454"/>
      <c r="P14" s="214"/>
      <c r="Q14" s="451"/>
      <c r="R14" s="452"/>
      <c r="S14" s="454"/>
      <c r="T14" s="214"/>
      <c r="U14" s="451"/>
      <c r="V14" s="453"/>
      <c r="W14" s="454"/>
      <c r="X14" s="214"/>
      <c r="Y14" s="451"/>
      <c r="Z14" s="214"/>
      <c r="AA14" s="454"/>
      <c r="AB14" s="214"/>
      <c r="AC14" s="451"/>
      <c r="AD14" s="214"/>
      <c r="AE14" s="454"/>
      <c r="AF14" s="214"/>
      <c r="AG14" s="451"/>
      <c r="AH14" s="214"/>
      <c r="AI14" s="454"/>
      <c r="AJ14" s="214"/>
      <c r="AK14" s="451"/>
      <c r="AL14" s="453"/>
      <c r="AM14" s="454"/>
      <c r="AN14" s="214"/>
      <c r="AO14" s="451"/>
      <c r="AP14" s="214"/>
      <c r="AQ14" s="454"/>
      <c r="AR14" s="214"/>
      <c r="AS14" s="451"/>
      <c r="AT14" s="214"/>
      <c r="AU14" s="454"/>
      <c r="AV14" s="214"/>
      <c r="AW14" s="451"/>
      <c r="AY14" s="495" t="s">
        <v>278</v>
      </c>
      <c r="AZ14" s="415">
        <f>S20/1000</f>
        <v>70.322999999999993</v>
      </c>
      <c r="BA14" s="419">
        <f>T20/1000</f>
        <v>188.20685602272727</v>
      </c>
      <c r="BB14" s="416">
        <f>AZ14-BA14</f>
        <v>-117.88385602272727</v>
      </c>
      <c r="BC14" s="410"/>
      <c r="BH14" s="469"/>
    </row>
    <row r="15" spans="1:104" ht="21.75" customHeight="1">
      <c r="A15" s="436"/>
      <c r="B15" s="448" t="s">
        <v>94</v>
      </c>
      <c r="C15" s="454"/>
      <c r="D15" s="214"/>
      <c r="E15" s="451"/>
      <c r="F15" s="452"/>
      <c r="G15" s="454"/>
      <c r="H15" s="214"/>
      <c r="I15" s="451"/>
      <c r="J15" s="452"/>
      <c r="K15" s="454"/>
      <c r="L15" s="214"/>
      <c r="M15" s="451"/>
      <c r="N15" s="452"/>
      <c r="O15" s="454"/>
      <c r="P15" s="214"/>
      <c r="Q15" s="451"/>
      <c r="R15" s="452"/>
      <c r="S15" s="454"/>
      <c r="T15" s="214"/>
      <c r="U15" s="451"/>
      <c r="V15" s="453"/>
      <c r="W15" s="454"/>
      <c r="X15" s="214"/>
      <c r="Y15" s="451"/>
      <c r="Z15" s="214"/>
      <c r="AA15" s="454"/>
      <c r="AB15" s="214"/>
      <c r="AC15" s="451"/>
      <c r="AD15" s="214"/>
      <c r="AE15" s="454"/>
      <c r="AF15" s="214"/>
      <c r="AG15" s="451"/>
      <c r="AH15" s="214"/>
      <c r="AI15" s="454"/>
      <c r="AJ15" s="214"/>
      <c r="AK15" s="451"/>
      <c r="AL15" s="453"/>
      <c r="AM15" s="454"/>
      <c r="AN15" s="214"/>
      <c r="AO15" s="451"/>
      <c r="AP15" s="214"/>
      <c r="AQ15" s="454"/>
      <c r="AR15" s="214"/>
      <c r="AS15" s="451"/>
      <c r="AT15" s="214"/>
      <c r="AU15" s="454"/>
      <c r="AV15" s="214"/>
      <c r="AW15" s="451"/>
      <c r="AY15" s="494"/>
      <c r="AZ15" s="414"/>
      <c r="BA15" s="418"/>
      <c r="BB15" s="410"/>
      <c r="BC15" s="410"/>
      <c r="BH15" s="469"/>
    </row>
    <row r="16" spans="1:104" ht="21.75" customHeight="1">
      <c r="A16" s="436"/>
      <c r="B16" s="448" t="s">
        <v>95</v>
      </c>
      <c r="C16" s="454"/>
      <c r="D16" s="214"/>
      <c r="E16" s="451"/>
      <c r="F16" s="452"/>
      <c r="G16" s="454"/>
      <c r="H16" s="214"/>
      <c r="I16" s="451"/>
      <c r="J16" s="452"/>
      <c r="K16" s="454"/>
      <c r="L16" s="214"/>
      <c r="M16" s="451"/>
      <c r="N16" s="452"/>
      <c r="O16" s="454"/>
      <c r="P16" s="214"/>
      <c r="Q16" s="451"/>
      <c r="R16" s="452"/>
      <c r="S16" s="454"/>
      <c r="T16" s="214"/>
      <c r="U16" s="451"/>
      <c r="V16" s="453"/>
      <c r="W16" s="454"/>
      <c r="X16" s="214"/>
      <c r="Y16" s="451"/>
      <c r="Z16" s="214"/>
      <c r="AA16" s="454"/>
      <c r="AB16" s="214"/>
      <c r="AC16" s="451"/>
      <c r="AD16" s="214"/>
      <c r="AE16" s="454"/>
      <c r="AF16" s="214"/>
      <c r="AG16" s="451"/>
      <c r="AH16" s="214"/>
      <c r="AI16" s="454"/>
      <c r="AJ16" s="214"/>
      <c r="AK16" s="451"/>
      <c r="AL16" s="453"/>
      <c r="AM16" s="454"/>
      <c r="AN16" s="214"/>
      <c r="AO16" s="451"/>
      <c r="AP16" s="214"/>
      <c r="AQ16" s="454"/>
      <c r="AR16" s="214"/>
      <c r="AS16" s="451"/>
      <c r="AT16" s="214"/>
      <c r="AU16" s="454"/>
      <c r="AV16" s="214"/>
      <c r="AW16" s="451"/>
      <c r="AY16" s="496" t="s">
        <v>292</v>
      </c>
      <c r="AZ16" s="490">
        <f>SUM(AZ8:AZ14)</f>
        <v>22127.490287963868</v>
      </c>
      <c r="BA16" s="491">
        <f>SUM(BA8:BA14)</f>
        <v>21657.213313219705</v>
      </c>
      <c r="BB16" s="492">
        <f>AZ16-BA16</f>
        <v>470.27697474416345</v>
      </c>
      <c r="BC16" s="410"/>
      <c r="BH16" s="469"/>
    </row>
    <row r="17" spans="1:104" ht="21.75" customHeight="1">
      <c r="A17" s="436"/>
      <c r="B17" s="448" t="s">
        <v>96</v>
      </c>
      <c r="C17" s="454"/>
      <c r="D17" s="214"/>
      <c r="E17" s="451"/>
      <c r="F17" s="452"/>
      <c r="G17" s="454"/>
      <c r="H17" s="214"/>
      <c r="I17" s="451"/>
      <c r="J17" s="452"/>
      <c r="K17" s="454"/>
      <c r="L17" s="214"/>
      <c r="M17" s="451"/>
      <c r="N17" s="452"/>
      <c r="O17" s="454"/>
      <c r="P17" s="214"/>
      <c r="Q17" s="451"/>
      <c r="R17" s="452"/>
      <c r="S17" s="454"/>
      <c r="T17" s="214"/>
      <c r="U17" s="451"/>
      <c r="V17" s="453"/>
      <c r="W17" s="454"/>
      <c r="X17" s="214"/>
      <c r="Y17" s="451"/>
      <c r="Z17" s="214"/>
      <c r="AA17" s="454"/>
      <c r="AB17" s="214"/>
      <c r="AC17" s="451"/>
      <c r="AD17" s="214"/>
      <c r="AE17" s="454"/>
      <c r="AF17" s="214"/>
      <c r="AG17" s="451"/>
      <c r="AH17" s="214"/>
      <c r="AI17" s="454"/>
      <c r="AJ17" s="214"/>
      <c r="AK17" s="451"/>
      <c r="AL17" s="453"/>
      <c r="AM17" s="454"/>
      <c r="AN17" s="214"/>
      <c r="AO17" s="451"/>
      <c r="AP17" s="214"/>
      <c r="AQ17" s="454"/>
      <c r="AR17" s="214"/>
      <c r="AS17" s="451"/>
      <c r="AT17" s="214"/>
      <c r="AU17" s="454"/>
      <c r="AV17" s="214"/>
      <c r="AW17" s="451"/>
      <c r="AY17" s="494"/>
      <c r="AZ17" s="414"/>
      <c r="BA17" s="418"/>
      <c r="BB17" s="410"/>
      <c r="BC17" s="410"/>
      <c r="BH17" s="469"/>
    </row>
    <row r="18" spans="1:104" ht="21.75" customHeight="1">
      <c r="A18" s="436"/>
      <c r="B18" s="448" t="s">
        <v>97</v>
      </c>
      <c r="C18" s="455"/>
      <c r="D18" s="456"/>
      <c r="E18" s="457"/>
      <c r="F18" s="452"/>
      <c r="G18" s="455"/>
      <c r="H18" s="456"/>
      <c r="I18" s="457"/>
      <c r="J18" s="452"/>
      <c r="K18" s="455"/>
      <c r="L18" s="456"/>
      <c r="M18" s="457"/>
      <c r="N18" s="452"/>
      <c r="O18" s="455"/>
      <c r="P18" s="456"/>
      <c r="Q18" s="457"/>
      <c r="R18" s="452"/>
      <c r="S18" s="455"/>
      <c r="T18" s="456"/>
      <c r="U18" s="457"/>
      <c r="V18" s="453"/>
      <c r="W18" s="455"/>
      <c r="X18" s="456"/>
      <c r="Y18" s="457"/>
      <c r="Z18" s="214"/>
      <c r="AA18" s="455"/>
      <c r="AB18" s="456"/>
      <c r="AC18" s="457"/>
      <c r="AD18" s="214"/>
      <c r="AE18" s="455"/>
      <c r="AF18" s="456"/>
      <c r="AG18" s="457"/>
      <c r="AH18" s="214"/>
      <c r="AI18" s="455"/>
      <c r="AJ18" s="456"/>
      <c r="AK18" s="457"/>
      <c r="AL18" s="453"/>
      <c r="AM18" s="455"/>
      <c r="AN18" s="456"/>
      <c r="AO18" s="457"/>
      <c r="AP18" s="214"/>
      <c r="AQ18" s="455"/>
      <c r="AR18" s="456"/>
      <c r="AS18" s="457"/>
      <c r="AT18" s="214"/>
      <c r="AU18" s="455"/>
      <c r="AV18" s="456"/>
      <c r="AW18" s="457"/>
      <c r="AY18" s="494"/>
      <c r="AZ18" s="414"/>
      <c r="BA18" s="418"/>
      <c r="BB18" s="410"/>
      <c r="BC18" s="410"/>
    </row>
    <row r="19" spans="1:104" ht="21.75" customHeight="1">
      <c r="A19" s="436"/>
      <c r="B19" s="448"/>
      <c r="C19" s="214"/>
      <c r="D19" s="214"/>
      <c r="E19" s="214"/>
      <c r="F19" s="452"/>
      <c r="G19" s="214"/>
      <c r="H19" s="214"/>
      <c r="I19" s="214"/>
      <c r="J19" s="452"/>
      <c r="K19" s="214"/>
      <c r="L19" s="214"/>
      <c r="M19" s="214"/>
      <c r="N19" s="452"/>
      <c r="O19" s="214"/>
      <c r="P19" s="214"/>
      <c r="Q19" s="214"/>
      <c r="R19" s="452"/>
      <c r="S19" s="214"/>
      <c r="T19" s="214"/>
      <c r="U19" s="214"/>
      <c r="V19" s="453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453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Y19" s="496" t="s">
        <v>265</v>
      </c>
      <c r="AZ19" s="414"/>
      <c r="BA19" s="418"/>
      <c r="BB19" s="410"/>
      <c r="BC19" s="410"/>
    </row>
    <row r="20" spans="1:104" ht="21.75" customHeight="1">
      <c r="A20" s="436"/>
      <c r="B20" s="460" t="s">
        <v>99</v>
      </c>
      <c r="C20" s="486">
        <f>SUM(C7:C19)</f>
        <v>20199959.287963867</v>
      </c>
      <c r="D20" s="486">
        <f>SUM(D7:D19)</f>
        <v>19842170.514128797</v>
      </c>
      <c r="E20" s="486">
        <f>C20-D20</f>
        <v>357788.77383507043</v>
      </c>
      <c r="F20" s="487"/>
      <c r="G20" s="486">
        <f>SUM(G7:G19)</f>
        <v>1145592</v>
      </c>
      <c r="H20" s="486">
        <f>SUM(H7:H19)</f>
        <v>950455.27761363622</v>
      </c>
      <c r="I20" s="486">
        <f>G20-H20</f>
        <v>195136.72238636378</v>
      </c>
      <c r="J20" s="487"/>
      <c r="K20" s="486">
        <f>SUM(K7:K19)</f>
        <v>186326</v>
      </c>
      <c r="L20" s="486">
        <f>SUM(L7:L19)</f>
        <v>183976.08000000002</v>
      </c>
      <c r="M20" s="486">
        <f>K20-L20</f>
        <v>2349.9199999999837</v>
      </c>
      <c r="N20" s="487"/>
      <c r="O20" s="486">
        <f>SUM(O7:O19)</f>
        <v>525290</v>
      </c>
      <c r="P20" s="486">
        <f>SUM(P7:P19)</f>
        <v>492404.58545454545</v>
      </c>
      <c r="Q20" s="486">
        <f>O20-P20</f>
        <v>32885.414545454551</v>
      </c>
      <c r="R20" s="506"/>
      <c r="S20" s="486">
        <f>SUM(S7:S19)</f>
        <v>70323</v>
      </c>
      <c r="T20" s="486">
        <f>SUM(T7:T19)</f>
        <v>188206.85602272727</v>
      </c>
      <c r="U20" s="486">
        <f>S20-T20</f>
        <v>-117883.85602272727</v>
      </c>
      <c r="V20" s="488"/>
      <c r="W20" s="486">
        <f>SUM(W7:W19)</f>
        <v>20875096.776855469</v>
      </c>
      <c r="X20" s="486">
        <f>SUM(X7:X19)</f>
        <v>20555200.403402086</v>
      </c>
      <c r="Y20" s="486">
        <f>W20-X20</f>
        <v>319896.3734533824</v>
      </c>
      <c r="Z20" s="486"/>
      <c r="AA20" s="486">
        <f>SUM(AA7:AA19)</f>
        <v>313902</v>
      </c>
      <c r="AB20" s="486">
        <f>SUM(AB7:AB19)</f>
        <v>208575.98545454544</v>
      </c>
      <c r="AC20" s="486">
        <f>AA20-AB20</f>
        <v>105326.01454545456</v>
      </c>
      <c r="AD20" s="486"/>
      <c r="AE20" s="486">
        <f>SUM(AE7:AE19)</f>
        <v>4688</v>
      </c>
      <c r="AF20" s="486">
        <f>SUM(AF7:AF19)</f>
        <v>0</v>
      </c>
      <c r="AG20" s="486">
        <f>AE20-AF20</f>
        <v>4688</v>
      </c>
      <c r="AH20" s="486"/>
      <c r="AI20" s="486">
        <f>SUM(AI7:AI19)</f>
        <v>934094</v>
      </c>
      <c r="AJ20" s="486">
        <f>SUM(AJ7:AJ19)</f>
        <v>897000.76272727281</v>
      </c>
      <c r="AK20" s="486">
        <f>AI20-AJ20</f>
        <v>37093.237272727187</v>
      </c>
      <c r="AL20" s="488"/>
      <c r="AM20" s="486">
        <f>SUM(AM7:AM19)</f>
        <v>22127490.287963867</v>
      </c>
      <c r="AN20" s="486">
        <f>SUM(AN7:AN19)</f>
        <v>21657213.313219704</v>
      </c>
      <c r="AO20" s="486">
        <f>AM20-AN20</f>
        <v>470276.97474416345</v>
      </c>
      <c r="AP20" s="486"/>
      <c r="AQ20" s="486">
        <f>SUM(AQ7:AQ19)</f>
        <v>22127780.776855469</v>
      </c>
      <c r="AR20" s="486">
        <f>SUM(AR7:AR19)</f>
        <v>21660777.151583903</v>
      </c>
      <c r="AS20" s="486">
        <f>AQ20-AR20</f>
        <v>467003.62527156621</v>
      </c>
      <c r="AT20" s="486"/>
      <c r="AU20" s="486">
        <f>SUM(AU7:AU19)</f>
        <v>22127490.287963867</v>
      </c>
      <c r="AV20" s="486">
        <f>SUM(AV7:AV19)</f>
        <v>22127780.776855469</v>
      </c>
      <c r="AW20" s="486">
        <f>AU20-AV20</f>
        <v>-290.4888916015625</v>
      </c>
      <c r="AY20" s="496"/>
      <c r="AZ20" s="414"/>
      <c r="BA20" s="418"/>
      <c r="BB20" s="410"/>
      <c r="BC20" s="410"/>
    </row>
    <row r="21" spans="1:104" s="25" customFormat="1" ht="21.75" customHeight="1">
      <c r="A21" s="447"/>
      <c r="B21" s="460"/>
      <c r="C21" s="452"/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9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9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84"/>
      <c r="AY21" s="495" t="s">
        <v>146</v>
      </c>
      <c r="AZ21" s="414">
        <f>W20/1000</f>
        <v>20875.096776855469</v>
      </c>
      <c r="BA21" s="417">
        <f>X20/1000</f>
        <v>20555.200403402087</v>
      </c>
      <c r="BB21" s="412">
        <f>AZ21-BA21</f>
        <v>319.89637345338269</v>
      </c>
      <c r="BC21" s="493"/>
      <c r="BD21" s="484"/>
      <c r="BE21" s="484"/>
      <c r="BF21" s="484"/>
      <c r="BG21" s="484"/>
      <c r="BH21" s="484"/>
      <c r="BI21" s="484"/>
      <c r="BJ21" s="484"/>
      <c r="BK21" s="484"/>
      <c r="BL21" s="484"/>
      <c r="BM21" s="484"/>
      <c r="BN21" s="484"/>
      <c r="BO21" s="484"/>
      <c r="BP21" s="484"/>
      <c r="BQ21" s="484"/>
      <c r="BR21" s="484"/>
      <c r="BS21" s="484"/>
      <c r="BT21" s="484"/>
      <c r="BU21" s="484"/>
      <c r="BV21" s="484"/>
      <c r="BW21" s="484"/>
      <c r="BX21" s="484"/>
      <c r="BY21" s="484"/>
      <c r="BZ21" s="484"/>
      <c r="CA21" s="484"/>
      <c r="CB21" s="484"/>
      <c r="CC21" s="484"/>
      <c r="CD21" s="484"/>
      <c r="CE21" s="484"/>
      <c r="CF21" s="484"/>
      <c r="CG21" s="484"/>
      <c r="CH21" s="484"/>
      <c r="CI21" s="484"/>
      <c r="CJ21" s="484"/>
      <c r="CK21" s="484"/>
      <c r="CL21" s="484"/>
      <c r="CM21" s="484"/>
      <c r="CN21" s="484"/>
      <c r="CO21" s="484"/>
      <c r="CP21" s="484"/>
      <c r="CQ21" s="484"/>
      <c r="CR21" s="484"/>
      <c r="CS21" s="484"/>
      <c r="CT21" s="484"/>
      <c r="CU21" s="484"/>
      <c r="CV21" s="484"/>
      <c r="CW21" s="484"/>
      <c r="CX21" s="484"/>
      <c r="CY21" s="484"/>
      <c r="CZ21" s="484"/>
    </row>
    <row r="22" spans="1:104" ht="21.75" customHeight="1">
      <c r="A22" s="436"/>
      <c r="B22" s="448"/>
      <c r="C22" s="461"/>
      <c r="D22" s="462"/>
      <c r="E22" s="463"/>
      <c r="F22" s="458"/>
      <c r="G22" s="461"/>
      <c r="H22" s="462"/>
      <c r="I22" s="463"/>
      <c r="J22" s="458"/>
      <c r="K22" s="461"/>
      <c r="L22" s="462"/>
      <c r="M22" s="463"/>
      <c r="N22" s="458"/>
      <c r="O22" s="461"/>
      <c r="P22" s="462"/>
      <c r="Q22" s="463"/>
      <c r="S22" s="461"/>
      <c r="T22" s="462"/>
      <c r="U22" s="463"/>
      <c r="V22" s="459"/>
      <c r="W22" s="461"/>
      <c r="X22" s="462"/>
      <c r="Y22" s="463"/>
      <c r="Z22" s="452"/>
      <c r="AA22" s="461"/>
      <c r="AB22" s="462"/>
      <c r="AC22" s="463"/>
      <c r="AD22" s="452"/>
      <c r="AE22" s="461"/>
      <c r="AF22" s="462"/>
      <c r="AG22" s="463"/>
      <c r="AH22" s="452"/>
      <c r="AI22" s="461"/>
      <c r="AJ22" s="462"/>
      <c r="AK22" s="463"/>
      <c r="AL22" s="459"/>
      <c r="AM22" s="461"/>
      <c r="AN22" s="462"/>
      <c r="AO22" s="463"/>
      <c r="AP22" s="452"/>
      <c r="AQ22" s="461"/>
      <c r="AR22" s="462"/>
      <c r="AS22" s="463"/>
      <c r="AT22" s="452"/>
      <c r="AU22" s="461"/>
      <c r="AV22" s="462"/>
      <c r="AW22" s="463"/>
      <c r="AY22" s="495" t="s">
        <v>279</v>
      </c>
      <c r="AZ22" s="414">
        <f>AI20/1000</f>
        <v>934.09400000000005</v>
      </c>
      <c r="BA22" s="417">
        <f>AJ20/1000</f>
        <v>897.00076272727279</v>
      </c>
      <c r="BB22" s="412">
        <f>AZ22-BA22</f>
        <v>37.093237272727265</v>
      </c>
      <c r="BC22" s="410"/>
    </row>
    <row r="23" spans="1:104" ht="26.25">
      <c r="A23" s="447" t="s">
        <v>83</v>
      </c>
      <c r="B23" s="448" t="s">
        <v>87</v>
      </c>
      <c r="C23" s="454">
        <v>1864697.1453857422</v>
      </c>
      <c r="D23" s="214">
        <v>1756062.8266666683</v>
      </c>
      <c r="E23" s="451">
        <v>98611.418719075387</v>
      </c>
      <c r="F23" s="452"/>
      <c r="G23" s="454">
        <v>182162</v>
      </c>
      <c r="H23" s="214">
        <v>39846.639999999992</v>
      </c>
      <c r="I23" s="451">
        <v>142315.36000000002</v>
      </c>
      <c r="J23" s="452"/>
      <c r="K23" s="454">
        <v>11752</v>
      </c>
      <c r="L23" s="214">
        <v>18707.7</v>
      </c>
      <c r="M23" s="451">
        <f>K23-L23</f>
        <v>-6955.7000000000007</v>
      </c>
      <c r="N23" s="452"/>
      <c r="O23" s="454">
        <v>47273</v>
      </c>
      <c r="P23" s="214">
        <v>33795.910000000018</v>
      </c>
      <c r="Q23" s="451">
        <v>13477.089999999982</v>
      </c>
      <c r="R23" s="452"/>
      <c r="S23" s="454">
        <v>2425</v>
      </c>
      <c r="T23" s="214">
        <v>12738.740000000007</v>
      </c>
      <c r="U23" s="451">
        <v>-10313.740000000007</v>
      </c>
      <c r="V23" s="453"/>
      <c r="W23" s="454">
        <v>1938449.1440429688</v>
      </c>
      <c r="X23" s="214">
        <v>1721518.1070379713</v>
      </c>
      <c r="Y23" s="451">
        <v>216931.03700499749</v>
      </c>
      <c r="Z23" s="214"/>
      <c r="AA23" s="454">
        <v>57758</v>
      </c>
      <c r="AB23" s="214">
        <v>38861.659999999989</v>
      </c>
      <c r="AC23" s="451">
        <v>18896.340000000011</v>
      </c>
      <c r="AD23" s="214"/>
      <c r="AE23" s="454">
        <v>1078</v>
      </c>
      <c r="AF23" s="214">
        <v>0</v>
      </c>
      <c r="AG23" s="451">
        <v>1078</v>
      </c>
      <c r="AH23" s="214"/>
      <c r="AI23" s="454">
        <v>109655</v>
      </c>
      <c r="AJ23" s="214">
        <v>100290.12000000007</v>
      </c>
      <c r="AK23" s="451">
        <v>9364.8799999999319</v>
      </c>
      <c r="AL23" s="453"/>
      <c r="AM23" s="454">
        <f t="shared" ref="AM23:AN25" si="55">SUM(C23,G23,K23,O23,S23)</f>
        <v>2108309.1453857422</v>
      </c>
      <c r="AN23" s="214">
        <f t="shared" si="55"/>
        <v>1861151.816666668</v>
      </c>
      <c r="AO23" s="451">
        <f t="shared" ref="AO23:AO27" si="56">AM23-AN23</f>
        <v>247157.32871907414</v>
      </c>
      <c r="AP23" s="214"/>
      <c r="AQ23" s="454">
        <f t="shared" ref="AQ23:AR25" si="57">SUM(W23,AA23,AE23,AI23)</f>
        <v>2106940.1440429687</v>
      </c>
      <c r="AR23" s="214">
        <f t="shared" si="57"/>
        <v>1860669.8870379713</v>
      </c>
      <c r="AS23" s="451">
        <f t="shared" ref="AS23:AS27" si="58">AQ23-AR23</f>
        <v>246270.25700499746</v>
      </c>
      <c r="AT23" s="214"/>
      <c r="AU23" s="454">
        <f t="shared" ref="AU23:AU27" si="59">AM23</f>
        <v>2108309.1453857422</v>
      </c>
      <c r="AV23" s="214">
        <f t="shared" ref="AV23:AV27" si="60">AQ23</f>
        <v>2106940.1440429687</v>
      </c>
      <c r="AW23" s="451">
        <f t="shared" ref="AW23:AW27" si="61">AU23-AV23</f>
        <v>1369.0013427734375</v>
      </c>
      <c r="AY23" s="495" t="s">
        <v>280</v>
      </c>
      <c r="AZ23" s="414">
        <f>AA20/1000</f>
        <v>313.90199999999999</v>
      </c>
      <c r="BA23" s="417">
        <f>AB20/1000</f>
        <v>208.57598545454545</v>
      </c>
      <c r="BB23" s="412">
        <f>AZ23-BA23</f>
        <v>105.32601454545454</v>
      </c>
      <c r="BC23" s="410"/>
      <c r="BG23" s="469"/>
      <c r="BH23" s="469"/>
      <c r="BI23" s="469"/>
    </row>
    <row r="24" spans="1:104" ht="21.75" customHeight="1">
      <c r="A24" s="436"/>
      <c r="B24" s="448" t="s">
        <v>88</v>
      </c>
      <c r="C24" s="454">
        <v>1492159.5621337891</v>
      </c>
      <c r="D24" s="214">
        <v>1382722.430000002</v>
      </c>
      <c r="E24" s="451">
        <v>99837.132133788196</v>
      </c>
      <c r="F24" s="452"/>
      <c r="G24" s="454">
        <v>90053</v>
      </c>
      <c r="H24" s="214">
        <v>73288.679999999993</v>
      </c>
      <c r="I24" s="451">
        <v>16764.320000000007</v>
      </c>
      <c r="J24" s="452"/>
      <c r="K24" s="454">
        <v>14040</v>
      </c>
      <c r="L24" s="214">
        <v>17440</v>
      </c>
      <c r="M24" s="451">
        <f t="shared" ref="M24:M27" si="62">K24-L24</f>
        <v>-3400</v>
      </c>
      <c r="N24" s="452"/>
      <c r="O24" s="454">
        <v>42050</v>
      </c>
      <c r="P24" s="214">
        <v>43049.24</v>
      </c>
      <c r="Q24" s="451">
        <v>-999.23999999999796</v>
      </c>
      <c r="R24" s="452"/>
      <c r="S24" s="454">
        <v>947</v>
      </c>
      <c r="T24" s="214">
        <v>16007.700000000003</v>
      </c>
      <c r="U24" s="451">
        <v>-15060.700000000003</v>
      </c>
      <c r="V24" s="453"/>
      <c r="W24" s="454">
        <v>1533847.5629882812</v>
      </c>
      <c r="X24" s="214">
        <v>1487135.476055858</v>
      </c>
      <c r="Y24" s="451">
        <v>46712.086932423292</v>
      </c>
      <c r="Z24" s="214"/>
      <c r="AA24" s="454">
        <v>48537</v>
      </c>
      <c r="AB24" s="214">
        <v>6385.1300000000028</v>
      </c>
      <c r="AC24" s="451">
        <v>42151.869999999995</v>
      </c>
      <c r="AD24" s="214"/>
      <c r="AE24" s="454">
        <v>42</v>
      </c>
      <c r="AF24" s="214">
        <v>0</v>
      </c>
      <c r="AG24" s="451">
        <v>42</v>
      </c>
      <c r="AH24" s="214"/>
      <c r="AI24" s="454">
        <v>55983</v>
      </c>
      <c r="AJ24" s="214">
        <v>35957.160000000003</v>
      </c>
      <c r="AK24" s="451">
        <v>20025.839999999997</v>
      </c>
      <c r="AL24" s="453"/>
      <c r="AM24" s="454">
        <f t="shared" si="55"/>
        <v>1639249.5621337891</v>
      </c>
      <c r="AN24" s="214">
        <f t="shared" si="55"/>
        <v>1532508.0500000019</v>
      </c>
      <c r="AO24" s="451">
        <f t="shared" si="56"/>
        <v>106741.51213378715</v>
      </c>
      <c r="AP24" s="214"/>
      <c r="AQ24" s="454">
        <f t="shared" si="57"/>
        <v>1638409.5629882812</v>
      </c>
      <c r="AR24" s="214">
        <f t="shared" si="57"/>
        <v>1529477.7660558578</v>
      </c>
      <c r="AS24" s="451">
        <f t="shared" si="58"/>
        <v>108931.79693242349</v>
      </c>
      <c r="AT24" s="214"/>
      <c r="AU24" s="454">
        <f t="shared" si="59"/>
        <v>1639249.5621337891</v>
      </c>
      <c r="AV24" s="214">
        <f t="shared" si="60"/>
        <v>1638409.5629882812</v>
      </c>
      <c r="AW24" s="451">
        <f t="shared" si="61"/>
        <v>839.9991455078125</v>
      </c>
      <c r="AY24" s="495" t="s">
        <v>281</v>
      </c>
      <c r="AZ24" s="434">
        <f>AE20/1000</f>
        <v>4.6879999999999997</v>
      </c>
      <c r="BA24" s="419">
        <f>AF20/1000</f>
        <v>0</v>
      </c>
      <c r="BB24" s="416">
        <f>AZ24-BA24</f>
        <v>4.6879999999999997</v>
      </c>
      <c r="BC24" s="410"/>
      <c r="BG24" s="469"/>
      <c r="BH24" s="469"/>
      <c r="BI24" s="469"/>
    </row>
    <row r="25" spans="1:104" ht="21.75" customHeight="1">
      <c r="A25" s="436"/>
      <c r="B25" s="448" t="s">
        <v>89</v>
      </c>
      <c r="C25" s="454">
        <v>1332482.2966308594</v>
      </c>
      <c r="D25" s="214">
        <v>1212202.2533333353</v>
      </c>
      <c r="E25" s="451">
        <v>110411.56329752458</v>
      </c>
      <c r="F25" s="452"/>
      <c r="G25" s="454">
        <v>115371</v>
      </c>
      <c r="H25" s="214">
        <v>148598.79999999999</v>
      </c>
      <c r="I25" s="451">
        <v>-33227.799999999988</v>
      </c>
      <c r="J25" s="452"/>
      <c r="K25" s="454">
        <v>15427</v>
      </c>
      <c r="L25" s="214">
        <v>15244.480000000005</v>
      </c>
      <c r="M25" s="451">
        <f t="shared" si="62"/>
        <v>182.51999999999498</v>
      </c>
      <c r="N25" s="452"/>
      <c r="O25" s="454">
        <v>38017</v>
      </c>
      <c r="P25" s="214">
        <v>51676.22</v>
      </c>
      <c r="Q25" s="451">
        <v>-13659.220000000001</v>
      </c>
      <c r="R25" s="452"/>
      <c r="S25" s="454">
        <v>2802</v>
      </c>
      <c r="T25" s="214">
        <v>31539.300000000017</v>
      </c>
      <c r="U25" s="451">
        <v>-28737.300000000017</v>
      </c>
      <c r="V25" s="453"/>
      <c r="W25" s="454">
        <v>1432117.2983398437</v>
      </c>
      <c r="X25" s="214">
        <v>1406655.7334798477</v>
      </c>
      <c r="Y25" s="451">
        <v>25461.564859996084</v>
      </c>
      <c r="Z25" s="214"/>
      <c r="AA25" s="454">
        <v>30174</v>
      </c>
      <c r="AB25" s="214">
        <v>684.38000000000022</v>
      </c>
      <c r="AC25" s="451">
        <v>29489.62</v>
      </c>
      <c r="AD25" s="214"/>
      <c r="AE25" s="454">
        <v>362</v>
      </c>
      <c r="AF25" s="214">
        <v>0</v>
      </c>
      <c r="AG25" s="451">
        <v>362</v>
      </c>
      <c r="AH25" s="214"/>
      <c r="AI25" s="454">
        <v>41590</v>
      </c>
      <c r="AJ25" s="214">
        <v>39878.68333333332</v>
      </c>
      <c r="AK25" s="451">
        <v>1711.3166666666802</v>
      </c>
      <c r="AL25" s="453"/>
      <c r="AM25" s="454">
        <f t="shared" si="55"/>
        <v>1504099.2966308594</v>
      </c>
      <c r="AN25" s="214">
        <f t="shared" si="55"/>
        <v>1459261.0533333353</v>
      </c>
      <c r="AO25" s="451">
        <f t="shared" si="56"/>
        <v>44838.243297524052</v>
      </c>
      <c r="AP25" s="214"/>
      <c r="AQ25" s="454">
        <f t="shared" si="57"/>
        <v>1504243.2983398437</v>
      </c>
      <c r="AR25" s="214">
        <f t="shared" si="57"/>
        <v>1447218.7968131809</v>
      </c>
      <c r="AS25" s="451">
        <f t="shared" si="58"/>
        <v>57024.501526662847</v>
      </c>
      <c r="AT25" s="214"/>
      <c r="AU25" s="454">
        <f t="shared" si="59"/>
        <v>1504099.2966308594</v>
      </c>
      <c r="AV25" s="214">
        <f t="shared" si="60"/>
        <v>1504243.2983398437</v>
      </c>
      <c r="AW25" s="451">
        <f t="shared" si="61"/>
        <v>-144.001708984375</v>
      </c>
      <c r="AY25" s="494"/>
      <c r="AZ25" s="414"/>
      <c r="BA25" s="417"/>
      <c r="BB25" s="410"/>
      <c r="BC25" s="410"/>
      <c r="BG25" s="469"/>
      <c r="BH25" s="469"/>
      <c r="BI25" s="469"/>
    </row>
    <row r="26" spans="1:104" ht="21.75" customHeight="1">
      <c r="A26" s="436"/>
      <c r="B26" s="448" t="s">
        <v>90</v>
      </c>
      <c r="C26" s="454">
        <v>1125124.8146972656</v>
      </c>
      <c r="D26" s="214">
        <v>1142436.6700000004</v>
      </c>
      <c r="E26" s="451">
        <v>-26429.665302734822</v>
      </c>
      <c r="F26" s="452"/>
      <c r="G26" s="454">
        <v>184795</v>
      </c>
      <c r="H26" s="214">
        <v>172843.14000000004</v>
      </c>
      <c r="I26" s="451">
        <v>11951.859999999957</v>
      </c>
      <c r="J26" s="452"/>
      <c r="K26" s="454">
        <v>10411</v>
      </c>
      <c r="L26" s="214">
        <v>18621.809999999998</v>
      </c>
      <c r="M26" s="451">
        <f t="shared" si="62"/>
        <v>-8210.8099999999977</v>
      </c>
      <c r="N26" s="452"/>
      <c r="O26" s="454">
        <v>27133</v>
      </c>
      <c r="P26" s="214">
        <v>50162.820000000014</v>
      </c>
      <c r="Q26" s="451">
        <v>-23029.820000000014</v>
      </c>
      <c r="R26" s="452"/>
      <c r="S26" s="454">
        <v>17493</v>
      </c>
      <c r="T26" s="214">
        <v>33720.589999999997</v>
      </c>
      <c r="U26" s="451">
        <v>-16227.589999999997</v>
      </c>
      <c r="V26" s="453"/>
      <c r="W26" s="454">
        <v>1322890.8142089844</v>
      </c>
      <c r="X26" s="214">
        <v>1373158.5715183921</v>
      </c>
      <c r="Y26" s="451">
        <v>-50267.757309407694</v>
      </c>
      <c r="Z26" s="214"/>
      <c r="AA26" s="454">
        <v>419</v>
      </c>
      <c r="AB26" s="214">
        <v>0</v>
      </c>
      <c r="AC26" s="451">
        <v>419</v>
      </c>
      <c r="AD26" s="214"/>
      <c r="AE26" s="454">
        <v>393</v>
      </c>
      <c r="AF26" s="214">
        <v>0</v>
      </c>
      <c r="AG26" s="451">
        <v>393</v>
      </c>
      <c r="AH26" s="214"/>
      <c r="AI26" s="454">
        <v>42522</v>
      </c>
      <c r="AJ26" s="214">
        <v>30451.030000000006</v>
      </c>
      <c r="AK26" s="451">
        <v>12070.969999999994</v>
      </c>
      <c r="AL26" s="453"/>
      <c r="AM26" s="454">
        <f t="shared" ref="AM26" si="63">SUM(C26,G26,K26,O26,S26)</f>
        <v>1364956.8146972656</v>
      </c>
      <c r="AN26" s="214">
        <f t="shared" ref="AN26" si="64">SUM(D26,H26,L26,P26,T26)</f>
        <v>1417785.0300000007</v>
      </c>
      <c r="AO26" s="451">
        <f t="shared" si="56"/>
        <v>-52828.215302735101</v>
      </c>
      <c r="AP26" s="214"/>
      <c r="AQ26" s="454">
        <f t="shared" ref="AQ26" si="65">SUM(W26,AA26,AE26,AI26)</f>
        <v>1366224.8142089844</v>
      </c>
      <c r="AR26" s="214">
        <f t="shared" ref="AR26" si="66">SUM(X26,AB26,AF26,AJ26)</f>
        <v>1403609.6015183921</v>
      </c>
      <c r="AS26" s="451">
        <f t="shared" si="58"/>
        <v>-37384.787309407722</v>
      </c>
      <c r="AT26" s="214"/>
      <c r="AU26" s="454">
        <f t="shared" si="59"/>
        <v>1364956.8146972656</v>
      </c>
      <c r="AV26" s="214">
        <f t="shared" si="60"/>
        <v>1366224.8142089844</v>
      </c>
      <c r="AW26" s="451">
        <f t="shared" si="61"/>
        <v>-1267.99951171875</v>
      </c>
      <c r="AY26" s="496" t="s">
        <v>282</v>
      </c>
      <c r="AZ26" s="490">
        <f>SUM(AZ21:AZ25)</f>
        <v>22127.780776855467</v>
      </c>
      <c r="BA26" s="491">
        <f>SUM(BA21:BA25)</f>
        <v>21660.777151583905</v>
      </c>
      <c r="BB26" s="492">
        <f>AZ26-BA26</f>
        <v>467.00362527156176</v>
      </c>
      <c r="BC26" s="410"/>
      <c r="BG26" s="469"/>
      <c r="BH26" s="469"/>
      <c r="BI26" s="469"/>
    </row>
    <row r="27" spans="1:104" ht="21.75" customHeight="1">
      <c r="A27" s="436"/>
      <c r="B27" s="448" t="s">
        <v>10</v>
      </c>
      <c r="C27" s="454">
        <v>1485617.5113525391</v>
      </c>
      <c r="D27" s="214">
        <v>1491585.8000000005</v>
      </c>
      <c r="E27" s="451">
        <v>-11984.478647462791</v>
      </c>
      <c r="F27" s="452"/>
      <c r="G27" s="454">
        <v>66595</v>
      </c>
      <c r="H27" s="214">
        <v>22730.5</v>
      </c>
      <c r="I27" s="451">
        <v>43864.5</v>
      </c>
      <c r="J27" s="452"/>
      <c r="K27" s="454">
        <v>10212</v>
      </c>
      <c r="L27" s="214">
        <v>15132.989999999991</v>
      </c>
      <c r="M27" s="451">
        <f t="shared" si="62"/>
        <v>-4920.9899999999907</v>
      </c>
      <c r="N27" s="452"/>
      <c r="O27" s="454">
        <v>29198</v>
      </c>
      <c r="P27" s="214">
        <v>31471.329999999998</v>
      </c>
      <c r="Q27" s="451">
        <v>-2273.3299999999981</v>
      </c>
      <c r="R27" s="452"/>
      <c r="S27" s="454">
        <v>432</v>
      </c>
      <c r="T27" s="214">
        <v>8971.7000000000007</v>
      </c>
      <c r="U27" s="451">
        <v>-8539.7000000000007</v>
      </c>
      <c r="V27" s="453"/>
      <c r="W27" s="454">
        <v>1511260.5126953125</v>
      </c>
      <c r="X27" s="214">
        <v>1452364.0338367515</v>
      </c>
      <c r="Y27" s="451">
        <v>58896.478858561022</v>
      </c>
      <c r="Z27" s="214"/>
      <c r="AA27" s="454">
        <v>37035</v>
      </c>
      <c r="AB27" s="214">
        <v>35751.109999999979</v>
      </c>
      <c r="AC27" s="451">
        <v>1283.8900000000212</v>
      </c>
      <c r="AD27" s="214"/>
      <c r="AE27" s="454">
        <v>679</v>
      </c>
      <c r="AF27" s="214">
        <v>0</v>
      </c>
      <c r="AG27" s="451">
        <v>679</v>
      </c>
      <c r="AH27" s="214"/>
      <c r="AI27" s="454">
        <v>43926</v>
      </c>
      <c r="AJ27" s="214">
        <v>61802.216666666674</v>
      </c>
      <c r="AK27" s="451">
        <v>-17876.216666666674</v>
      </c>
      <c r="AL27" s="453"/>
      <c r="AM27" s="454">
        <f t="shared" ref="AM27:AM28" si="67">SUM(C27,G27,K27,O27,S27)</f>
        <v>1592054.5113525391</v>
      </c>
      <c r="AN27" s="214">
        <f t="shared" ref="AN27:AN28" si="68">SUM(D27,H27,L27,P27,T27)</f>
        <v>1569892.3200000005</v>
      </c>
      <c r="AO27" s="451">
        <f t="shared" si="56"/>
        <v>22162.191352538532</v>
      </c>
      <c r="AP27" s="214"/>
      <c r="AQ27" s="454">
        <f t="shared" ref="AQ27:AQ28" si="69">SUM(W27,AA27,AE27,AI27)</f>
        <v>1592900.5126953125</v>
      </c>
      <c r="AR27" s="214">
        <f t="shared" ref="AR27:AR28" si="70">SUM(X27,AB27,AF27,AJ27)</f>
        <v>1549917.3605034179</v>
      </c>
      <c r="AS27" s="451">
        <f t="shared" si="58"/>
        <v>42983.152191894595</v>
      </c>
      <c r="AT27" s="214"/>
      <c r="AU27" s="454">
        <f t="shared" si="59"/>
        <v>1592054.5113525391</v>
      </c>
      <c r="AV27" s="214">
        <f t="shared" si="60"/>
        <v>1592900.5126953125</v>
      </c>
      <c r="AW27" s="451">
        <f t="shared" si="61"/>
        <v>-846.0013427734375</v>
      </c>
      <c r="AY27" s="496"/>
      <c r="AZ27" s="489"/>
      <c r="BA27" s="497"/>
      <c r="BB27" s="498"/>
      <c r="BC27" s="410"/>
      <c r="BG27" s="469"/>
      <c r="BH27" s="469"/>
      <c r="BI27" s="469"/>
    </row>
    <row r="28" spans="1:104" ht="21.75" customHeight="1">
      <c r="A28" s="436"/>
      <c r="B28" s="448" t="s">
        <v>91</v>
      </c>
      <c r="C28" s="454">
        <v>1675202.9812011719</v>
      </c>
      <c r="D28" s="214">
        <v>1641691.4033333345</v>
      </c>
      <c r="E28" s="451">
        <v>33511.57786783739</v>
      </c>
      <c r="F28" s="452"/>
      <c r="G28" s="454">
        <v>57244</v>
      </c>
      <c r="H28" s="214">
        <v>103726.78000000003</v>
      </c>
      <c r="I28" s="451">
        <v>-46482.780000000028</v>
      </c>
      <c r="J28" s="452"/>
      <c r="K28" s="454">
        <v>14533</v>
      </c>
      <c r="L28" s="214">
        <v>11995.190000000006</v>
      </c>
      <c r="M28" s="451">
        <v>2537.809999999994</v>
      </c>
      <c r="N28" s="452"/>
      <c r="O28" s="454">
        <v>43396</v>
      </c>
      <c r="P28" s="214">
        <v>42372.19999999999</v>
      </c>
      <c r="Q28" s="451">
        <v>1023.8000000000102</v>
      </c>
      <c r="R28" s="452"/>
      <c r="S28" s="454">
        <v>184</v>
      </c>
      <c r="T28" s="214">
        <v>6975.5799999999954</v>
      </c>
      <c r="U28" s="451">
        <v>-6791.5799999999954</v>
      </c>
      <c r="V28" s="453"/>
      <c r="W28" s="454">
        <v>1660093.9788818359</v>
      </c>
      <c r="X28" s="214">
        <v>1687283.0104459478</v>
      </c>
      <c r="Y28" s="451">
        <v>-27189.031564111821</v>
      </c>
      <c r="Z28" s="214"/>
      <c r="AA28" s="454">
        <v>35374</v>
      </c>
      <c r="AB28" s="214">
        <v>6282.37</v>
      </c>
      <c r="AC28" s="451">
        <v>29091.63</v>
      </c>
      <c r="AD28" s="214"/>
      <c r="AE28" s="454">
        <v>84</v>
      </c>
      <c r="AF28" s="214">
        <v>0</v>
      </c>
      <c r="AG28" s="451">
        <v>84</v>
      </c>
      <c r="AH28" s="214"/>
      <c r="AI28" s="454">
        <v>94495</v>
      </c>
      <c r="AJ28" s="214">
        <v>88582.79333333332</v>
      </c>
      <c r="AK28" s="451">
        <v>5912.2066666666797</v>
      </c>
      <c r="AL28" s="453"/>
      <c r="AM28" s="454">
        <f t="shared" si="67"/>
        <v>1790559.9812011719</v>
      </c>
      <c r="AN28" s="214">
        <f t="shared" si="68"/>
        <v>1806761.1533333345</v>
      </c>
      <c r="AO28" s="451">
        <f t="shared" ref="AO28" si="71">AM28-AN28</f>
        <v>-16201.17213216261</v>
      </c>
      <c r="AP28" s="214"/>
      <c r="AQ28" s="454">
        <f t="shared" si="69"/>
        <v>1790046.9788818359</v>
      </c>
      <c r="AR28" s="214">
        <f t="shared" si="70"/>
        <v>1782148.1737792811</v>
      </c>
      <c r="AS28" s="451">
        <f t="shared" ref="AS28" si="72">AQ28-AR28</f>
        <v>7898.8051025548484</v>
      </c>
      <c r="AT28" s="214"/>
      <c r="AU28" s="454">
        <f t="shared" ref="AU28" si="73">AM28</f>
        <v>1790559.9812011719</v>
      </c>
      <c r="AV28" s="214">
        <f t="shared" ref="AV28" si="74">AQ28</f>
        <v>1790046.9788818359</v>
      </c>
      <c r="AW28" s="451">
        <f t="shared" ref="AW28" si="75">AU28-AV28</f>
        <v>513.0023193359375</v>
      </c>
      <c r="AY28" s="496" t="s">
        <v>293</v>
      </c>
      <c r="AZ28" s="499">
        <f>AZ16-AZ26</f>
        <v>-0.29048889159821556</v>
      </c>
      <c r="BA28" s="500">
        <f>BA16-BA26</f>
        <v>-3.5638383641999098</v>
      </c>
      <c r="BB28" s="492">
        <f>AZ28-BA28</f>
        <v>3.2733494726016943</v>
      </c>
      <c r="BC28" s="410"/>
      <c r="BG28" s="469"/>
      <c r="BH28" s="469"/>
      <c r="BI28" s="469"/>
    </row>
    <row r="29" spans="1:104" ht="21.75" customHeight="1">
      <c r="A29" s="436"/>
      <c r="B29" s="448" t="s">
        <v>92</v>
      </c>
      <c r="C29" s="454">
        <f>'Input Data'!AT$36-'Input Data'!AX$36-'Input Data'!BB$36</f>
        <v>1521521.7884521484</v>
      </c>
      <c r="D29" s="214">
        <f>'Daily Budget Data'!H$37-'Daily Budget Data'!L$37-'Daily Budget Data'!P$37</f>
        <v>1693502.2504924249</v>
      </c>
      <c r="E29" s="451">
        <f>C29-D29</f>
        <v>-171980.4620402765</v>
      </c>
      <c r="F29" s="452"/>
      <c r="G29" s="454">
        <f>'Input Data'!AX$36</f>
        <v>73277</v>
      </c>
      <c r="H29" s="214">
        <f>'Daily Budget Data'!L$37</f>
        <v>166026.49306818173</v>
      </c>
      <c r="I29" s="451">
        <f>G29-H29</f>
        <v>-92749.493068181735</v>
      </c>
      <c r="J29" s="452"/>
      <c r="K29" s="454">
        <f>'Input Data'!BB$36</f>
        <v>16284</v>
      </c>
      <c r="L29" s="214">
        <f>'Daily Budget Data'!P$37</f>
        <v>13166.099999999995</v>
      </c>
      <c r="M29" s="451">
        <f>K29-L29</f>
        <v>3117.9000000000051</v>
      </c>
      <c r="N29" s="452"/>
      <c r="O29" s="454">
        <f>'Input Data'!BN$36</f>
        <v>46805</v>
      </c>
      <c r="P29" s="214">
        <f>'Daily Budget Data'!Y$37</f>
        <v>45761.989090909097</v>
      </c>
      <c r="Q29" s="451">
        <f>O29-P29</f>
        <v>1043.0109090909027</v>
      </c>
      <c r="R29" s="452"/>
      <c r="S29" s="454">
        <f>'Input Data'!BR$36</f>
        <v>450</v>
      </c>
      <c r="T29" s="214">
        <f>'Daily Budget Data'!AC$37</f>
        <v>9519.0487499999963</v>
      </c>
      <c r="U29" s="451">
        <f>S29-T29</f>
        <v>-9069.0487499999963</v>
      </c>
      <c r="V29" s="453"/>
      <c r="W29" s="454">
        <f>'Input Data'!AQ$36</f>
        <v>1580833.5695800781</v>
      </c>
      <c r="X29" s="214">
        <f>'Daily Budget Data'!D$37</f>
        <v>1816540.9659970559</v>
      </c>
      <c r="Y29" s="451">
        <f>W29-X29</f>
        <v>-235707.39641697775</v>
      </c>
      <c r="Z29" s="214"/>
      <c r="AA29" s="454">
        <f>'Input Data'!CA$36</f>
        <v>7321</v>
      </c>
      <c r="AB29" s="214">
        <f>'Daily Budget Data'!AG$37</f>
        <v>5219.8863636363667</v>
      </c>
      <c r="AC29" s="451">
        <f>AA29-AB29</f>
        <v>2101.1136363636333</v>
      </c>
      <c r="AD29" s="214"/>
      <c r="AE29" s="454">
        <f>'Input Data'!BJ$36</f>
        <v>121</v>
      </c>
      <c r="AF29" s="214">
        <f>'Daily Budget Data'!AO$37</f>
        <v>0</v>
      </c>
      <c r="AG29" s="451">
        <f>AE29-AF29</f>
        <v>121</v>
      </c>
      <c r="AH29" s="214"/>
      <c r="AI29" s="454">
        <f>'Input Data'!BF$36</f>
        <v>69406</v>
      </c>
      <c r="AJ29" s="214">
        <f>'Daily Budget Data'!AK$37</f>
        <v>93054.756363636363</v>
      </c>
      <c r="AK29" s="451">
        <f>AI29-AJ29</f>
        <v>-23648.756363636363</v>
      </c>
      <c r="AL29" s="453"/>
      <c r="AM29" s="454">
        <f t="shared" ref="AM29" si="76">SUM(C29,G29,K29,O29,S29)</f>
        <v>1658337.7884521484</v>
      </c>
      <c r="AN29" s="214">
        <f t="shared" ref="AN29" si="77">SUM(D29,H29,L29,P29,T29)</f>
        <v>1927975.8814015158</v>
      </c>
      <c r="AO29" s="451">
        <f t="shared" ref="AO29" si="78">AM29-AN29</f>
        <v>-269638.09294936736</v>
      </c>
      <c r="AP29" s="214"/>
      <c r="AQ29" s="454">
        <f t="shared" ref="AQ29" si="79">SUM(W29,AA29,AE29,AI29)</f>
        <v>1657681.5695800781</v>
      </c>
      <c r="AR29" s="214">
        <f t="shared" ref="AR29" si="80">SUM(X29,AB29,AF29,AJ29)</f>
        <v>1914815.6087243287</v>
      </c>
      <c r="AS29" s="451">
        <f t="shared" ref="AS29" si="81">AQ29-AR29</f>
        <v>-257134.03914425056</v>
      </c>
      <c r="AT29" s="214"/>
      <c r="AU29" s="454">
        <f t="shared" ref="AU29" si="82">AM29</f>
        <v>1658337.7884521484</v>
      </c>
      <c r="AV29" s="214">
        <f t="shared" ref="AV29" si="83">AQ29</f>
        <v>1657681.5695800781</v>
      </c>
      <c r="AW29" s="451">
        <f t="shared" ref="AW29" si="84">AU29-AV29</f>
        <v>656.2188720703125</v>
      </c>
      <c r="AY29" s="410"/>
      <c r="AZ29" s="411"/>
      <c r="BA29" s="411"/>
      <c r="BB29" s="410"/>
      <c r="BC29" s="410"/>
      <c r="BG29" s="469"/>
    </row>
    <row r="30" spans="1:104" ht="21.75" customHeight="1">
      <c r="A30" s="436"/>
      <c r="B30" s="448" t="s">
        <v>93</v>
      </c>
      <c r="C30" s="454"/>
      <c r="D30" s="214"/>
      <c r="E30" s="451"/>
      <c r="F30" s="452"/>
      <c r="G30" s="454"/>
      <c r="H30" s="214"/>
      <c r="I30" s="451"/>
      <c r="J30" s="452"/>
      <c r="K30" s="454"/>
      <c r="L30" s="214"/>
      <c r="M30" s="451"/>
      <c r="N30" s="452"/>
      <c r="O30" s="454"/>
      <c r="P30" s="214"/>
      <c r="Q30" s="451"/>
      <c r="R30" s="452"/>
      <c r="S30" s="454"/>
      <c r="T30" s="214"/>
      <c r="U30" s="451"/>
      <c r="V30" s="453"/>
      <c r="W30" s="454"/>
      <c r="X30" s="214"/>
      <c r="Y30" s="451"/>
      <c r="Z30" s="214"/>
      <c r="AA30" s="454"/>
      <c r="AB30" s="214"/>
      <c r="AC30" s="451"/>
      <c r="AD30" s="214"/>
      <c r="AE30" s="454"/>
      <c r="AF30" s="214"/>
      <c r="AG30" s="451"/>
      <c r="AH30" s="214"/>
      <c r="AI30" s="454"/>
      <c r="AJ30" s="214"/>
      <c r="AK30" s="451"/>
      <c r="AL30" s="453"/>
      <c r="AM30" s="454"/>
      <c r="AN30" s="214"/>
      <c r="AO30" s="451"/>
      <c r="AP30" s="214"/>
      <c r="AQ30" s="454"/>
      <c r="AR30" s="214"/>
      <c r="AS30" s="451"/>
      <c r="AT30" s="214"/>
      <c r="AU30" s="454"/>
      <c r="AV30" s="214"/>
      <c r="AW30" s="451"/>
      <c r="AY30" s="410"/>
      <c r="AZ30" s="411"/>
      <c r="BA30" s="411"/>
      <c r="BB30" s="410"/>
      <c r="BC30" s="410"/>
    </row>
    <row r="31" spans="1:104" ht="21.75" customHeight="1">
      <c r="A31" s="436"/>
      <c r="B31" s="448" t="s">
        <v>94</v>
      </c>
      <c r="C31" s="559"/>
      <c r="D31" s="555"/>
      <c r="E31" s="556"/>
      <c r="F31" s="557"/>
      <c r="G31" s="559"/>
      <c r="H31" s="555"/>
      <c r="I31" s="556"/>
      <c r="J31" s="557"/>
      <c r="K31" s="559"/>
      <c r="L31" s="555"/>
      <c r="M31" s="556"/>
      <c r="N31" s="557"/>
      <c r="O31" s="559"/>
      <c r="P31" s="555"/>
      <c r="Q31" s="556"/>
      <c r="R31" s="557"/>
      <c r="S31" s="559"/>
      <c r="T31" s="555"/>
      <c r="U31" s="556"/>
      <c r="V31" s="558"/>
      <c r="W31" s="559"/>
      <c r="X31" s="555"/>
      <c r="Y31" s="556"/>
      <c r="Z31" s="555"/>
      <c r="AA31" s="559"/>
      <c r="AB31" s="555"/>
      <c r="AC31" s="556"/>
      <c r="AD31" s="555"/>
      <c r="AE31" s="559"/>
      <c r="AF31" s="555"/>
      <c r="AG31" s="556"/>
      <c r="AH31" s="555"/>
      <c r="AI31" s="559"/>
      <c r="AJ31" s="555"/>
      <c r="AK31" s="556"/>
      <c r="AL31" s="453"/>
      <c r="AM31" s="454"/>
      <c r="AN31" s="214"/>
      <c r="AO31" s="451"/>
      <c r="AP31" s="214"/>
      <c r="AQ31" s="454"/>
      <c r="AR31" s="214"/>
      <c r="AS31" s="451"/>
      <c r="AT31" s="214"/>
      <c r="AU31" s="454"/>
      <c r="AV31" s="214"/>
      <c r="AW31" s="451"/>
      <c r="AY31" s="410"/>
      <c r="AZ31" s="411"/>
      <c r="BA31" s="411"/>
      <c r="BB31" s="410"/>
      <c r="BC31" s="410"/>
    </row>
    <row r="32" spans="1:104" ht="21.75" customHeight="1">
      <c r="A32" s="436"/>
      <c r="B32" s="448" t="s">
        <v>95</v>
      </c>
      <c r="C32" s="454"/>
      <c r="D32" s="214"/>
      <c r="E32" s="451"/>
      <c r="F32" s="452"/>
      <c r="G32" s="454"/>
      <c r="H32" s="214"/>
      <c r="I32" s="451"/>
      <c r="J32" s="452"/>
      <c r="K32" s="454"/>
      <c r="L32" s="214"/>
      <c r="M32" s="451"/>
      <c r="N32" s="452"/>
      <c r="O32" s="454"/>
      <c r="P32" s="214"/>
      <c r="Q32" s="451"/>
      <c r="R32" s="452"/>
      <c r="S32" s="454"/>
      <c r="T32" s="214"/>
      <c r="U32" s="451"/>
      <c r="V32" s="453"/>
      <c r="W32" s="454"/>
      <c r="X32" s="214"/>
      <c r="Y32" s="451"/>
      <c r="Z32" s="214"/>
      <c r="AA32" s="454"/>
      <c r="AB32" s="214"/>
      <c r="AC32" s="451"/>
      <c r="AD32" s="214"/>
      <c r="AE32" s="454"/>
      <c r="AF32" s="214"/>
      <c r="AG32" s="451"/>
      <c r="AH32" s="214"/>
      <c r="AI32" s="454"/>
      <c r="AJ32" s="214"/>
      <c r="AK32" s="451"/>
      <c r="AL32" s="453"/>
      <c r="AM32" s="454"/>
      <c r="AN32" s="214"/>
      <c r="AO32" s="451"/>
      <c r="AP32" s="214"/>
      <c r="AQ32" s="454"/>
      <c r="AR32" s="214"/>
      <c r="AS32" s="451"/>
      <c r="AT32" s="214"/>
      <c r="AU32" s="454"/>
      <c r="AV32" s="214"/>
      <c r="AW32" s="451"/>
      <c r="AY32" s="410"/>
      <c r="AZ32" s="411"/>
      <c r="BA32" s="411"/>
      <c r="BB32" s="410"/>
      <c r="BC32" s="410"/>
    </row>
    <row r="33" spans="1:142" ht="21.75" customHeight="1">
      <c r="A33" s="436"/>
      <c r="B33" s="448" t="s">
        <v>96</v>
      </c>
      <c r="C33" s="454"/>
      <c r="D33" s="214"/>
      <c r="E33" s="451"/>
      <c r="F33" s="452"/>
      <c r="G33" s="454"/>
      <c r="H33" s="214"/>
      <c r="I33" s="451"/>
      <c r="J33" s="452"/>
      <c r="K33" s="454"/>
      <c r="L33" s="214"/>
      <c r="M33" s="451"/>
      <c r="N33" s="452"/>
      <c r="O33" s="454"/>
      <c r="P33" s="214"/>
      <c r="Q33" s="451"/>
      <c r="R33" s="452"/>
      <c r="S33" s="454"/>
      <c r="T33" s="214"/>
      <c r="U33" s="451"/>
      <c r="V33" s="453"/>
      <c r="W33" s="454"/>
      <c r="X33" s="214"/>
      <c r="Y33" s="451"/>
      <c r="Z33" s="214"/>
      <c r="AA33" s="454"/>
      <c r="AB33" s="214"/>
      <c r="AC33" s="451"/>
      <c r="AD33" s="214"/>
      <c r="AE33" s="454"/>
      <c r="AF33" s="214"/>
      <c r="AG33" s="451"/>
      <c r="AH33" s="214"/>
      <c r="AI33" s="454"/>
      <c r="AJ33" s="214"/>
      <c r="AK33" s="451"/>
      <c r="AL33" s="453"/>
      <c r="AM33" s="454"/>
      <c r="AN33" s="214"/>
      <c r="AO33" s="451"/>
      <c r="AP33" s="214"/>
      <c r="AQ33" s="454"/>
      <c r="AR33" s="214"/>
      <c r="AS33" s="451"/>
      <c r="AT33" s="214"/>
      <c r="AU33" s="454"/>
      <c r="AV33" s="214"/>
      <c r="AW33" s="451"/>
      <c r="AY33" s="410"/>
      <c r="AZ33" s="411"/>
      <c r="BA33" s="411"/>
      <c r="BB33" s="410"/>
      <c r="BC33" s="410"/>
    </row>
    <row r="34" spans="1:142" ht="21.75" customHeight="1">
      <c r="A34" s="436"/>
      <c r="B34" s="448" t="s">
        <v>97</v>
      </c>
      <c r="C34" s="455"/>
      <c r="D34" s="456"/>
      <c r="E34" s="457"/>
      <c r="F34" s="452"/>
      <c r="G34" s="455"/>
      <c r="H34" s="456"/>
      <c r="I34" s="457"/>
      <c r="J34" s="452"/>
      <c r="K34" s="455"/>
      <c r="L34" s="456"/>
      <c r="M34" s="457"/>
      <c r="N34" s="452"/>
      <c r="O34" s="455"/>
      <c r="P34" s="456"/>
      <c r="Q34" s="457"/>
      <c r="R34" s="452"/>
      <c r="S34" s="455"/>
      <c r="T34" s="456"/>
      <c r="U34" s="457"/>
      <c r="V34" s="453"/>
      <c r="W34" s="455"/>
      <c r="X34" s="456"/>
      <c r="Y34" s="457"/>
      <c r="Z34" s="214"/>
      <c r="AA34" s="455"/>
      <c r="AB34" s="456"/>
      <c r="AC34" s="457"/>
      <c r="AD34" s="214"/>
      <c r="AE34" s="455"/>
      <c r="AF34" s="456"/>
      <c r="AG34" s="457"/>
      <c r="AH34" s="214"/>
      <c r="AI34" s="455"/>
      <c r="AJ34" s="456"/>
      <c r="AK34" s="457"/>
      <c r="AL34" s="453"/>
      <c r="AM34" s="455"/>
      <c r="AN34" s="456"/>
      <c r="AO34" s="457"/>
      <c r="AP34" s="214"/>
      <c r="AQ34" s="455"/>
      <c r="AR34" s="456"/>
      <c r="AS34" s="457"/>
      <c r="AT34" s="214"/>
      <c r="AU34" s="455"/>
      <c r="AV34" s="456"/>
      <c r="AW34" s="457"/>
      <c r="AY34" s="410"/>
      <c r="AZ34" s="411"/>
      <c r="BA34" s="411"/>
      <c r="BB34" s="410"/>
      <c r="BC34" s="410"/>
    </row>
    <row r="35" spans="1:142" ht="21.75" customHeight="1">
      <c r="A35" s="436"/>
      <c r="B35" s="448"/>
      <c r="C35" s="214"/>
      <c r="D35" s="214"/>
      <c r="E35" s="214"/>
      <c r="F35" s="452"/>
      <c r="G35" s="214"/>
      <c r="H35" s="214"/>
      <c r="I35" s="214"/>
      <c r="J35" s="452"/>
      <c r="K35" s="214"/>
      <c r="L35" s="214"/>
      <c r="M35" s="214"/>
      <c r="N35" s="452"/>
      <c r="O35" s="214"/>
      <c r="P35" s="214"/>
      <c r="Q35" s="214"/>
      <c r="R35" s="452"/>
      <c r="S35" s="214"/>
      <c r="T35" s="214"/>
      <c r="U35" s="214"/>
      <c r="V35" s="453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453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Y35" s="410"/>
      <c r="AZ35" s="411"/>
      <c r="BA35" s="411"/>
      <c r="BB35" s="410"/>
      <c r="BC35" s="410"/>
    </row>
    <row r="36" spans="1:142" ht="21.75" customHeight="1">
      <c r="A36" s="436"/>
      <c r="B36" s="460" t="s">
        <v>99</v>
      </c>
      <c r="C36" s="486">
        <f>SUM(C23:C35)</f>
        <v>10496806.099853516</v>
      </c>
      <c r="D36" s="486">
        <f>SUM(D23:D35)</f>
        <v>10320203.633825766</v>
      </c>
      <c r="E36" s="486">
        <f>C36-D36</f>
        <v>176602.4660277497</v>
      </c>
      <c r="F36" s="487"/>
      <c r="G36" s="486">
        <f>SUM(G23:G35)</f>
        <v>769497</v>
      </c>
      <c r="H36" s="486">
        <f>SUM(H23:H35)</f>
        <v>727061.03306818171</v>
      </c>
      <c r="I36" s="486">
        <f>G36-H36</f>
        <v>42435.966931818286</v>
      </c>
      <c r="J36" s="487"/>
      <c r="K36" s="486">
        <f>SUM(K23:K35)</f>
        <v>92659</v>
      </c>
      <c r="L36" s="486">
        <f>SUM(L23:L35)</f>
        <v>110308.26999999997</v>
      </c>
      <c r="M36" s="486">
        <f>K36-L36</f>
        <v>-17649.269999999975</v>
      </c>
      <c r="N36" s="487"/>
      <c r="O36" s="486">
        <f>SUM(O23:O35)</f>
        <v>273872</v>
      </c>
      <c r="P36" s="486">
        <f>SUM(P23:P35)</f>
        <v>298289.70909090911</v>
      </c>
      <c r="Q36" s="486">
        <f>O36-P36</f>
        <v>-24417.709090909106</v>
      </c>
      <c r="R36" s="506"/>
      <c r="S36" s="486">
        <f>SUM(S23:S35)</f>
        <v>24733</v>
      </c>
      <c r="T36" s="486">
        <f>SUM(T23:T35)</f>
        <v>119472.65875000002</v>
      </c>
      <c r="U36" s="486">
        <f>S36-T36</f>
        <v>-94739.658750000017</v>
      </c>
      <c r="V36" s="488"/>
      <c r="W36" s="486">
        <f>SUM(W23:W35)</f>
        <v>10979492.880737305</v>
      </c>
      <c r="X36" s="486">
        <f>SUM(X23:X35)</f>
        <v>10944655.898371823</v>
      </c>
      <c r="Y36" s="486">
        <f>W36-X36</f>
        <v>34836.982365481555</v>
      </c>
      <c r="Z36" s="486"/>
      <c r="AA36" s="486">
        <f>SUM(AA23:AA35)</f>
        <v>216618</v>
      </c>
      <c r="AB36" s="486">
        <f>SUM(AB23:AB35)</f>
        <v>93184.536363636333</v>
      </c>
      <c r="AC36" s="486">
        <f>AA36-AB36</f>
        <v>123433.46363636367</v>
      </c>
      <c r="AD36" s="486"/>
      <c r="AE36" s="486">
        <f>SUM(AE23:AE35)</f>
        <v>2759</v>
      </c>
      <c r="AF36" s="486">
        <f>SUM(AF23:AF35)</f>
        <v>0</v>
      </c>
      <c r="AG36" s="486">
        <f>AE36-AF36</f>
        <v>2759</v>
      </c>
      <c r="AH36" s="486"/>
      <c r="AI36" s="486">
        <f>SUM(AI23:AI35)</f>
        <v>457577</v>
      </c>
      <c r="AJ36" s="486">
        <f>SUM(AJ23:AJ35)</f>
        <v>450016.75969696976</v>
      </c>
      <c r="AK36" s="486">
        <f>AI36-AJ36</f>
        <v>7560.2403030302376</v>
      </c>
      <c r="AL36" s="488"/>
      <c r="AM36" s="486">
        <f>SUM(AM23:AM35)</f>
        <v>11657567.099853516</v>
      </c>
      <c r="AN36" s="486">
        <f>SUM(AN23:AN35)</f>
        <v>11575335.304734858</v>
      </c>
      <c r="AO36" s="486">
        <f>AM36-AN36</f>
        <v>82231.795118657872</v>
      </c>
      <c r="AP36" s="486"/>
      <c r="AQ36" s="486">
        <f>SUM(AQ23:AQ35)</f>
        <v>11656446.880737305</v>
      </c>
      <c r="AR36" s="486">
        <f>SUM(AR23:AR35)</f>
        <v>11487857.19443243</v>
      </c>
      <c r="AS36" s="486">
        <f>AQ36-AR36</f>
        <v>168589.68630487472</v>
      </c>
      <c r="AT36" s="486"/>
      <c r="AU36" s="486">
        <f>SUM(AU23:AU35)</f>
        <v>11657567.099853516</v>
      </c>
      <c r="AV36" s="486">
        <f>SUM(AV23:AV35)</f>
        <v>11656446.880737305</v>
      </c>
      <c r="AW36" s="486">
        <f>AU36-AV36</f>
        <v>1120.2191162109375</v>
      </c>
      <c r="AY36" s="410"/>
      <c r="AZ36" s="411"/>
      <c r="BA36" s="411"/>
      <c r="BB36" s="410"/>
      <c r="BC36" s="410"/>
    </row>
    <row r="37" spans="1:142" s="465" customFormat="1" ht="21.75" customHeight="1">
      <c r="A37" s="436"/>
      <c r="B37" s="464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9"/>
      <c r="W37" s="452"/>
      <c r="X37" s="452"/>
      <c r="Y37" s="452"/>
      <c r="Z37" s="452"/>
      <c r="AA37" s="452"/>
      <c r="AB37" s="452"/>
      <c r="AC37" s="452"/>
      <c r="AD37" s="452"/>
      <c r="AE37" s="452"/>
      <c r="AF37" s="452"/>
      <c r="AG37" s="452"/>
      <c r="AH37" s="452"/>
      <c r="AI37" s="452"/>
      <c r="AJ37" s="452"/>
      <c r="AK37" s="452"/>
      <c r="AL37" s="459"/>
      <c r="AM37" s="452"/>
      <c r="AN37" s="452"/>
      <c r="AO37" s="452"/>
      <c r="AP37" s="452"/>
      <c r="AQ37" s="452"/>
      <c r="AR37" s="452"/>
      <c r="AS37" s="452"/>
      <c r="AT37" s="452"/>
      <c r="AU37" s="452"/>
      <c r="AV37" s="452"/>
      <c r="AW37" s="452"/>
      <c r="AX37" s="442"/>
      <c r="AY37" s="410"/>
      <c r="AZ37" s="411"/>
      <c r="BA37" s="411"/>
      <c r="BB37" s="410"/>
      <c r="BC37" s="410"/>
      <c r="BD37" s="442"/>
      <c r="BE37" s="442"/>
      <c r="BF37" s="442"/>
      <c r="BG37" s="442"/>
      <c r="BH37" s="442"/>
      <c r="BI37" s="442"/>
      <c r="BJ37" s="442"/>
      <c r="BK37" s="442"/>
      <c r="BL37" s="442"/>
      <c r="BM37" s="442"/>
      <c r="BN37" s="442"/>
      <c r="BO37" s="442"/>
      <c r="BP37" s="442"/>
      <c r="BQ37" s="442"/>
      <c r="BR37" s="442"/>
      <c r="BS37" s="442"/>
      <c r="BT37" s="442"/>
      <c r="BU37" s="442"/>
      <c r="BV37" s="442"/>
      <c r="BW37" s="442"/>
      <c r="BX37" s="442"/>
      <c r="BY37" s="442"/>
      <c r="BZ37" s="442"/>
      <c r="CA37" s="442"/>
      <c r="CB37" s="442"/>
      <c r="CC37" s="442"/>
      <c r="CD37" s="442"/>
      <c r="CE37" s="442"/>
      <c r="CF37" s="442"/>
      <c r="CG37" s="442"/>
      <c r="CH37" s="442"/>
      <c r="CI37" s="442"/>
      <c r="CJ37" s="442"/>
      <c r="CK37" s="442"/>
      <c r="CL37" s="442"/>
      <c r="CM37" s="442"/>
      <c r="CN37" s="442"/>
      <c r="CO37" s="442"/>
      <c r="CP37" s="442"/>
      <c r="CQ37" s="442"/>
      <c r="CR37" s="442"/>
      <c r="CS37" s="442"/>
      <c r="CT37" s="442"/>
      <c r="CU37" s="442"/>
      <c r="CV37" s="442"/>
      <c r="CW37" s="442"/>
      <c r="CX37" s="442"/>
      <c r="CY37" s="442"/>
      <c r="CZ37" s="442"/>
      <c r="DA37" s="442"/>
      <c r="DB37" s="442"/>
      <c r="DC37" s="442"/>
      <c r="DD37" s="442"/>
      <c r="DE37" s="442"/>
      <c r="DF37" s="442"/>
      <c r="DG37" s="442"/>
      <c r="DH37" s="442"/>
      <c r="DI37" s="442"/>
      <c r="DJ37" s="442"/>
      <c r="DK37" s="442"/>
      <c r="DL37" s="442"/>
      <c r="DM37" s="442"/>
      <c r="DN37" s="442"/>
      <c r="DO37" s="442"/>
      <c r="DP37" s="442"/>
      <c r="DQ37" s="442"/>
      <c r="DR37" s="442"/>
      <c r="DS37" s="442"/>
      <c r="DT37" s="442"/>
      <c r="DU37" s="442"/>
      <c r="DV37" s="442"/>
      <c r="DW37" s="442"/>
      <c r="DX37" s="442"/>
      <c r="DY37" s="442"/>
      <c r="DZ37" s="442"/>
      <c r="EA37" s="442"/>
      <c r="EB37" s="442"/>
      <c r="EC37" s="442"/>
      <c r="ED37" s="442"/>
      <c r="EE37" s="442"/>
      <c r="EF37" s="442"/>
      <c r="EG37" s="442"/>
      <c r="EH37" s="442"/>
      <c r="EI37" s="442"/>
      <c r="EJ37" s="442"/>
      <c r="EK37" s="442"/>
      <c r="EL37" s="442"/>
    </row>
    <row r="38" spans="1:142" ht="21.75" customHeight="1">
      <c r="A38" s="436"/>
      <c r="B38" s="464"/>
      <c r="C38" s="461"/>
      <c r="D38" s="462"/>
      <c r="E38" s="463"/>
      <c r="F38" s="452"/>
      <c r="G38" s="461"/>
      <c r="H38" s="462"/>
      <c r="I38" s="463"/>
      <c r="J38" s="452"/>
      <c r="K38" s="461"/>
      <c r="L38" s="462"/>
      <c r="M38" s="463"/>
      <c r="N38" s="452"/>
      <c r="O38" s="461"/>
      <c r="P38" s="462"/>
      <c r="Q38" s="463"/>
      <c r="R38" s="452"/>
      <c r="S38" s="461"/>
      <c r="T38" s="462"/>
      <c r="U38" s="463"/>
      <c r="V38" s="459"/>
      <c r="W38" s="461"/>
      <c r="X38" s="462"/>
      <c r="Y38" s="463"/>
      <c r="Z38" s="452"/>
      <c r="AA38" s="461"/>
      <c r="AB38" s="462"/>
      <c r="AC38" s="463"/>
      <c r="AD38" s="452"/>
      <c r="AE38" s="461"/>
      <c r="AF38" s="462"/>
      <c r="AG38" s="463"/>
      <c r="AH38" s="452"/>
      <c r="AI38" s="461"/>
      <c r="AJ38" s="462"/>
      <c r="AK38" s="463"/>
      <c r="AL38" s="459"/>
      <c r="AM38" s="461"/>
      <c r="AN38" s="462"/>
      <c r="AO38" s="463"/>
      <c r="AP38" s="452"/>
      <c r="AQ38" s="461"/>
      <c r="AR38" s="462"/>
      <c r="AS38" s="463"/>
      <c r="AT38" s="452"/>
      <c r="AU38" s="461"/>
      <c r="AV38" s="462"/>
      <c r="AW38" s="463"/>
      <c r="AY38" s="410"/>
      <c r="AZ38" s="411"/>
      <c r="BA38" s="411"/>
      <c r="BB38" s="410"/>
      <c r="BC38" s="410"/>
    </row>
    <row r="39" spans="1:142" ht="26.25">
      <c r="A39" s="447" t="s">
        <v>98</v>
      </c>
      <c r="B39" s="448" t="s">
        <v>87</v>
      </c>
      <c r="C39" s="454">
        <v>1106034.1544189453</v>
      </c>
      <c r="D39" s="214">
        <v>1007429.22</v>
      </c>
      <c r="E39" s="451">
        <v>97627.734418945969</v>
      </c>
      <c r="F39" s="451"/>
      <c r="G39" s="454">
        <v>94061</v>
      </c>
      <c r="H39" s="214">
        <v>7115.8000000000011</v>
      </c>
      <c r="I39" s="451">
        <v>86945.2</v>
      </c>
      <c r="J39" s="451"/>
      <c r="K39" s="454">
        <v>7582</v>
      </c>
      <c r="L39" s="214">
        <v>6830.0000000000009</v>
      </c>
      <c r="M39" s="451">
        <f>K39-L39</f>
        <v>751.99999999999909</v>
      </c>
      <c r="N39" s="214"/>
      <c r="O39" s="454">
        <v>30720</v>
      </c>
      <c r="P39" s="214">
        <v>13623.200000000004</v>
      </c>
      <c r="Q39" s="451">
        <v>17096.799999999996</v>
      </c>
      <c r="R39" s="452"/>
      <c r="S39" s="454">
        <v>385</v>
      </c>
      <c r="T39" s="214">
        <v>698.2</v>
      </c>
      <c r="U39" s="451">
        <v>-313.20000000000005</v>
      </c>
      <c r="V39" s="453"/>
      <c r="W39" s="454">
        <v>1147340.1549072266</v>
      </c>
      <c r="X39" s="214">
        <v>957055.08438827388</v>
      </c>
      <c r="Y39" s="451">
        <v>190285.07051895268</v>
      </c>
      <c r="Z39" s="214"/>
      <c r="AA39" s="454">
        <v>17247</v>
      </c>
      <c r="AB39" s="214">
        <v>13752.069999999994</v>
      </c>
      <c r="AC39" s="451">
        <v>3494.9300000000057</v>
      </c>
      <c r="AD39" s="214"/>
      <c r="AE39" s="454">
        <v>217</v>
      </c>
      <c r="AF39" s="214">
        <v>0</v>
      </c>
      <c r="AG39" s="451">
        <v>217</v>
      </c>
      <c r="AH39" s="214"/>
      <c r="AI39" s="454">
        <v>73484</v>
      </c>
      <c r="AJ39" s="214">
        <v>63812.349999999962</v>
      </c>
      <c r="AK39" s="451">
        <v>9671.6500000000378</v>
      </c>
      <c r="AL39" s="453"/>
      <c r="AM39" s="454">
        <f t="shared" ref="AM39:AN41" si="85">SUM(C39,G39,K39,O39,S39)</f>
        <v>1238782.1544189453</v>
      </c>
      <c r="AN39" s="214">
        <f t="shared" si="85"/>
        <v>1035696.4199999999</v>
      </c>
      <c r="AO39" s="451">
        <f t="shared" ref="AO39:AO43" si="86">AM39-AN39</f>
        <v>203085.73441894539</v>
      </c>
      <c r="AP39" s="214"/>
      <c r="AQ39" s="454">
        <f t="shared" ref="AQ39:AR41" si="87">SUM(W39,AA39,AE39,AI39)</f>
        <v>1238288.1549072266</v>
      </c>
      <c r="AR39" s="214">
        <f t="shared" si="87"/>
        <v>1034619.5043882738</v>
      </c>
      <c r="AS39" s="451">
        <f t="shared" ref="AS39:AS43" si="88">AQ39-AR39</f>
        <v>203668.65051895275</v>
      </c>
      <c r="AT39" s="214"/>
      <c r="AU39" s="454">
        <f t="shared" ref="AU39:AU43" si="89">AM39</f>
        <v>1238782.1544189453</v>
      </c>
      <c r="AV39" s="214">
        <f t="shared" ref="AV39:AV43" si="90">AQ39</f>
        <v>1238288.1549072266</v>
      </c>
      <c r="AW39" s="451">
        <f t="shared" ref="AW39:AW43" si="91">AU39-AV39</f>
        <v>493.99951171875</v>
      </c>
      <c r="AY39" s="410"/>
      <c r="AZ39" s="411"/>
      <c r="BA39" s="411"/>
      <c r="BB39" s="410"/>
      <c r="BC39" s="410"/>
      <c r="BG39" s="469"/>
      <c r="BH39" s="469"/>
      <c r="BI39" s="469"/>
    </row>
    <row r="40" spans="1:142" ht="21.75" customHeight="1">
      <c r="A40" s="447"/>
      <c r="B40" s="448" t="s">
        <v>88</v>
      </c>
      <c r="C40" s="454">
        <v>921798.59973144531</v>
      </c>
      <c r="D40" s="214">
        <v>845880.47333333339</v>
      </c>
      <c r="E40" s="451">
        <v>74313.126398112043</v>
      </c>
      <c r="F40" s="451"/>
      <c r="G40" s="454">
        <v>49644</v>
      </c>
      <c r="H40" s="214">
        <v>19748.200000000004</v>
      </c>
      <c r="I40" s="451">
        <v>29895.799999999996</v>
      </c>
      <c r="J40" s="451"/>
      <c r="K40" s="454">
        <v>9930</v>
      </c>
      <c r="L40" s="214">
        <v>7093</v>
      </c>
      <c r="M40" s="451">
        <f t="shared" ref="M40:M43" si="92">K40-L40</f>
        <v>2837</v>
      </c>
      <c r="N40" s="214"/>
      <c r="O40" s="454">
        <v>27712</v>
      </c>
      <c r="P40" s="214">
        <v>14140.480000000003</v>
      </c>
      <c r="Q40" s="451">
        <v>13571.519999999997</v>
      </c>
      <c r="R40" s="452"/>
      <c r="S40" s="454">
        <v>37</v>
      </c>
      <c r="T40" s="214">
        <v>1348.9200000000003</v>
      </c>
      <c r="U40" s="451">
        <v>-1311.9200000000003</v>
      </c>
      <c r="V40" s="453"/>
      <c r="W40" s="454">
        <v>958573.60144042969</v>
      </c>
      <c r="X40" s="214">
        <v>856561.46480688162</v>
      </c>
      <c r="Y40" s="451">
        <v>102012.13663354807</v>
      </c>
      <c r="Z40" s="214"/>
      <c r="AA40" s="454">
        <v>11250</v>
      </c>
      <c r="AB40" s="214">
        <v>6209.0700000000015</v>
      </c>
      <c r="AC40" s="451">
        <v>5040.9299999999985</v>
      </c>
      <c r="AD40" s="214"/>
      <c r="AE40" s="454">
        <v>8</v>
      </c>
      <c r="AF40" s="214">
        <v>0</v>
      </c>
      <c r="AG40" s="451">
        <v>8</v>
      </c>
      <c r="AH40" s="214"/>
      <c r="AI40" s="454">
        <v>39215</v>
      </c>
      <c r="AJ40" s="214">
        <v>22620.083333333336</v>
      </c>
      <c r="AK40" s="451">
        <v>16594.916666666664</v>
      </c>
      <c r="AL40" s="453"/>
      <c r="AM40" s="454">
        <f t="shared" si="85"/>
        <v>1009121.5997314453</v>
      </c>
      <c r="AN40" s="214">
        <f t="shared" si="85"/>
        <v>888211.07333333336</v>
      </c>
      <c r="AO40" s="451">
        <f t="shared" si="86"/>
        <v>120910.52639811195</v>
      </c>
      <c r="AP40" s="214"/>
      <c r="AQ40" s="454">
        <f t="shared" si="87"/>
        <v>1009046.6014404297</v>
      </c>
      <c r="AR40" s="214">
        <f t="shared" si="87"/>
        <v>885390.61814021494</v>
      </c>
      <c r="AS40" s="451">
        <f t="shared" si="88"/>
        <v>123655.98330021475</v>
      </c>
      <c r="AT40" s="214"/>
      <c r="AU40" s="454">
        <f t="shared" si="89"/>
        <v>1009121.5997314453</v>
      </c>
      <c r="AV40" s="214">
        <f t="shared" si="90"/>
        <v>1009046.6014404297</v>
      </c>
      <c r="AW40" s="451">
        <f t="shared" si="91"/>
        <v>74.998291015625</v>
      </c>
      <c r="AY40" s="410"/>
      <c r="AZ40" s="411"/>
      <c r="BA40" s="411"/>
      <c r="BB40" s="410"/>
      <c r="BC40" s="410"/>
      <c r="BG40" s="469"/>
      <c r="BH40" s="469"/>
      <c r="BI40" s="469"/>
    </row>
    <row r="41" spans="1:142" ht="21.75" customHeight="1">
      <c r="A41" s="436"/>
      <c r="B41" s="448" t="s">
        <v>89</v>
      </c>
      <c r="C41" s="454">
        <v>869203.8251953125</v>
      </c>
      <c r="D41" s="214">
        <v>797203.74000000046</v>
      </c>
      <c r="E41" s="451">
        <v>71700.085195312044</v>
      </c>
      <c r="F41" s="451"/>
      <c r="G41" s="454">
        <v>55088</v>
      </c>
      <c r="H41" s="214">
        <v>32675.210000000003</v>
      </c>
      <c r="I41" s="451">
        <v>22412.789999999997</v>
      </c>
      <c r="J41" s="451"/>
      <c r="K41" s="454">
        <v>10466</v>
      </c>
      <c r="L41" s="214">
        <v>4267.9999999999991</v>
      </c>
      <c r="M41" s="451">
        <f t="shared" si="92"/>
        <v>6198.0000000000009</v>
      </c>
      <c r="N41" s="214"/>
      <c r="O41" s="454">
        <v>24992</v>
      </c>
      <c r="P41" s="214">
        <v>20887.429999999993</v>
      </c>
      <c r="Q41" s="451">
        <v>4104.570000000007</v>
      </c>
      <c r="R41" s="452"/>
      <c r="S41" s="454">
        <v>3283</v>
      </c>
      <c r="T41" s="214">
        <v>4566.829999999999</v>
      </c>
      <c r="U41" s="451">
        <v>-1283.829999999999</v>
      </c>
      <c r="V41" s="453"/>
      <c r="W41" s="454">
        <v>923085.83050537109</v>
      </c>
      <c r="X41" s="214">
        <v>833155.52285605529</v>
      </c>
      <c r="Y41" s="451">
        <v>89930.307649315801</v>
      </c>
      <c r="Z41" s="214"/>
      <c r="AA41" s="454">
        <v>9484</v>
      </c>
      <c r="AB41" s="214">
        <v>128.00000000000006</v>
      </c>
      <c r="AC41" s="451">
        <v>9356</v>
      </c>
      <c r="AD41" s="214"/>
      <c r="AE41" s="454">
        <v>558</v>
      </c>
      <c r="AF41" s="214">
        <v>0</v>
      </c>
      <c r="AG41" s="451">
        <v>558</v>
      </c>
      <c r="AH41" s="214"/>
      <c r="AI41" s="454">
        <v>30608</v>
      </c>
      <c r="AJ41" s="214">
        <v>26378.820000000007</v>
      </c>
      <c r="AK41" s="451">
        <v>4229.179999999993</v>
      </c>
      <c r="AL41" s="453"/>
      <c r="AM41" s="454">
        <f t="shared" si="85"/>
        <v>963032.8251953125</v>
      </c>
      <c r="AN41" s="214">
        <f t="shared" si="85"/>
        <v>859601.21000000031</v>
      </c>
      <c r="AO41" s="451">
        <f t="shared" si="86"/>
        <v>103431.61519531219</v>
      </c>
      <c r="AP41" s="214"/>
      <c r="AQ41" s="454">
        <f t="shared" si="87"/>
        <v>963735.83050537109</v>
      </c>
      <c r="AR41" s="214">
        <f t="shared" si="87"/>
        <v>859662.34285605536</v>
      </c>
      <c r="AS41" s="451">
        <f t="shared" si="88"/>
        <v>104073.48764931574</v>
      </c>
      <c r="AT41" s="214"/>
      <c r="AU41" s="454">
        <f t="shared" si="89"/>
        <v>963032.8251953125</v>
      </c>
      <c r="AV41" s="214">
        <f t="shared" si="90"/>
        <v>963735.83050537109</v>
      </c>
      <c r="AW41" s="451">
        <f t="shared" si="91"/>
        <v>-703.00531005859375</v>
      </c>
      <c r="AY41" s="410"/>
      <c r="AZ41" s="411"/>
      <c r="BA41" s="411"/>
      <c r="BB41" s="410"/>
      <c r="BC41" s="410"/>
      <c r="BG41" s="469"/>
      <c r="BH41" s="469"/>
      <c r="BI41" s="469"/>
    </row>
    <row r="42" spans="1:142" ht="21.75" customHeight="1">
      <c r="A42" s="436"/>
      <c r="B42" s="448" t="s">
        <v>90</v>
      </c>
      <c r="C42" s="454">
        <v>657123.43151855469</v>
      </c>
      <c r="D42" s="214">
        <v>686162.38333333365</v>
      </c>
      <c r="E42" s="451">
        <v>-29038.951814779197</v>
      </c>
      <c r="F42" s="451"/>
      <c r="G42" s="454">
        <v>57270</v>
      </c>
      <c r="H42" s="214">
        <v>23764.670000000002</v>
      </c>
      <c r="I42" s="451">
        <v>33505.33</v>
      </c>
      <c r="J42" s="451"/>
      <c r="K42" s="454">
        <v>7406</v>
      </c>
      <c r="L42" s="214">
        <v>6480</v>
      </c>
      <c r="M42" s="451">
        <f t="shared" si="92"/>
        <v>926</v>
      </c>
      <c r="N42" s="214"/>
      <c r="O42" s="454">
        <v>18254</v>
      </c>
      <c r="P42" s="214">
        <v>15287.599999999991</v>
      </c>
      <c r="Q42" s="451">
        <v>2966.4000000000087</v>
      </c>
      <c r="R42" s="452"/>
      <c r="S42" s="454">
        <v>16500</v>
      </c>
      <c r="T42" s="214">
        <v>3863.3399999999992</v>
      </c>
      <c r="U42" s="451">
        <v>12636.66</v>
      </c>
      <c r="V42" s="453"/>
      <c r="W42" s="454">
        <v>728821.43103027344</v>
      </c>
      <c r="X42" s="214">
        <v>719047.92642580753</v>
      </c>
      <c r="Y42" s="451">
        <v>9773.5046044659102</v>
      </c>
      <c r="Z42" s="214"/>
      <c r="AA42" s="454">
        <v>100</v>
      </c>
      <c r="AB42" s="214">
        <v>0</v>
      </c>
      <c r="AC42" s="451">
        <v>100</v>
      </c>
      <c r="AD42" s="214"/>
      <c r="AE42" s="454">
        <v>11</v>
      </c>
      <c r="AF42" s="214">
        <v>0</v>
      </c>
      <c r="AG42" s="451">
        <v>11</v>
      </c>
      <c r="AH42" s="214"/>
      <c r="AI42" s="454">
        <v>27576</v>
      </c>
      <c r="AJ42" s="214">
        <v>16886.993333333339</v>
      </c>
      <c r="AK42" s="451">
        <v>10689.006666666661</v>
      </c>
      <c r="AL42" s="453"/>
      <c r="AM42" s="454">
        <f t="shared" ref="AM42" si="93">SUM(C42,G42,K42,O42,S42)</f>
        <v>756553.43151855469</v>
      </c>
      <c r="AN42" s="214">
        <f t="shared" ref="AN42" si="94">SUM(D42,H42,L42,P42,T42)</f>
        <v>735557.99333333364</v>
      </c>
      <c r="AO42" s="451">
        <f t="shared" si="86"/>
        <v>20995.43818522105</v>
      </c>
      <c r="AP42" s="214"/>
      <c r="AQ42" s="454">
        <f t="shared" ref="AQ42" si="95">SUM(W42,AA42,AE42,AI42)</f>
        <v>756508.43103027344</v>
      </c>
      <c r="AR42" s="214">
        <f t="shared" ref="AR42" si="96">SUM(X42,AB42,AF42,AJ42)</f>
        <v>735934.91975914082</v>
      </c>
      <c r="AS42" s="451">
        <f t="shared" si="88"/>
        <v>20573.511271132622</v>
      </c>
      <c r="AT42" s="214"/>
      <c r="AU42" s="454">
        <f t="shared" si="89"/>
        <v>756553.43151855469</v>
      </c>
      <c r="AV42" s="214">
        <f t="shared" si="90"/>
        <v>756508.43103027344</v>
      </c>
      <c r="AW42" s="451">
        <f t="shared" si="91"/>
        <v>45.00048828125</v>
      </c>
      <c r="AY42" s="410"/>
      <c r="AZ42" s="411"/>
      <c r="BA42" s="411"/>
      <c r="BB42" s="410"/>
      <c r="BC42" s="410"/>
      <c r="BG42" s="469"/>
      <c r="BH42" s="469"/>
      <c r="BI42" s="469"/>
    </row>
    <row r="43" spans="1:142" ht="21.75" customHeight="1">
      <c r="A43" s="436"/>
      <c r="B43" s="448" t="s">
        <v>10</v>
      </c>
      <c r="C43" s="454">
        <v>783240.37365722656</v>
      </c>
      <c r="D43" s="214">
        <v>745248.94333333371</v>
      </c>
      <c r="E43" s="451">
        <v>37991.430323893321</v>
      </c>
      <c r="F43" s="451"/>
      <c r="G43" s="454">
        <v>234</v>
      </c>
      <c r="H43" s="214">
        <v>1134.2000000000003</v>
      </c>
      <c r="I43" s="451">
        <v>-900.20000000000027</v>
      </c>
      <c r="J43" s="451"/>
      <c r="K43" s="454">
        <v>4978</v>
      </c>
      <c r="L43" s="214">
        <v>6423.1999999999953</v>
      </c>
      <c r="M43" s="451">
        <f t="shared" si="92"/>
        <v>-1445.1999999999953</v>
      </c>
      <c r="N43" s="214"/>
      <c r="O43" s="454">
        <v>16931</v>
      </c>
      <c r="P43" s="214">
        <v>12994.199999999997</v>
      </c>
      <c r="Q43" s="451">
        <v>3936.8000000000029</v>
      </c>
      <c r="R43" s="452"/>
      <c r="S43" s="454">
        <v>378</v>
      </c>
      <c r="T43" s="214">
        <v>6905.0999999999985</v>
      </c>
      <c r="U43" s="451">
        <v>-6527.0999999999985</v>
      </c>
      <c r="V43" s="453"/>
      <c r="W43" s="454">
        <v>775084.37463378906</v>
      </c>
      <c r="X43" s="214">
        <v>736494.59111458482</v>
      </c>
      <c r="Y43" s="451">
        <v>38589.78351920424</v>
      </c>
      <c r="Z43" s="214"/>
      <c r="AA43" s="454">
        <v>569</v>
      </c>
      <c r="AB43" s="214">
        <v>2582.7000000000007</v>
      </c>
      <c r="AC43" s="451">
        <v>-2013.7000000000007</v>
      </c>
      <c r="AD43" s="214"/>
      <c r="AE43" s="454">
        <v>442</v>
      </c>
      <c r="AF43" s="214">
        <v>0</v>
      </c>
      <c r="AG43" s="451">
        <v>442</v>
      </c>
      <c r="AH43" s="214"/>
      <c r="AI43" s="454">
        <v>28911</v>
      </c>
      <c r="AJ43" s="214">
        <v>34152.943333333344</v>
      </c>
      <c r="AK43" s="451">
        <v>-5241.9433333333436</v>
      </c>
      <c r="AL43" s="453"/>
      <c r="AM43" s="454">
        <f t="shared" ref="AM43" si="97">SUM(C43,G43,K43,O43,S43)</f>
        <v>805761.37365722656</v>
      </c>
      <c r="AN43" s="214">
        <f t="shared" ref="AN43" si="98">SUM(D43,H43,L43,P43,T43)</f>
        <v>772705.64333333354</v>
      </c>
      <c r="AO43" s="451">
        <f t="shared" si="86"/>
        <v>33055.730323893018</v>
      </c>
      <c r="AP43" s="214"/>
      <c r="AQ43" s="454">
        <f t="shared" ref="AQ43" si="99">SUM(W43,AA43,AE43,AI43)</f>
        <v>805006.37463378906</v>
      </c>
      <c r="AR43" s="214">
        <f t="shared" ref="AR43" si="100">SUM(X43,AB43,AF43,AJ43)</f>
        <v>773230.23444791813</v>
      </c>
      <c r="AS43" s="451">
        <f t="shared" si="88"/>
        <v>31776.140185870929</v>
      </c>
      <c r="AT43" s="214"/>
      <c r="AU43" s="454">
        <f t="shared" si="89"/>
        <v>805761.37365722656</v>
      </c>
      <c r="AV43" s="214">
        <f t="shared" si="90"/>
        <v>805006.37463378906</v>
      </c>
      <c r="AW43" s="451">
        <f t="shared" si="91"/>
        <v>754.9990234375</v>
      </c>
      <c r="AY43" s="410"/>
      <c r="AZ43" s="411"/>
      <c r="BA43" s="411"/>
      <c r="BB43" s="410"/>
      <c r="BC43" s="410"/>
      <c r="BG43" s="469"/>
      <c r="BH43" s="469"/>
      <c r="BI43" s="469"/>
    </row>
    <row r="44" spans="1:142" ht="21.75" customHeight="1">
      <c r="A44" s="436"/>
      <c r="B44" s="448" t="s">
        <v>91</v>
      </c>
      <c r="C44" s="454">
        <v>875263.27978515625</v>
      </c>
      <c r="D44" s="214">
        <v>854514.88000000047</v>
      </c>
      <c r="E44" s="451">
        <v>20748.39978515578</v>
      </c>
      <c r="F44" s="451"/>
      <c r="G44" s="454">
        <v>667</v>
      </c>
      <c r="H44" s="214">
        <v>81</v>
      </c>
      <c r="I44" s="451">
        <v>586</v>
      </c>
      <c r="J44" s="451"/>
      <c r="K44" s="454">
        <v>9735</v>
      </c>
      <c r="L44" s="214">
        <v>6768.0000000000027</v>
      </c>
      <c r="M44" s="451">
        <v>2966.9999999999973</v>
      </c>
      <c r="N44" s="214"/>
      <c r="O44" s="454">
        <v>19114</v>
      </c>
      <c r="P44" s="214">
        <v>12692.899999999994</v>
      </c>
      <c r="Q44" s="451">
        <v>6421.1000000000058</v>
      </c>
      <c r="R44" s="452"/>
      <c r="S44" s="454">
        <v>18</v>
      </c>
      <c r="T44" s="214">
        <v>12511.500000000004</v>
      </c>
      <c r="U44" s="451">
        <v>-12493.500000000004</v>
      </c>
      <c r="V44" s="453"/>
      <c r="W44" s="454">
        <v>840353.28094482422</v>
      </c>
      <c r="X44" s="214">
        <v>831722.24592833838</v>
      </c>
      <c r="Y44" s="451">
        <v>8631.0350164858392</v>
      </c>
      <c r="Z44" s="214"/>
      <c r="AA44" s="454">
        <v>782</v>
      </c>
      <c r="AB44" s="214">
        <v>749.1</v>
      </c>
      <c r="AC44" s="451">
        <v>32.899999999999977</v>
      </c>
      <c r="AD44" s="214"/>
      <c r="AE44" s="454">
        <v>206</v>
      </c>
      <c r="AF44" s="214">
        <v>0</v>
      </c>
      <c r="AG44" s="451">
        <v>206</v>
      </c>
      <c r="AH44" s="214"/>
      <c r="AI44" s="454">
        <v>62789</v>
      </c>
      <c r="AJ44" s="214">
        <v>54876.183333333342</v>
      </c>
      <c r="AK44" s="451">
        <v>7912.8166666666584</v>
      </c>
      <c r="AL44" s="453"/>
      <c r="AM44" s="454">
        <f t="shared" ref="AM44" si="101">SUM(C44,G44,K44,O44,S44)</f>
        <v>904797.27978515625</v>
      </c>
      <c r="AN44" s="214">
        <f t="shared" ref="AN44" si="102">SUM(D44,H44,L44,P44,T44)</f>
        <v>886568.28000000049</v>
      </c>
      <c r="AO44" s="451">
        <f t="shared" ref="AO44" si="103">AM44-AN44</f>
        <v>18228.999785155756</v>
      </c>
      <c r="AP44" s="214"/>
      <c r="AQ44" s="454">
        <f t="shared" ref="AQ44" si="104">SUM(W44,AA44,AE44,AI44)</f>
        <v>904130.28094482422</v>
      </c>
      <c r="AR44" s="214">
        <f t="shared" ref="AR44" si="105">SUM(X44,AB44,AF44,AJ44)</f>
        <v>887347.52926167171</v>
      </c>
      <c r="AS44" s="451">
        <f t="shared" ref="AS44" si="106">AQ44-AR44</f>
        <v>16782.751683152514</v>
      </c>
      <c r="AT44" s="214"/>
      <c r="AU44" s="454">
        <f t="shared" ref="AU44" si="107">AM44</f>
        <v>904797.27978515625</v>
      </c>
      <c r="AV44" s="214">
        <f t="shared" ref="AV44" si="108">AQ44</f>
        <v>904130.28094482422</v>
      </c>
      <c r="AW44" s="451">
        <f t="shared" ref="AW44" si="109">AU44-AV44</f>
        <v>666.99884033203125</v>
      </c>
      <c r="AY44" s="410"/>
      <c r="AZ44" s="411"/>
      <c r="BA44" s="411"/>
      <c r="BB44" s="410"/>
      <c r="BC44" s="410"/>
      <c r="BG44" s="469"/>
      <c r="BH44" s="469"/>
      <c r="BI44" s="469"/>
    </row>
    <row r="45" spans="1:142" ht="21.75" customHeight="1">
      <c r="A45" s="436"/>
      <c r="B45" s="448" t="s">
        <v>92</v>
      </c>
      <c r="C45" s="454">
        <f>'Input Data'!AU$36-'Input Data'!AY$36-'Input Data'!BC$36</f>
        <v>812907.171875</v>
      </c>
      <c r="D45" s="214">
        <f>'Daily Budget Data'!I$37-'Daily Budget Data'!M$37-'Daily Budget Data'!Q$37</f>
        <v>902891.86363636411</v>
      </c>
      <c r="E45" s="451">
        <f>C45-D45</f>
        <v>-89984.691761364113</v>
      </c>
      <c r="F45" s="451"/>
      <c r="G45" s="454">
        <f>'Input Data'!AY$36</f>
        <v>504</v>
      </c>
      <c r="H45" s="214">
        <f>'Daily Budget Data'!M$37</f>
        <v>1764.4545454545453</v>
      </c>
      <c r="I45" s="451">
        <f>G45-H45</f>
        <v>-1260.4545454545453</v>
      </c>
      <c r="J45" s="451"/>
      <c r="K45" s="454">
        <f>'Input Data'!BC$36</f>
        <v>10834</v>
      </c>
      <c r="L45" s="214">
        <f>'Daily Budget Data'!Q$37</f>
        <v>8352</v>
      </c>
      <c r="M45" s="451">
        <f>K45-L45</f>
        <v>2482</v>
      </c>
      <c r="N45" s="214"/>
      <c r="O45" s="454">
        <f>'Input Data'!BO$36</f>
        <v>18587</v>
      </c>
      <c r="P45" s="214">
        <f>'Daily Budget Data'!Z$37</f>
        <v>13599.63636363636</v>
      </c>
      <c r="Q45" s="451">
        <f>O45-P45</f>
        <v>4987.3636363636397</v>
      </c>
      <c r="R45" s="452"/>
      <c r="S45" s="454">
        <f>'Input Data'!BS$36</f>
        <v>20</v>
      </c>
      <c r="T45" s="214">
        <f>'Daily Budget Data'!AD$37</f>
        <v>1615.7272727272734</v>
      </c>
      <c r="U45" s="451">
        <f>S45-T45</f>
        <v>-1595.7272727272734</v>
      </c>
      <c r="V45" s="453"/>
      <c r="W45" s="454">
        <f>'Input Data'!AR$36</f>
        <v>799445.86859130859</v>
      </c>
      <c r="X45" s="214">
        <f>'Daily Budget Data'!E$37</f>
        <v>872582.30115219473</v>
      </c>
      <c r="Y45" s="451">
        <f>W45-X45</f>
        <v>-73136.43256088614</v>
      </c>
      <c r="Z45" s="214"/>
      <c r="AA45" s="454">
        <f>'Input Data'!CB$36</f>
        <v>15</v>
      </c>
      <c r="AB45" s="214">
        <f>'Daily Budget Data'!AH$37</f>
        <v>190.90909090909082</v>
      </c>
      <c r="AC45" s="451">
        <f>AA45-AB45</f>
        <v>-175.90909090909082</v>
      </c>
      <c r="AD45" s="214"/>
      <c r="AE45" s="454">
        <f>'Input Data'!BK$36</f>
        <v>237</v>
      </c>
      <c r="AF45" s="214">
        <f>'Daily Budget Data'!AP$37</f>
        <v>0</v>
      </c>
      <c r="AG45" s="451">
        <f>AE45-AF45</f>
        <v>237</v>
      </c>
      <c r="AH45" s="214"/>
      <c r="AI45" s="454">
        <f>'Input Data'!BG$36</f>
        <v>43005</v>
      </c>
      <c r="AJ45" s="214">
        <f>'Daily Budget Data'!AL$37</f>
        <v>56792.136363636397</v>
      </c>
      <c r="AK45" s="451">
        <f>AI45-AJ45</f>
        <v>-13787.136363636397</v>
      </c>
      <c r="AL45" s="453"/>
      <c r="AM45" s="454">
        <f t="shared" ref="AM45" si="110">SUM(C45,G45,K45,O45,S45)</f>
        <v>842852.171875</v>
      </c>
      <c r="AN45" s="214">
        <f t="shared" ref="AN45" si="111">SUM(D45,H45,L45,P45,T45)</f>
        <v>928223.68181818235</v>
      </c>
      <c r="AO45" s="451">
        <f t="shared" ref="AO45" si="112">AM45-AN45</f>
        <v>-85371.509943182347</v>
      </c>
      <c r="AP45" s="214"/>
      <c r="AQ45" s="454">
        <f t="shared" ref="AQ45" si="113">SUM(W45,AA45,AE45,AI45)</f>
        <v>842702.86859130859</v>
      </c>
      <c r="AR45" s="214">
        <f t="shared" ref="AR45" si="114">SUM(X45,AB45,AF45,AJ45)</f>
        <v>929565.34660674015</v>
      </c>
      <c r="AS45" s="451">
        <f t="shared" ref="AS45" si="115">AQ45-AR45</f>
        <v>-86862.478015431552</v>
      </c>
      <c r="AT45" s="214"/>
      <c r="AU45" s="454">
        <f t="shared" ref="AU45" si="116">AM45</f>
        <v>842852.171875</v>
      </c>
      <c r="AV45" s="214">
        <f t="shared" ref="AV45" si="117">AQ45</f>
        <v>842702.86859130859</v>
      </c>
      <c r="AW45" s="451">
        <f t="shared" ref="AW45" si="118">AU45-AV45</f>
        <v>149.30328369140625</v>
      </c>
      <c r="AY45" s="410"/>
      <c r="AZ45" s="411"/>
      <c r="BA45" s="411"/>
      <c r="BB45" s="410"/>
      <c r="BC45" s="410"/>
      <c r="BG45" s="469"/>
    </row>
    <row r="46" spans="1:142" ht="21.75" customHeight="1">
      <c r="A46" s="436"/>
      <c r="B46" s="448" t="s">
        <v>93</v>
      </c>
      <c r="C46" s="454"/>
      <c r="D46" s="214"/>
      <c r="E46" s="451"/>
      <c r="F46" s="451"/>
      <c r="G46" s="454"/>
      <c r="H46" s="214"/>
      <c r="I46" s="451"/>
      <c r="J46" s="451"/>
      <c r="K46" s="454"/>
      <c r="L46" s="214"/>
      <c r="M46" s="451"/>
      <c r="N46" s="214"/>
      <c r="O46" s="454"/>
      <c r="P46" s="214"/>
      <c r="Q46" s="451"/>
      <c r="R46" s="452"/>
      <c r="S46" s="454"/>
      <c r="T46" s="214"/>
      <c r="U46" s="451"/>
      <c r="V46" s="453"/>
      <c r="W46" s="454"/>
      <c r="X46" s="214"/>
      <c r="Y46" s="451"/>
      <c r="Z46" s="214"/>
      <c r="AA46" s="454"/>
      <c r="AB46" s="214"/>
      <c r="AC46" s="451"/>
      <c r="AD46" s="214"/>
      <c r="AE46" s="454"/>
      <c r="AF46" s="214"/>
      <c r="AG46" s="451"/>
      <c r="AH46" s="214"/>
      <c r="AI46" s="454"/>
      <c r="AJ46" s="214"/>
      <c r="AK46" s="451"/>
      <c r="AL46" s="453"/>
      <c r="AM46" s="454"/>
      <c r="AN46" s="214"/>
      <c r="AO46" s="451"/>
      <c r="AP46" s="214"/>
      <c r="AQ46" s="454"/>
      <c r="AR46" s="214"/>
      <c r="AS46" s="451"/>
      <c r="AT46" s="214"/>
      <c r="AU46" s="454"/>
      <c r="AV46" s="214"/>
      <c r="AW46" s="451"/>
      <c r="AY46" s="410"/>
      <c r="AZ46" s="411"/>
      <c r="BA46" s="411"/>
      <c r="BB46" s="410"/>
      <c r="BC46" s="410"/>
    </row>
    <row r="47" spans="1:142" ht="21.75" customHeight="1">
      <c r="A47" s="436"/>
      <c r="B47" s="448" t="s">
        <v>94</v>
      </c>
      <c r="C47" s="454"/>
      <c r="D47" s="214"/>
      <c r="E47" s="451"/>
      <c r="F47" s="451"/>
      <c r="G47" s="454"/>
      <c r="H47" s="214"/>
      <c r="I47" s="451"/>
      <c r="J47" s="451"/>
      <c r="K47" s="454"/>
      <c r="L47" s="214"/>
      <c r="M47" s="451"/>
      <c r="N47" s="214"/>
      <c r="O47" s="454"/>
      <c r="P47" s="214"/>
      <c r="Q47" s="451"/>
      <c r="R47" s="452"/>
      <c r="S47" s="454"/>
      <c r="T47" s="214"/>
      <c r="U47" s="451"/>
      <c r="V47" s="453"/>
      <c r="W47" s="454"/>
      <c r="X47" s="214"/>
      <c r="Y47" s="451"/>
      <c r="Z47" s="214"/>
      <c r="AA47" s="454"/>
      <c r="AB47" s="214"/>
      <c r="AC47" s="451"/>
      <c r="AD47" s="214"/>
      <c r="AE47" s="454"/>
      <c r="AF47" s="214"/>
      <c r="AG47" s="451"/>
      <c r="AH47" s="214"/>
      <c r="AI47" s="454"/>
      <c r="AJ47" s="214"/>
      <c r="AK47" s="451"/>
      <c r="AL47" s="453"/>
      <c r="AM47" s="454"/>
      <c r="AN47" s="214"/>
      <c r="AO47" s="451"/>
      <c r="AP47" s="214"/>
      <c r="AQ47" s="454"/>
      <c r="AR47" s="214"/>
      <c r="AS47" s="451"/>
      <c r="AT47" s="214"/>
      <c r="AU47" s="454"/>
      <c r="AV47" s="214"/>
      <c r="AW47" s="451"/>
      <c r="AY47" s="410"/>
      <c r="AZ47" s="411"/>
      <c r="BA47" s="411"/>
      <c r="BB47" s="410"/>
      <c r="BC47" s="410"/>
    </row>
    <row r="48" spans="1:142" ht="21.75" customHeight="1">
      <c r="A48" s="436"/>
      <c r="B48" s="448" t="s">
        <v>95</v>
      </c>
      <c r="C48" s="454"/>
      <c r="D48" s="214"/>
      <c r="E48" s="451"/>
      <c r="F48" s="451"/>
      <c r="G48" s="454"/>
      <c r="H48" s="214"/>
      <c r="I48" s="451"/>
      <c r="J48" s="451"/>
      <c r="K48" s="454"/>
      <c r="L48" s="214"/>
      <c r="M48" s="451"/>
      <c r="N48" s="214"/>
      <c r="O48" s="454"/>
      <c r="P48" s="214"/>
      <c r="Q48" s="451"/>
      <c r="R48" s="452"/>
      <c r="S48" s="454"/>
      <c r="T48" s="214"/>
      <c r="U48" s="451"/>
      <c r="V48" s="453"/>
      <c r="W48" s="454"/>
      <c r="X48" s="214"/>
      <c r="Y48" s="451"/>
      <c r="Z48" s="214"/>
      <c r="AA48" s="454"/>
      <c r="AB48" s="214"/>
      <c r="AC48" s="451"/>
      <c r="AD48" s="214"/>
      <c r="AE48" s="454"/>
      <c r="AF48" s="214"/>
      <c r="AG48" s="451"/>
      <c r="AH48" s="214"/>
      <c r="AI48" s="454"/>
      <c r="AJ48" s="214"/>
      <c r="AK48" s="451"/>
      <c r="AL48" s="453"/>
      <c r="AM48" s="454"/>
      <c r="AN48" s="214"/>
      <c r="AO48" s="451"/>
      <c r="AP48" s="214"/>
      <c r="AQ48" s="454"/>
      <c r="AR48" s="214"/>
      <c r="AS48" s="451"/>
      <c r="AT48" s="214"/>
      <c r="AU48" s="454"/>
      <c r="AV48" s="214"/>
      <c r="AW48" s="451"/>
      <c r="AY48" s="410"/>
      <c r="AZ48" s="411"/>
      <c r="BA48" s="411"/>
      <c r="BB48" s="410"/>
      <c r="BC48" s="410"/>
    </row>
    <row r="49" spans="1:104" ht="21.75" customHeight="1">
      <c r="A49" s="436"/>
      <c r="B49" s="448" t="s">
        <v>96</v>
      </c>
      <c r="C49" s="454"/>
      <c r="D49" s="214"/>
      <c r="E49" s="451"/>
      <c r="F49" s="451"/>
      <c r="G49" s="454"/>
      <c r="H49" s="214"/>
      <c r="I49" s="451"/>
      <c r="J49" s="451"/>
      <c r="K49" s="454"/>
      <c r="L49" s="214"/>
      <c r="M49" s="451"/>
      <c r="N49" s="214"/>
      <c r="O49" s="454"/>
      <c r="P49" s="214"/>
      <c r="Q49" s="451"/>
      <c r="R49" s="452"/>
      <c r="S49" s="454"/>
      <c r="T49" s="214"/>
      <c r="U49" s="451"/>
      <c r="V49" s="453"/>
      <c r="W49" s="454"/>
      <c r="X49" s="214"/>
      <c r="Y49" s="451"/>
      <c r="Z49" s="214"/>
      <c r="AA49" s="454"/>
      <c r="AB49" s="214"/>
      <c r="AC49" s="451"/>
      <c r="AD49" s="214"/>
      <c r="AE49" s="454"/>
      <c r="AF49" s="214"/>
      <c r="AG49" s="451"/>
      <c r="AH49" s="214"/>
      <c r="AI49" s="454"/>
      <c r="AJ49" s="214"/>
      <c r="AK49" s="451"/>
      <c r="AL49" s="453"/>
      <c r="AM49" s="454"/>
      <c r="AN49" s="214"/>
      <c r="AO49" s="451"/>
      <c r="AP49" s="214"/>
      <c r="AQ49" s="454"/>
      <c r="AR49" s="214"/>
      <c r="AS49" s="451"/>
      <c r="AT49" s="214"/>
      <c r="AU49" s="454"/>
      <c r="AV49" s="214"/>
      <c r="AW49" s="451"/>
      <c r="AY49" s="410"/>
      <c r="AZ49" s="411"/>
      <c r="BA49" s="411"/>
      <c r="BB49" s="410"/>
      <c r="BC49" s="410"/>
    </row>
    <row r="50" spans="1:104" ht="21.75" customHeight="1">
      <c r="A50" s="436"/>
      <c r="B50" s="448" t="s">
        <v>97</v>
      </c>
      <c r="C50" s="455"/>
      <c r="D50" s="456"/>
      <c r="E50" s="457"/>
      <c r="F50" s="451"/>
      <c r="G50" s="455"/>
      <c r="H50" s="456"/>
      <c r="I50" s="457"/>
      <c r="J50" s="451"/>
      <c r="K50" s="455"/>
      <c r="L50" s="456"/>
      <c r="M50" s="457"/>
      <c r="N50" s="214"/>
      <c r="O50" s="455"/>
      <c r="P50" s="456"/>
      <c r="Q50" s="457"/>
      <c r="R50" s="452"/>
      <c r="S50" s="455"/>
      <c r="T50" s="456"/>
      <c r="U50" s="457"/>
      <c r="V50" s="453"/>
      <c r="W50" s="455"/>
      <c r="X50" s="456"/>
      <c r="Y50" s="457"/>
      <c r="Z50" s="214"/>
      <c r="AA50" s="455"/>
      <c r="AB50" s="456"/>
      <c r="AC50" s="457"/>
      <c r="AD50" s="214"/>
      <c r="AE50" s="455"/>
      <c r="AF50" s="456"/>
      <c r="AG50" s="457"/>
      <c r="AH50" s="214"/>
      <c r="AI50" s="455"/>
      <c r="AJ50" s="456"/>
      <c r="AK50" s="457"/>
      <c r="AL50" s="453"/>
      <c r="AM50" s="455"/>
      <c r="AN50" s="456"/>
      <c r="AO50" s="457"/>
      <c r="AP50" s="214"/>
      <c r="AQ50" s="455"/>
      <c r="AR50" s="456"/>
      <c r="AS50" s="457"/>
      <c r="AT50" s="214"/>
      <c r="AU50" s="455"/>
      <c r="AV50" s="456"/>
      <c r="AW50" s="457"/>
      <c r="BC50" s="410"/>
    </row>
    <row r="51" spans="1:104" ht="21.75" customHeight="1">
      <c r="A51" s="436"/>
      <c r="B51" s="448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452"/>
      <c r="S51" s="214"/>
      <c r="T51" s="214"/>
      <c r="U51" s="214"/>
      <c r="V51" s="453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453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BC51" s="410"/>
    </row>
    <row r="52" spans="1:104" s="509" customFormat="1" ht="21.75" customHeight="1">
      <c r="A52" s="504"/>
      <c r="B52" s="505" t="s">
        <v>99</v>
      </c>
      <c r="C52" s="486">
        <f>SUM(C39:C51)</f>
        <v>6025570.8361816406</v>
      </c>
      <c r="D52" s="486">
        <f>SUM(D39:D51)</f>
        <v>5839331.5036363658</v>
      </c>
      <c r="E52" s="486">
        <f>C52-D52</f>
        <v>186239.33254527487</v>
      </c>
      <c r="F52" s="487"/>
      <c r="G52" s="486">
        <f>SUM(G39:G51)</f>
        <v>257468</v>
      </c>
      <c r="H52" s="486">
        <f>SUM(H39:H51)</f>
        <v>86283.534545454546</v>
      </c>
      <c r="I52" s="486">
        <f>G52-H52</f>
        <v>171184.46545454545</v>
      </c>
      <c r="J52" s="487"/>
      <c r="K52" s="486">
        <f>SUM(K39:K51)</f>
        <v>60931</v>
      </c>
      <c r="L52" s="486">
        <f>SUM(L39:L51)</f>
        <v>46214.2</v>
      </c>
      <c r="M52" s="486">
        <f>K52-L52</f>
        <v>14716.800000000003</v>
      </c>
      <c r="N52" s="487"/>
      <c r="O52" s="486">
        <f>SUM(O39:O51)</f>
        <v>156310</v>
      </c>
      <c r="P52" s="486">
        <f>SUM(P39:P51)</f>
        <v>103225.44636363635</v>
      </c>
      <c r="Q52" s="486">
        <f>O52-P52</f>
        <v>53084.553636363649</v>
      </c>
      <c r="R52" s="506"/>
      <c r="S52" s="486">
        <f>SUM(S39:S51)</f>
        <v>20621</v>
      </c>
      <c r="T52" s="486">
        <f>SUM(T39:T51)</f>
        <v>31509.617272727271</v>
      </c>
      <c r="U52" s="486">
        <f>S52-T52</f>
        <v>-10888.617272727271</v>
      </c>
      <c r="V52" s="488"/>
      <c r="W52" s="486">
        <f>SUM(W39:W51)</f>
        <v>6172704.5420532227</v>
      </c>
      <c r="X52" s="486">
        <f>SUM(X39:X51)</f>
        <v>5806619.1366721364</v>
      </c>
      <c r="Y52" s="486">
        <f>W52-X52</f>
        <v>366085.40538108628</v>
      </c>
      <c r="Z52" s="486"/>
      <c r="AA52" s="486">
        <f>SUM(AA39:AA51)</f>
        <v>39447</v>
      </c>
      <c r="AB52" s="486">
        <f>SUM(AB39:AB51)</f>
        <v>23611.849090909087</v>
      </c>
      <c r="AC52" s="486">
        <f>AA52-AB52</f>
        <v>15835.150909090913</v>
      </c>
      <c r="AD52" s="486"/>
      <c r="AE52" s="486">
        <f>SUM(AE39:AE51)</f>
        <v>1679</v>
      </c>
      <c r="AF52" s="486">
        <f>SUM(AF39:AF51)</f>
        <v>0</v>
      </c>
      <c r="AG52" s="486">
        <f>AE52-AF52</f>
        <v>1679</v>
      </c>
      <c r="AH52" s="486"/>
      <c r="AI52" s="486">
        <f>SUM(AI39:AI51)</f>
        <v>305588</v>
      </c>
      <c r="AJ52" s="486">
        <f>SUM(AJ39:AJ51)</f>
        <v>275519.50969696976</v>
      </c>
      <c r="AK52" s="486">
        <f>AI52-AJ52</f>
        <v>30068.490303030238</v>
      </c>
      <c r="AL52" s="488"/>
      <c r="AM52" s="486">
        <f>SUM(AM39:AM51)</f>
        <v>6520900.8361816406</v>
      </c>
      <c r="AN52" s="486">
        <f>SUM(AN39:AN51)</f>
        <v>6106564.3018181836</v>
      </c>
      <c r="AO52" s="486">
        <f>AM52-AN52</f>
        <v>414336.534363457</v>
      </c>
      <c r="AP52" s="486"/>
      <c r="AQ52" s="486">
        <f>SUM(AQ39:AQ51)</f>
        <v>6519418.5420532227</v>
      </c>
      <c r="AR52" s="486">
        <f>SUM(AR39:AR51)</f>
        <v>6105750.4954600148</v>
      </c>
      <c r="AS52" s="486">
        <f>AQ52-AR52</f>
        <v>413668.04659320787</v>
      </c>
      <c r="AT52" s="486"/>
      <c r="AU52" s="486">
        <f>SUM(AU39:AU51)</f>
        <v>6520900.8361816406</v>
      </c>
      <c r="AV52" s="486">
        <f>SUM(AV39:AV51)</f>
        <v>6519418.5420532227</v>
      </c>
      <c r="AW52" s="486">
        <f>AU52-AV52</f>
        <v>1482.2941284179687</v>
      </c>
      <c r="AX52" s="443"/>
      <c r="AY52" s="443"/>
      <c r="AZ52" s="507"/>
      <c r="BA52" s="507"/>
      <c r="BB52" s="443"/>
      <c r="BC52" s="508"/>
      <c r="BD52" s="443"/>
      <c r="BE52" s="443"/>
      <c r="BF52" s="443"/>
      <c r="BG52" s="443"/>
      <c r="BH52" s="443"/>
      <c r="BI52" s="443"/>
      <c r="BJ52" s="443"/>
      <c r="BK52" s="443"/>
      <c r="BL52" s="443"/>
      <c r="BM52" s="443"/>
      <c r="BN52" s="443"/>
      <c r="BO52" s="443"/>
      <c r="BP52" s="443"/>
      <c r="BQ52" s="443"/>
      <c r="BR52" s="443"/>
      <c r="BS52" s="443"/>
      <c r="BT52" s="443"/>
      <c r="BU52" s="443"/>
      <c r="BV52" s="443"/>
      <c r="BW52" s="443"/>
      <c r="BX52" s="443"/>
      <c r="BY52" s="443"/>
      <c r="BZ52" s="443"/>
      <c r="CA52" s="443"/>
      <c r="CB52" s="443"/>
      <c r="CC52" s="443"/>
      <c r="CD52" s="443"/>
      <c r="CE52" s="443"/>
      <c r="CF52" s="443"/>
      <c r="CG52" s="443"/>
      <c r="CH52" s="443"/>
      <c r="CI52" s="443"/>
      <c r="CJ52" s="443"/>
      <c r="CK52" s="443"/>
      <c r="CL52" s="443"/>
      <c r="CM52" s="443"/>
      <c r="CN52" s="443"/>
      <c r="CO52" s="443"/>
      <c r="CP52" s="443"/>
      <c r="CQ52" s="443"/>
      <c r="CR52" s="443"/>
      <c r="CS52" s="443"/>
      <c r="CT52" s="443"/>
      <c r="CU52" s="443"/>
      <c r="CV52" s="443"/>
      <c r="CW52" s="443"/>
      <c r="CX52" s="443"/>
      <c r="CY52" s="443"/>
      <c r="CZ52" s="443"/>
    </row>
    <row r="53" spans="1:104" ht="21.75" customHeight="1">
      <c r="A53" s="436"/>
      <c r="B53" s="464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452"/>
      <c r="T53" s="452"/>
      <c r="U53" s="452"/>
      <c r="V53" s="459"/>
      <c r="W53" s="452"/>
      <c r="X53" s="452"/>
      <c r="Y53" s="452"/>
      <c r="Z53" s="452"/>
      <c r="AA53" s="452"/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9"/>
      <c r="AM53" s="452"/>
      <c r="AN53" s="452"/>
      <c r="AO53" s="452"/>
      <c r="AP53" s="452"/>
      <c r="AQ53" s="452"/>
      <c r="AR53" s="452"/>
      <c r="AS53" s="452"/>
      <c r="AT53" s="452"/>
      <c r="AU53" s="452"/>
      <c r="AV53" s="452"/>
      <c r="AW53" s="452"/>
      <c r="BC53" s="410"/>
    </row>
    <row r="54" spans="1:104" ht="21.75" customHeight="1">
      <c r="A54" s="436"/>
      <c r="B54" s="464"/>
      <c r="C54" s="461"/>
      <c r="D54" s="462"/>
      <c r="E54" s="463"/>
      <c r="F54" s="452"/>
      <c r="G54" s="461"/>
      <c r="H54" s="462"/>
      <c r="I54" s="463"/>
      <c r="J54" s="452"/>
      <c r="K54" s="461"/>
      <c r="L54" s="462"/>
      <c r="M54" s="463"/>
      <c r="N54" s="452"/>
      <c r="O54" s="461"/>
      <c r="P54" s="462"/>
      <c r="Q54" s="463"/>
      <c r="R54" s="452"/>
      <c r="S54" s="461"/>
      <c r="T54" s="462"/>
      <c r="U54" s="463"/>
      <c r="V54" s="459"/>
      <c r="W54" s="461"/>
      <c r="X54" s="462"/>
      <c r="Y54" s="463"/>
      <c r="Z54" s="452"/>
      <c r="AA54" s="461"/>
      <c r="AB54" s="462"/>
      <c r="AC54" s="463"/>
      <c r="AD54" s="452"/>
      <c r="AE54" s="461"/>
      <c r="AF54" s="462"/>
      <c r="AG54" s="463"/>
      <c r="AH54" s="452"/>
      <c r="AI54" s="461"/>
      <c r="AJ54" s="462"/>
      <c r="AK54" s="463"/>
      <c r="AL54" s="459"/>
      <c r="AM54" s="461"/>
      <c r="AN54" s="462"/>
      <c r="AO54" s="463"/>
      <c r="AP54" s="452"/>
      <c r="AQ54" s="461"/>
      <c r="AR54" s="462"/>
      <c r="AS54" s="463"/>
      <c r="AT54" s="452"/>
      <c r="AU54" s="461"/>
      <c r="AV54" s="462"/>
      <c r="AW54" s="463"/>
      <c r="BC54" s="410"/>
    </row>
    <row r="55" spans="1:104" ht="26.25">
      <c r="A55" s="447" t="s">
        <v>85</v>
      </c>
      <c r="B55" s="448" t="s">
        <v>87</v>
      </c>
      <c r="C55" s="454">
        <v>557514.93237304687</v>
      </c>
      <c r="D55" s="214">
        <v>577208.04</v>
      </c>
      <c r="E55" s="451">
        <v>-20714.427626953111</v>
      </c>
      <c r="F55" s="452"/>
      <c r="G55" s="454">
        <v>18715</v>
      </c>
      <c r="H55" s="214">
        <v>665.4</v>
      </c>
      <c r="I55" s="451">
        <v>18049.599999999999</v>
      </c>
      <c r="J55" s="452"/>
      <c r="K55" s="454">
        <v>3146</v>
      </c>
      <c r="L55" s="214">
        <v>4042.1200000000017</v>
      </c>
      <c r="M55" s="451">
        <f>K55-L55</f>
        <v>-896.12000000000171</v>
      </c>
      <c r="N55" s="452"/>
      <c r="O55" s="454">
        <v>15217</v>
      </c>
      <c r="P55" s="214">
        <v>7427.8000000000011</v>
      </c>
      <c r="Q55" s="451">
        <v>7789.1999999999989</v>
      </c>
      <c r="R55" s="466"/>
      <c r="S55" s="454">
        <v>378</v>
      </c>
      <c r="T55" s="214">
        <v>862.19999999999993</v>
      </c>
      <c r="U55" s="451">
        <v>-484.19999999999993</v>
      </c>
      <c r="V55" s="453"/>
      <c r="W55" s="454">
        <v>545885.93212890625</v>
      </c>
      <c r="X55" s="214">
        <v>525480.83451675635</v>
      </c>
      <c r="Y55" s="451">
        <v>20405.097612149897</v>
      </c>
      <c r="Z55" s="214"/>
      <c r="AA55" s="454">
        <v>11034</v>
      </c>
      <c r="AB55" s="214">
        <v>30782.200000000008</v>
      </c>
      <c r="AC55" s="451">
        <v>-19748.200000000008</v>
      </c>
      <c r="AD55" s="214"/>
      <c r="AE55" s="454">
        <v>138</v>
      </c>
      <c r="AF55" s="214">
        <v>0</v>
      </c>
      <c r="AG55" s="451">
        <v>138</v>
      </c>
      <c r="AH55" s="214"/>
      <c r="AI55" s="454">
        <v>37732</v>
      </c>
      <c r="AJ55" s="214">
        <v>35490.359999999993</v>
      </c>
      <c r="AK55" s="451">
        <v>2241.6400000000067</v>
      </c>
      <c r="AL55" s="453"/>
      <c r="AM55" s="454">
        <f t="shared" ref="AM55:AN57" si="119">SUM(C55,G55,K55,O55,S55)</f>
        <v>594970.93237304687</v>
      </c>
      <c r="AN55" s="214">
        <f t="shared" si="119"/>
        <v>590205.56000000006</v>
      </c>
      <c r="AO55" s="451">
        <f t="shared" ref="AO55:AO60" si="120">AM55-AN55</f>
        <v>4765.3723730468191</v>
      </c>
      <c r="AP55" s="214"/>
      <c r="AQ55" s="454">
        <f t="shared" ref="AQ55:AR57" si="121">SUM(W55,AA55,AE55,AI55)</f>
        <v>594789.93212890625</v>
      </c>
      <c r="AR55" s="214">
        <f t="shared" si="121"/>
        <v>591753.39451675629</v>
      </c>
      <c r="AS55" s="451">
        <f t="shared" ref="AS55:AS60" si="122">AQ55-AR55</f>
        <v>3036.5376121499576</v>
      </c>
      <c r="AT55" s="214"/>
      <c r="AU55" s="454">
        <f t="shared" ref="AU55:AU60" si="123">AM55</f>
        <v>594970.93237304687</v>
      </c>
      <c r="AV55" s="214">
        <f t="shared" ref="AV55:AV60" si="124">AQ55</f>
        <v>594789.93212890625</v>
      </c>
      <c r="AW55" s="451">
        <f t="shared" ref="AW55:AW60" si="125">AU55-AV55</f>
        <v>181.000244140625</v>
      </c>
      <c r="BC55" s="410"/>
      <c r="BG55" s="469"/>
      <c r="BH55" s="469"/>
      <c r="BI55" s="469"/>
    </row>
    <row r="56" spans="1:104" ht="21.75" customHeight="1">
      <c r="A56" s="447"/>
      <c r="B56" s="448" t="s">
        <v>88</v>
      </c>
      <c r="C56" s="454">
        <v>538877.94775390625</v>
      </c>
      <c r="D56" s="214">
        <v>506319.06666666694</v>
      </c>
      <c r="E56" s="451">
        <v>31107.881087239191</v>
      </c>
      <c r="F56" s="452"/>
      <c r="G56" s="454">
        <v>9855</v>
      </c>
      <c r="H56" s="214">
        <v>10180.299999999997</v>
      </c>
      <c r="I56" s="451">
        <v>-325.29999999999745</v>
      </c>
      <c r="J56" s="452"/>
      <c r="K56" s="454">
        <v>5759</v>
      </c>
      <c r="L56" s="214">
        <v>4587</v>
      </c>
      <c r="M56" s="451">
        <f t="shared" ref="M56:M59" si="126">K56-L56</f>
        <v>1172</v>
      </c>
      <c r="N56" s="452"/>
      <c r="O56" s="454">
        <v>15194</v>
      </c>
      <c r="P56" s="214">
        <v>11104.630000000001</v>
      </c>
      <c r="Q56" s="451">
        <v>4089.369999999999</v>
      </c>
      <c r="R56" s="466"/>
      <c r="S56" s="454">
        <v>70</v>
      </c>
      <c r="T56" s="214">
        <v>2645.06</v>
      </c>
      <c r="U56" s="451">
        <v>-2575.06</v>
      </c>
      <c r="V56" s="453"/>
      <c r="W56" s="454">
        <v>531236.94775390625</v>
      </c>
      <c r="X56" s="214">
        <v>515668.65598877787</v>
      </c>
      <c r="Y56" s="451">
        <v>15568.291765128379</v>
      </c>
      <c r="Z56" s="214"/>
      <c r="AA56" s="454">
        <v>16225</v>
      </c>
      <c r="AB56" s="214">
        <v>10658.800000000001</v>
      </c>
      <c r="AC56" s="451">
        <v>5566.1999999999989</v>
      </c>
      <c r="AD56" s="214"/>
      <c r="AE56" s="454">
        <v>0</v>
      </c>
      <c r="AF56" s="214">
        <v>0</v>
      </c>
      <c r="AG56" s="451">
        <v>0</v>
      </c>
      <c r="AH56" s="214"/>
      <c r="AI56" s="454">
        <v>22322</v>
      </c>
      <c r="AJ56" s="214">
        <v>14879.256666666668</v>
      </c>
      <c r="AK56" s="451">
        <v>7442.743333333332</v>
      </c>
      <c r="AL56" s="453"/>
      <c r="AM56" s="454">
        <f t="shared" si="119"/>
        <v>569755.94775390625</v>
      </c>
      <c r="AN56" s="214">
        <f t="shared" si="119"/>
        <v>534836.05666666699</v>
      </c>
      <c r="AO56" s="451">
        <f t="shared" si="120"/>
        <v>34919.891087239259</v>
      </c>
      <c r="AP56" s="214"/>
      <c r="AQ56" s="454">
        <f t="shared" si="121"/>
        <v>569783.94775390625</v>
      </c>
      <c r="AR56" s="214">
        <f t="shared" si="121"/>
        <v>541206.71265544463</v>
      </c>
      <c r="AS56" s="451">
        <f t="shared" si="122"/>
        <v>28577.235098461621</v>
      </c>
      <c r="AT56" s="214"/>
      <c r="AU56" s="454">
        <f t="shared" si="123"/>
        <v>569755.94775390625</v>
      </c>
      <c r="AV56" s="214">
        <f t="shared" si="124"/>
        <v>569783.94775390625</v>
      </c>
      <c r="AW56" s="451">
        <f t="shared" si="125"/>
        <v>-28</v>
      </c>
      <c r="BC56" s="410"/>
      <c r="BG56" s="469"/>
      <c r="BH56" s="469"/>
      <c r="BI56" s="469"/>
    </row>
    <row r="57" spans="1:104" ht="21.75" customHeight="1">
      <c r="A57" s="436"/>
      <c r="B57" s="448" t="s">
        <v>89</v>
      </c>
      <c r="C57" s="454">
        <v>566052.32556152344</v>
      </c>
      <c r="D57" s="214">
        <v>505647.63333333377</v>
      </c>
      <c r="E57" s="451">
        <v>60322.602228189586</v>
      </c>
      <c r="F57" s="452"/>
      <c r="G57" s="454">
        <v>18053</v>
      </c>
      <c r="H57" s="214">
        <v>39105.999999999985</v>
      </c>
      <c r="I57" s="451">
        <v>-21052.999999999985</v>
      </c>
      <c r="J57" s="452"/>
      <c r="K57" s="454">
        <v>5779</v>
      </c>
      <c r="L57" s="214">
        <v>2642.0899999999997</v>
      </c>
      <c r="M57" s="451">
        <f t="shared" si="126"/>
        <v>3136.9100000000003</v>
      </c>
      <c r="N57" s="452"/>
      <c r="O57" s="454">
        <v>16158</v>
      </c>
      <c r="P57" s="214">
        <v>21200.489999999994</v>
      </c>
      <c r="Q57" s="451">
        <v>-5042.4899999999943</v>
      </c>
      <c r="R57" s="466"/>
      <c r="S57" s="454">
        <v>5961</v>
      </c>
      <c r="T57" s="214">
        <v>9618.1699999999983</v>
      </c>
      <c r="U57" s="451">
        <v>-3657.1699999999983</v>
      </c>
      <c r="V57" s="453"/>
      <c r="W57" s="454">
        <v>580437.32727050781</v>
      </c>
      <c r="X57" s="214">
        <v>571658.58085470693</v>
      </c>
      <c r="Y57" s="451">
        <v>8778.7464158008806</v>
      </c>
      <c r="Z57" s="214"/>
      <c r="AA57" s="454">
        <v>12194</v>
      </c>
      <c r="AB57" s="214">
        <v>575</v>
      </c>
      <c r="AC57" s="451">
        <v>11619</v>
      </c>
      <c r="AD57" s="214"/>
      <c r="AE57" s="454">
        <v>38</v>
      </c>
      <c r="AF57" s="214">
        <v>0</v>
      </c>
      <c r="AG57" s="451">
        <v>38</v>
      </c>
      <c r="AH57" s="214"/>
      <c r="AI57" s="454">
        <v>20335</v>
      </c>
      <c r="AJ57" s="214">
        <v>17938.78333333334</v>
      </c>
      <c r="AK57" s="451">
        <v>2396.2166666666599</v>
      </c>
      <c r="AL57" s="453"/>
      <c r="AM57" s="454">
        <f t="shared" si="119"/>
        <v>612003.32556152344</v>
      </c>
      <c r="AN57" s="214">
        <f t="shared" si="119"/>
        <v>578214.38333333377</v>
      </c>
      <c r="AO57" s="451">
        <f t="shared" si="120"/>
        <v>33788.94222818967</v>
      </c>
      <c r="AP57" s="214"/>
      <c r="AQ57" s="454">
        <f t="shared" si="121"/>
        <v>613004.32727050781</v>
      </c>
      <c r="AR57" s="214">
        <f t="shared" si="121"/>
        <v>590172.36418804026</v>
      </c>
      <c r="AS57" s="451">
        <f t="shared" si="122"/>
        <v>22831.963082467555</v>
      </c>
      <c r="AT57" s="214"/>
      <c r="AU57" s="454">
        <f t="shared" si="123"/>
        <v>612003.32556152344</v>
      </c>
      <c r="AV57" s="214">
        <f t="shared" si="124"/>
        <v>613004.32727050781</v>
      </c>
      <c r="AW57" s="451">
        <f t="shared" si="125"/>
        <v>-1001.001708984375</v>
      </c>
      <c r="BC57" s="410"/>
      <c r="BG57" s="469"/>
      <c r="BH57" s="469"/>
      <c r="BI57" s="469"/>
    </row>
    <row r="58" spans="1:104" ht="21.75" customHeight="1">
      <c r="A58" s="436"/>
      <c r="B58" s="448" t="s">
        <v>90</v>
      </c>
      <c r="C58" s="454">
        <v>349384.06066894531</v>
      </c>
      <c r="D58" s="214">
        <v>361552.53666666674</v>
      </c>
      <c r="E58" s="451">
        <v>-12168.475997721485</v>
      </c>
      <c r="F58" s="452"/>
      <c r="G58" s="454">
        <v>47499</v>
      </c>
      <c r="H58" s="214">
        <v>29569.890000000007</v>
      </c>
      <c r="I58" s="451">
        <v>17929.109999999993</v>
      </c>
      <c r="J58" s="452"/>
      <c r="K58" s="454">
        <v>4664</v>
      </c>
      <c r="L58" s="214">
        <v>3456</v>
      </c>
      <c r="M58" s="451">
        <f t="shared" si="126"/>
        <v>1208</v>
      </c>
      <c r="N58" s="452"/>
      <c r="O58" s="454">
        <v>9606</v>
      </c>
      <c r="P58" s="214">
        <v>13396.399999999998</v>
      </c>
      <c r="Q58" s="451">
        <v>-3790.3999999999978</v>
      </c>
      <c r="R58" s="466"/>
      <c r="S58" s="454">
        <v>17489</v>
      </c>
      <c r="T58" s="214">
        <v>11113.240000000002</v>
      </c>
      <c r="U58" s="451">
        <v>6375.7599999999984</v>
      </c>
      <c r="V58" s="453"/>
      <c r="W58" s="454">
        <v>416402.05889892578</v>
      </c>
      <c r="X58" s="214">
        <v>425047.82979350764</v>
      </c>
      <c r="Y58" s="451">
        <v>-8645.7708945818595</v>
      </c>
      <c r="Z58" s="214"/>
      <c r="AA58" s="454">
        <v>0</v>
      </c>
      <c r="AB58" s="214">
        <v>0</v>
      </c>
      <c r="AC58" s="451">
        <v>0</v>
      </c>
      <c r="AD58" s="214"/>
      <c r="AE58" s="454">
        <v>10</v>
      </c>
      <c r="AF58" s="214">
        <v>0</v>
      </c>
      <c r="AG58" s="451">
        <v>10</v>
      </c>
      <c r="AH58" s="214"/>
      <c r="AI58" s="454">
        <v>11843</v>
      </c>
      <c r="AJ58" s="214">
        <v>7863.0666666666666</v>
      </c>
      <c r="AK58" s="451">
        <v>3979.9333333333334</v>
      </c>
      <c r="AL58" s="453"/>
      <c r="AM58" s="454">
        <f t="shared" ref="AM58" si="127">SUM(C58,G58,K58,O58,S58)</f>
        <v>428642.06066894531</v>
      </c>
      <c r="AN58" s="214">
        <f t="shared" ref="AN58" si="128">SUM(D58,H58,L58,P58,T58)</f>
        <v>419088.06666666677</v>
      </c>
      <c r="AO58" s="451">
        <f t="shared" si="120"/>
        <v>9553.9940022785449</v>
      </c>
      <c r="AP58" s="214"/>
      <c r="AQ58" s="454">
        <f t="shared" ref="AQ58" si="129">SUM(W58,AA58,AE58,AI58)</f>
        <v>428255.05889892578</v>
      </c>
      <c r="AR58" s="214">
        <f t="shared" ref="AR58" si="130">SUM(X58,AB58,AF58,AJ58)</f>
        <v>432910.89646017429</v>
      </c>
      <c r="AS58" s="451">
        <f t="shared" si="122"/>
        <v>-4655.8375612485106</v>
      </c>
      <c r="AT58" s="214"/>
      <c r="AU58" s="454">
        <f t="shared" si="123"/>
        <v>428642.06066894531</v>
      </c>
      <c r="AV58" s="214">
        <f t="shared" si="124"/>
        <v>428255.05889892578</v>
      </c>
      <c r="AW58" s="451">
        <f t="shared" si="125"/>
        <v>387.00177001953125</v>
      </c>
      <c r="BC58" s="410"/>
      <c r="BG58" s="469"/>
      <c r="BH58" s="469"/>
      <c r="BI58" s="469"/>
    </row>
    <row r="59" spans="1:104" ht="21.75" customHeight="1">
      <c r="A59" s="436"/>
      <c r="B59" s="448" t="s">
        <v>10</v>
      </c>
      <c r="C59" s="454">
        <v>497901.10144042969</v>
      </c>
      <c r="D59" s="214">
        <v>514759.72666666715</v>
      </c>
      <c r="E59" s="451">
        <v>-16858.625226237345</v>
      </c>
      <c r="F59" s="452"/>
      <c r="G59" s="454">
        <v>5856</v>
      </c>
      <c r="H59" s="214">
        <v>9573</v>
      </c>
      <c r="I59" s="451">
        <v>-3717</v>
      </c>
      <c r="J59" s="452"/>
      <c r="K59" s="454">
        <v>2503</v>
      </c>
      <c r="L59" s="214">
        <v>3729.5999999999972</v>
      </c>
      <c r="M59" s="451">
        <f t="shared" si="126"/>
        <v>-1226.5999999999972</v>
      </c>
      <c r="N59" s="452"/>
      <c r="O59" s="454">
        <v>10207</v>
      </c>
      <c r="P59" s="214">
        <v>9863.3700000000008</v>
      </c>
      <c r="Q59" s="451">
        <v>343.6299999999992</v>
      </c>
      <c r="R59" s="466"/>
      <c r="S59" s="454">
        <v>622</v>
      </c>
      <c r="T59" s="214">
        <v>5709.3799999999992</v>
      </c>
      <c r="U59" s="451">
        <v>-5087.3799999999992</v>
      </c>
      <c r="V59" s="453"/>
      <c r="W59" s="454">
        <v>496860.10223388672</v>
      </c>
      <c r="X59" s="214">
        <v>512984.88368474972</v>
      </c>
      <c r="Y59" s="451">
        <v>-16124.781450862996</v>
      </c>
      <c r="Z59" s="214"/>
      <c r="AA59" s="454">
        <v>5266</v>
      </c>
      <c r="AB59" s="214">
        <v>27148.799999999996</v>
      </c>
      <c r="AC59" s="451">
        <v>-21882.799999999996</v>
      </c>
      <c r="AD59" s="214"/>
      <c r="AE59" s="454">
        <v>64</v>
      </c>
      <c r="AF59" s="214">
        <v>0</v>
      </c>
      <c r="AG59" s="451">
        <v>64</v>
      </c>
      <c r="AH59" s="214"/>
      <c r="AI59" s="454">
        <v>15565</v>
      </c>
      <c r="AJ59" s="214">
        <v>22941.266666666666</v>
      </c>
      <c r="AK59" s="451">
        <v>-7376.2666666666664</v>
      </c>
      <c r="AL59" s="453"/>
      <c r="AM59" s="454">
        <f t="shared" ref="AM59" si="131">SUM(C59,G59,K59,O59,S59)</f>
        <v>517089.10144042969</v>
      </c>
      <c r="AN59" s="214">
        <f t="shared" ref="AN59" si="132">SUM(D59,H59,L59,P59,T59)</f>
        <v>543635.07666666713</v>
      </c>
      <c r="AO59" s="451">
        <f t="shared" si="120"/>
        <v>-26545.975226237439</v>
      </c>
      <c r="AP59" s="214"/>
      <c r="AQ59" s="454">
        <f t="shared" ref="AQ59" si="133">SUM(W59,AA59,AE59,AI59)</f>
        <v>517755.10223388672</v>
      </c>
      <c r="AR59" s="214">
        <f t="shared" ref="AR59" si="134">SUM(X59,AB59,AF59,AJ59)</f>
        <v>563074.95035141648</v>
      </c>
      <c r="AS59" s="451">
        <f t="shared" si="122"/>
        <v>-45319.848117529764</v>
      </c>
      <c r="AT59" s="214"/>
      <c r="AU59" s="454">
        <f t="shared" si="123"/>
        <v>517089.10144042969</v>
      </c>
      <c r="AV59" s="214">
        <f t="shared" si="124"/>
        <v>517755.10223388672</v>
      </c>
      <c r="AW59" s="451">
        <f t="shared" si="125"/>
        <v>-666.00079345703125</v>
      </c>
      <c r="BC59" s="410"/>
      <c r="BG59" s="469"/>
      <c r="BH59" s="469"/>
      <c r="BI59" s="469"/>
    </row>
    <row r="60" spans="1:104" ht="21.75" customHeight="1">
      <c r="A60" s="436"/>
      <c r="B60" s="448" t="s">
        <v>91</v>
      </c>
      <c r="C60" s="454">
        <v>626702.68603515625</v>
      </c>
      <c r="D60" s="214">
        <v>628437.53000000014</v>
      </c>
      <c r="E60" s="451">
        <v>-1734.8439648438944</v>
      </c>
      <c r="F60" s="452"/>
      <c r="G60" s="454">
        <v>6580</v>
      </c>
      <c r="H60" s="214">
        <v>14279.93</v>
      </c>
      <c r="I60" s="451">
        <v>-7699.93</v>
      </c>
      <c r="J60" s="452"/>
      <c r="K60" s="454">
        <v>5621</v>
      </c>
      <c r="L60" s="214">
        <v>4388.7999999999984</v>
      </c>
      <c r="M60" s="451">
        <v>1232.2000000000016</v>
      </c>
      <c r="N60" s="452"/>
      <c r="O60" s="454">
        <v>14287</v>
      </c>
      <c r="P60" s="214">
        <v>13643.299999999997</v>
      </c>
      <c r="Q60" s="451">
        <v>643.70000000000255</v>
      </c>
      <c r="R60" s="466"/>
      <c r="S60" s="454">
        <v>350</v>
      </c>
      <c r="T60" s="214">
        <v>4449.84</v>
      </c>
      <c r="U60" s="451">
        <v>-4099.84</v>
      </c>
      <c r="V60" s="453"/>
      <c r="W60" s="454">
        <v>608185.68670654297</v>
      </c>
      <c r="X60" s="214">
        <v>634614.67783491826</v>
      </c>
      <c r="Y60" s="451">
        <v>-26428.991128375288</v>
      </c>
      <c r="Z60" s="214"/>
      <c r="AA60" s="454">
        <v>7924</v>
      </c>
      <c r="AB60" s="214">
        <v>14940.799999999992</v>
      </c>
      <c r="AC60" s="451">
        <v>-7016.799999999992</v>
      </c>
      <c r="AD60" s="214"/>
      <c r="AE60" s="454">
        <v>0</v>
      </c>
      <c r="AF60" s="214">
        <v>0</v>
      </c>
      <c r="AG60" s="451">
        <v>0</v>
      </c>
      <c r="AH60" s="214"/>
      <c r="AI60" s="454">
        <v>38338</v>
      </c>
      <c r="AJ60" s="214">
        <v>39463.599999999999</v>
      </c>
      <c r="AK60" s="451">
        <v>-1125.5999999999985</v>
      </c>
      <c r="AL60" s="453"/>
      <c r="AM60" s="454">
        <f t="shared" ref="AM60" si="135">SUM(C60,G60,K60,O60,S60)</f>
        <v>653540.68603515625</v>
      </c>
      <c r="AN60" s="214">
        <f t="shared" ref="AN60" si="136">SUM(D60,H60,L60,P60,T60)</f>
        <v>665199.40000000026</v>
      </c>
      <c r="AO60" s="451">
        <f t="shared" si="120"/>
        <v>-11658.713964844006</v>
      </c>
      <c r="AP60" s="214"/>
      <c r="AQ60" s="454">
        <f t="shared" ref="AQ60" si="137">SUM(W60,AA60,AE60,AI60)</f>
        <v>654447.68670654297</v>
      </c>
      <c r="AR60" s="214">
        <f t="shared" ref="AR60" si="138">SUM(X60,AB60,AF60,AJ60)</f>
        <v>689019.07783491828</v>
      </c>
      <c r="AS60" s="451">
        <f t="shared" si="122"/>
        <v>-34571.391128375311</v>
      </c>
      <c r="AT60" s="214"/>
      <c r="AU60" s="454">
        <f t="shared" si="123"/>
        <v>653540.68603515625</v>
      </c>
      <c r="AV60" s="214">
        <f t="shared" si="124"/>
        <v>654447.68670654297</v>
      </c>
      <c r="AW60" s="451">
        <f t="shared" si="125"/>
        <v>-907.00067138671875</v>
      </c>
      <c r="BC60" s="410"/>
      <c r="BG60" s="469"/>
      <c r="BH60" s="469"/>
      <c r="BI60" s="469"/>
    </row>
    <row r="61" spans="1:104" ht="21.75" customHeight="1">
      <c r="A61" s="436"/>
      <c r="B61" s="448" t="s">
        <v>92</v>
      </c>
      <c r="C61" s="454">
        <f>'Input Data'!AV$36-'Input Data'!AZ$36-'Input Data'!BD$36</f>
        <v>541149.29809570312</v>
      </c>
      <c r="D61" s="214">
        <f>'Daily Budget Data'!J$37-'Daily Budget Data'!N$37-'Daily Budget Data'!R$37</f>
        <v>588710.8433333335</v>
      </c>
      <c r="E61" s="451">
        <f>C61-D61</f>
        <v>-47561.545237630373</v>
      </c>
      <c r="F61" s="452"/>
      <c r="G61" s="454">
        <f>'Input Data'!AZ$36</f>
        <v>12069</v>
      </c>
      <c r="H61" s="214">
        <f>'Daily Budget Data'!N$37</f>
        <v>33736.19</v>
      </c>
      <c r="I61" s="451">
        <f>G61-H61</f>
        <v>-21667.190000000002</v>
      </c>
      <c r="J61" s="452"/>
      <c r="K61" s="454">
        <f>'Input Data'!BD$36</f>
        <v>5264</v>
      </c>
      <c r="L61" s="214">
        <f>'Daily Budget Data'!R$37</f>
        <v>4608</v>
      </c>
      <c r="M61" s="451">
        <f>K61-L61</f>
        <v>656</v>
      </c>
      <c r="N61" s="452"/>
      <c r="O61" s="454">
        <f>'Input Data'!BP$36</f>
        <v>14439</v>
      </c>
      <c r="P61" s="214">
        <f>'Daily Budget Data'!AA$37</f>
        <v>14253.44</v>
      </c>
      <c r="Q61" s="451">
        <f>O61-P61</f>
        <v>185.55999999999949</v>
      </c>
      <c r="R61" s="466"/>
      <c r="S61" s="454">
        <f>'Input Data'!BT$36</f>
        <v>99</v>
      </c>
      <c r="T61" s="214">
        <f>'Daily Budget Data'!AE$37</f>
        <v>2826.6899999999991</v>
      </c>
      <c r="U61" s="451">
        <f>S61-T61</f>
        <v>-2727.6899999999991</v>
      </c>
      <c r="V61" s="453"/>
      <c r="W61" s="454">
        <f>'Input Data'!AS$36</f>
        <v>543891.29907226563</v>
      </c>
      <c r="X61" s="214">
        <f>'Daily Budget Data'!F$37</f>
        <v>618469.9056847099</v>
      </c>
      <c r="Y61" s="451">
        <f>W61-X61</f>
        <v>-74578.606612444273</v>
      </c>
      <c r="Z61" s="214"/>
      <c r="AA61" s="454">
        <f>'Input Data'!CC$36</f>
        <v>5194</v>
      </c>
      <c r="AB61" s="214">
        <f>'Daily Budget Data'!AI$37</f>
        <v>7674</v>
      </c>
      <c r="AC61" s="451">
        <f>AA61-AB61</f>
        <v>-2480</v>
      </c>
      <c r="AD61" s="214"/>
      <c r="AE61" s="454">
        <f>'Input Data'!BL$36</f>
        <v>0</v>
      </c>
      <c r="AF61" s="214">
        <f>'Daily Budget Data'!AQ$37</f>
        <v>0</v>
      </c>
      <c r="AG61" s="451">
        <f>AE61-AF61</f>
        <v>0</v>
      </c>
      <c r="AH61" s="214"/>
      <c r="AI61" s="454">
        <f>'Input Data'!BH$36</f>
        <v>24794</v>
      </c>
      <c r="AJ61" s="214">
        <f>'Daily Budget Data'!AM$37</f>
        <v>32888.159999999996</v>
      </c>
      <c r="AK61" s="451">
        <f>AI61-AJ61</f>
        <v>-8094.1599999999962</v>
      </c>
      <c r="AL61" s="453"/>
      <c r="AM61" s="454">
        <f t="shared" ref="AM61" si="139">SUM(C61,G61,K61,O61,S61)</f>
        <v>573020.29809570312</v>
      </c>
      <c r="AN61" s="214">
        <f t="shared" ref="AN61" si="140">SUM(D61,H61,L61,P61,T61)</f>
        <v>644135.16333333333</v>
      </c>
      <c r="AO61" s="451">
        <f t="shared" ref="AO61" si="141">AM61-AN61</f>
        <v>-71114.865237630205</v>
      </c>
      <c r="AP61" s="214"/>
      <c r="AQ61" s="454">
        <f t="shared" ref="AQ61" si="142">SUM(W61,AA61,AE61,AI61)</f>
        <v>573879.29907226562</v>
      </c>
      <c r="AR61" s="214">
        <f t="shared" ref="AR61" si="143">SUM(X61,AB61,AF61,AJ61)</f>
        <v>659032.06568470993</v>
      </c>
      <c r="AS61" s="451">
        <f t="shared" ref="AS61" si="144">AQ61-AR61</f>
        <v>-85152.766612444306</v>
      </c>
      <c r="AT61" s="214"/>
      <c r="AU61" s="454">
        <f t="shared" ref="AU61" si="145">AM61</f>
        <v>573020.29809570312</v>
      </c>
      <c r="AV61" s="214">
        <f t="shared" ref="AV61" si="146">AQ61</f>
        <v>573879.29907226562</v>
      </c>
      <c r="AW61" s="451">
        <f t="shared" ref="AW61" si="147">AU61-AV61</f>
        <v>-859.0009765625</v>
      </c>
      <c r="BC61" s="410"/>
      <c r="BG61" s="469"/>
    </row>
    <row r="62" spans="1:104" ht="21.75" customHeight="1">
      <c r="A62" s="436"/>
      <c r="B62" s="448" t="s">
        <v>93</v>
      </c>
      <c r="C62" s="454"/>
      <c r="D62" s="214"/>
      <c r="E62" s="451"/>
      <c r="F62" s="452"/>
      <c r="G62" s="454"/>
      <c r="H62" s="214"/>
      <c r="I62" s="451"/>
      <c r="J62" s="452"/>
      <c r="K62" s="454"/>
      <c r="L62" s="214"/>
      <c r="M62" s="451"/>
      <c r="N62" s="452"/>
      <c r="O62" s="454"/>
      <c r="P62" s="214"/>
      <c r="Q62" s="451"/>
      <c r="R62" s="466"/>
      <c r="S62" s="454"/>
      <c r="T62" s="214"/>
      <c r="U62" s="451"/>
      <c r="V62" s="453"/>
      <c r="W62" s="454"/>
      <c r="X62" s="214"/>
      <c r="Y62" s="451"/>
      <c r="Z62" s="214"/>
      <c r="AA62" s="454"/>
      <c r="AB62" s="214"/>
      <c r="AC62" s="451"/>
      <c r="AD62" s="214"/>
      <c r="AE62" s="454"/>
      <c r="AF62" s="214"/>
      <c r="AG62" s="451"/>
      <c r="AH62" s="214"/>
      <c r="AI62" s="454"/>
      <c r="AJ62" s="214"/>
      <c r="AK62" s="451"/>
      <c r="AL62" s="453"/>
      <c r="AM62" s="454"/>
      <c r="AN62" s="214"/>
      <c r="AO62" s="451"/>
      <c r="AP62" s="214"/>
      <c r="AQ62" s="454"/>
      <c r="AR62" s="214"/>
      <c r="AS62" s="451"/>
      <c r="AT62" s="214"/>
      <c r="AU62" s="454"/>
      <c r="AV62" s="214"/>
      <c r="AW62" s="451"/>
      <c r="BC62" s="410"/>
    </row>
    <row r="63" spans="1:104" ht="21.75" customHeight="1">
      <c r="A63" s="436"/>
      <c r="B63" s="448" t="s">
        <v>94</v>
      </c>
      <c r="C63" s="454"/>
      <c r="D63" s="214"/>
      <c r="E63" s="451"/>
      <c r="F63" s="452"/>
      <c r="G63" s="454"/>
      <c r="H63" s="214"/>
      <c r="I63" s="451"/>
      <c r="J63" s="452"/>
      <c r="K63" s="454"/>
      <c r="L63" s="214"/>
      <c r="M63" s="451"/>
      <c r="N63" s="452"/>
      <c r="O63" s="454"/>
      <c r="P63" s="214"/>
      <c r="Q63" s="451"/>
      <c r="R63" s="466"/>
      <c r="S63" s="454"/>
      <c r="T63" s="214"/>
      <c r="U63" s="451"/>
      <c r="V63" s="453"/>
      <c r="W63" s="454"/>
      <c r="X63" s="214"/>
      <c r="Y63" s="451"/>
      <c r="Z63" s="214"/>
      <c r="AA63" s="454"/>
      <c r="AB63" s="214"/>
      <c r="AC63" s="451"/>
      <c r="AD63" s="214"/>
      <c r="AE63" s="454"/>
      <c r="AF63" s="214"/>
      <c r="AG63" s="451"/>
      <c r="AH63" s="214"/>
      <c r="AI63" s="454"/>
      <c r="AJ63" s="214"/>
      <c r="AK63" s="451"/>
      <c r="AL63" s="453"/>
      <c r="AM63" s="454"/>
      <c r="AN63" s="214"/>
      <c r="AO63" s="451"/>
      <c r="AP63" s="214"/>
      <c r="AQ63" s="454"/>
      <c r="AR63" s="214"/>
      <c r="AS63" s="451"/>
      <c r="AT63" s="214"/>
      <c r="AU63" s="454"/>
      <c r="AV63" s="214"/>
      <c r="AW63" s="451"/>
      <c r="BC63" s="410"/>
    </row>
    <row r="64" spans="1:104" ht="21.75" customHeight="1">
      <c r="A64" s="436"/>
      <c r="B64" s="448" t="s">
        <v>95</v>
      </c>
      <c r="C64" s="454"/>
      <c r="D64" s="214"/>
      <c r="E64" s="451"/>
      <c r="F64" s="452"/>
      <c r="G64" s="454"/>
      <c r="H64" s="214"/>
      <c r="I64" s="451"/>
      <c r="J64" s="452"/>
      <c r="K64" s="454"/>
      <c r="L64" s="214"/>
      <c r="M64" s="451"/>
      <c r="N64" s="452"/>
      <c r="O64" s="454"/>
      <c r="P64" s="214"/>
      <c r="Q64" s="451"/>
      <c r="R64" s="466"/>
      <c r="S64" s="454"/>
      <c r="T64" s="214"/>
      <c r="U64" s="451"/>
      <c r="V64" s="453"/>
      <c r="W64" s="454"/>
      <c r="X64" s="214"/>
      <c r="Y64" s="451"/>
      <c r="Z64" s="214"/>
      <c r="AA64" s="454"/>
      <c r="AB64" s="214"/>
      <c r="AC64" s="451"/>
      <c r="AD64" s="214"/>
      <c r="AE64" s="454"/>
      <c r="AF64" s="214"/>
      <c r="AG64" s="451"/>
      <c r="AH64" s="214"/>
      <c r="AI64" s="454"/>
      <c r="AJ64" s="214"/>
      <c r="AK64" s="451"/>
      <c r="AL64" s="453"/>
      <c r="AM64" s="454"/>
      <c r="AN64" s="214"/>
      <c r="AO64" s="451"/>
      <c r="AP64" s="214"/>
      <c r="AQ64" s="454"/>
      <c r="AR64" s="214"/>
      <c r="AS64" s="451"/>
      <c r="AT64" s="214"/>
      <c r="AU64" s="454"/>
      <c r="AV64" s="214"/>
      <c r="AW64" s="451"/>
      <c r="BC64" s="410"/>
    </row>
    <row r="65" spans="1:55" ht="21.75" customHeight="1">
      <c r="A65" s="436"/>
      <c r="B65" s="448" t="s">
        <v>96</v>
      </c>
      <c r="C65" s="454"/>
      <c r="D65" s="214"/>
      <c r="E65" s="451"/>
      <c r="F65" s="452"/>
      <c r="G65" s="454"/>
      <c r="H65" s="214"/>
      <c r="I65" s="451"/>
      <c r="J65" s="452"/>
      <c r="K65" s="454"/>
      <c r="L65" s="214"/>
      <c r="M65" s="451"/>
      <c r="N65" s="452"/>
      <c r="O65" s="454"/>
      <c r="P65" s="214"/>
      <c r="Q65" s="451"/>
      <c r="R65" s="466"/>
      <c r="S65" s="454"/>
      <c r="T65" s="214"/>
      <c r="U65" s="451"/>
      <c r="V65" s="453"/>
      <c r="W65" s="454"/>
      <c r="X65" s="214"/>
      <c r="Y65" s="451"/>
      <c r="Z65" s="214"/>
      <c r="AA65" s="454"/>
      <c r="AB65" s="214"/>
      <c r="AC65" s="451"/>
      <c r="AD65" s="214"/>
      <c r="AE65" s="454"/>
      <c r="AF65" s="214"/>
      <c r="AG65" s="451"/>
      <c r="AH65" s="214"/>
      <c r="AI65" s="454"/>
      <c r="AJ65" s="214"/>
      <c r="AK65" s="451"/>
      <c r="AL65" s="453"/>
      <c r="AM65" s="454"/>
      <c r="AN65" s="214"/>
      <c r="AO65" s="451"/>
      <c r="AP65" s="214"/>
      <c r="AQ65" s="454"/>
      <c r="AR65" s="214"/>
      <c r="AS65" s="451"/>
      <c r="AT65" s="214"/>
      <c r="AU65" s="454"/>
      <c r="AV65" s="214"/>
      <c r="AW65" s="451"/>
      <c r="BC65" s="410"/>
    </row>
    <row r="66" spans="1:55" ht="21.75" customHeight="1">
      <c r="A66" s="436"/>
      <c r="B66" s="448" t="s">
        <v>97</v>
      </c>
      <c r="C66" s="455"/>
      <c r="D66" s="456"/>
      <c r="E66" s="457"/>
      <c r="F66" s="452"/>
      <c r="G66" s="455"/>
      <c r="H66" s="456"/>
      <c r="I66" s="457"/>
      <c r="J66" s="452"/>
      <c r="K66" s="455"/>
      <c r="L66" s="456"/>
      <c r="M66" s="457"/>
      <c r="N66" s="452"/>
      <c r="O66" s="455"/>
      <c r="P66" s="456"/>
      <c r="Q66" s="457"/>
      <c r="R66" s="466"/>
      <c r="S66" s="455"/>
      <c r="T66" s="456"/>
      <c r="U66" s="457"/>
      <c r="V66" s="453"/>
      <c r="W66" s="455"/>
      <c r="X66" s="456"/>
      <c r="Y66" s="457"/>
      <c r="Z66" s="214"/>
      <c r="AA66" s="455"/>
      <c r="AB66" s="456"/>
      <c r="AC66" s="457"/>
      <c r="AD66" s="214"/>
      <c r="AE66" s="455"/>
      <c r="AF66" s="456"/>
      <c r="AG66" s="457"/>
      <c r="AH66" s="214"/>
      <c r="AI66" s="455"/>
      <c r="AJ66" s="456"/>
      <c r="AK66" s="457"/>
      <c r="AL66" s="453"/>
      <c r="AM66" s="455"/>
      <c r="AN66" s="456"/>
      <c r="AO66" s="457"/>
      <c r="AP66" s="214"/>
      <c r="AQ66" s="455"/>
      <c r="AR66" s="456"/>
      <c r="AS66" s="457"/>
      <c r="AT66" s="214"/>
      <c r="AU66" s="455"/>
      <c r="AV66" s="456"/>
      <c r="AW66" s="457"/>
      <c r="BC66" s="410"/>
    </row>
    <row r="67" spans="1:55" ht="21.75" customHeight="1">
      <c r="A67" s="436"/>
      <c r="B67" s="448"/>
      <c r="C67" s="467"/>
      <c r="D67" s="467"/>
      <c r="E67" s="467"/>
      <c r="F67" s="467"/>
      <c r="G67" s="467"/>
      <c r="H67" s="467"/>
      <c r="I67" s="467"/>
      <c r="J67" s="467"/>
      <c r="K67" s="467"/>
      <c r="L67" s="467"/>
      <c r="M67" s="467"/>
      <c r="N67" s="467"/>
      <c r="O67" s="467"/>
      <c r="P67" s="467"/>
      <c r="Q67" s="467"/>
      <c r="R67" s="466"/>
      <c r="S67" s="467"/>
      <c r="T67" s="467"/>
      <c r="U67" s="467"/>
      <c r="V67" s="468"/>
      <c r="W67" s="467"/>
      <c r="X67" s="467"/>
      <c r="Y67" s="467"/>
      <c r="Z67" s="467"/>
      <c r="AA67" s="467"/>
      <c r="AB67" s="467"/>
      <c r="AC67" s="467"/>
      <c r="AD67" s="467"/>
      <c r="AE67" s="467"/>
      <c r="AF67" s="467"/>
      <c r="AG67" s="467"/>
      <c r="AH67" s="466"/>
      <c r="AI67" s="467"/>
      <c r="AJ67" s="467"/>
      <c r="AK67" s="467"/>
      <c r="AL67" s="468"/>
      <c r="AM67" s="467"/>
      <c r="AN67" s="467"/>
      <c r="AO67" s="467"/>
      <c r="AP67" s="467"/>
      <c r="AQ67" s="467"/>
      <c r="AR67" s="467"/>
      <c r="AS67" s="467"/>
      <c r="AT67" s="467"/>
      <c r="AU67" s="467"/>
      <c r="AV67" s="467"/>
      <c r="AW67" s="467"/>
    </row>
    <row r="68" spans="1:55" ht="21.75" customHeight="1">
      <c r="A68" s="504"/>
      <c r="B68" s="505" t="s">
        <v>99</v>
      </c>
      <c r="C68" s="486">
        <f>SUM(C55:C67)</f>
        <v>3677582.3519287109</v>
      </c>
      <c r="D68" s="486">
        <f>SUM(D55:D67)</f>
        <v>3682635.3766666679</v>
      </c>
      <c r="E68" s="486">
        <f>C68-D68</f>
        <v>-5053.0247379569337</v>
      </c>
      <c r="F68" s="487"/>
      <c r="G68" s="486">
        <f>SUM(G55:G67)</f>
        <v>118627</v>
      </c>
      <c r="H68" s="486">
        <f>SUM(H55:H67)</f>
        <v>137110.71</v>
      </c>
      <c r="I68" s="486">
        <f>G68-H68</f>
        <v>-18483.709999999992</v>
      </c>
      <c r="J68" s="487"/>
      <c r="K68" s="486">
        <f>SUM(K55:K67)</f>
        <v>32736</v>
      </c>
      <c r="L68" s="486">
        <f>SUM(L55:L67)</f>
        <v>27453.61</v>
      </c>
      <c r="M68" s="486">
        <f>K68-L68</f>
        <v>5282.3899999999994</v>
      </c>
      <c r="N68" s="487"/>
      <c r="O68" s="486">
        <f>SUM(O55:O67)</f>
        <v>95108</v>
      </c>
      <c r="P68" s="486">
        <f>SUM(P55:P67)</f>
        <v>90889.43</v>
      </c>
      <c r="Q68" s="486">
        <f>O68-P68</f>
        <v>4218.570000000007</v>
      </c>
      <c r="R68" s="506"/>
      <c r="S68" s="486">
        <f>SUM(S55:S67)</f>
        <v>24969</v>
      </c>
      <c r="T68" s="486">
        <f>SUM(T55:T67)</f>
        <v>37224.58</v>
      </c>
      <c r="U68" s="486">
        <f>S68-T68</f>
        <v>-12255.580000000002</v>
      </c>
      <c r="V68" s="488"/>
      <c r="W68" s="486">
        <f>SUM(W55:W67)</f>
        <v>3722899.3540649414</v>
      </c>
      <c r="X68" s="486">
        <f>SUM(X55:X67)</f>
        <v>3803925.3683581268</v>
      </c>
      <c r="Y68" s="486">
        <f>W68-X68</f>
        <v>-81026.014293185435</v>
      </c>
      <c r="Z68" s="486"/>
      <c r="AA68" s="486">
        <f>SUM(AA55:AA67)</f>
        <v>57837</v>
      </c>
      <c r="AB68" s="486">
        <f>SUM(AB55:AB67)</f>
        <v>91779.599999999991</v>
      </c>
      <c r="AC68" s="486">
        <f>AA68-AB68</f>
        <v>-33942.599999999991</v>
      </c>
      <c r="AD68" s="486"/>
      <c r="AE68" s="486">
        <f>SUM(AE55:AE67)</f>
        <v>250</v>
      </c>
      <c r="AF68" s="486">
        <f>SUM(AF55:AF67)</f>
        <v>0</v>
      </c>
      <c r="AG68" s="486">
        <f>AE68-AF68</f>
        <v>250</v>
      </c>
      <c r="AH68" s="486"/>
      <c r="AI68" s="486">
        <f>SUM(AI55:AI67)</f>
        <v>170929</v>
      </c>
      <c r="AJ68" s="486">
        <f>SUM(AJ55:AJ67)</f>
        <v>171464.49333333332</v>
      </c>
      <c r="AK68" s="486">
        <f>AI68-AJ68</f>
        <v>-535.49333333331742</v>
      </c>
      <c r="AL68" s="488"/>
      <c r="AM68" s="486">
        <f>SUM(AM55:AM67)</f>
        <v>3949022.3519287109</v>
      </c>
      <c r="AN68" s="486">
        <f>SUM(AN55:AN67)</f>
        <v>3975313.7066666689</v>
      </c>
      <c r="AO68" s="486">
        <f>AM68-AN68</f>
        <v>-26291.35473795794</v>
      </c>
      <c r="AP68" s="486"/>
      <c r="AQ68" s="486">
        <f>SUM(AQ55:AQ67)</f>
        <v>3951915.3540649414</v>
      </c>
      <c r="AR68" s="486">
        <f>SUM(AR55:AR67)</f>
        <v>4067169.4616914596</v>
      </c>
      <c r="AS68" s="486">
        <f>AQ68-AR68</f>
        <v>-115254.10762651823</v>
      </c>
      <c r="AT68" s="486"/>
      <c r="AU68" s="486">
        <f>SUM(AU55:AU67)</f>
        <v>3949022.3519287109</v>
      </c>
      <c r="AV68" s="486">
        <f>SUM(AV55:AV67)</f>
        <v>3951915.3540649414</v>
      </c>
      <c r="AW68" s="486">
        <f>AU68-AV68</f>
        <v>-2893.0021362304687</v>
      </c>
      <c r="BC68" s="410"/>
    </row>
    <row r="69" spans="1:55" ht="21.75" customHeight="1">
      <c r="A69" s="436"/>
      <c r="B69" s="402"/>
      <c r="C69" s="442"/>
      <c r="D69" s="442"/>
      <c r="E69" s="442"/>
      <c r="G69" s="442"/>
      <c r="H69" s="442"/>
      <c r="I69" s="442"/>
      <c r="O69" s="442"/>
      <c r="P69" s="442"/>
      <c r="Q69" s="469"/>
      <c r="W69" s="442"/>
      <c r="X69" s="442"/>
      <c r="Y69" s="442"/>
      <c r="Z69" s="442"/>
      <c r="AA69" s="442"/>
      <c r="AB69" s="442"/>
      <c r="AC69" s="442"/>
      <c r="AD69" s="442"/>
      <c r="AE69" s="442"/>
      <c r="AF69" s="442"/>
      <c r="AG69" s="442"/>
      <c r="AI69" s="442"/>
      <c r="AJ69" s="442"/>
      <c r="AK69" s="442"/>
      <c r="AP69" s="442"/>
      <c r="AT69" s="442"/>
    </row>
    <row r="70" spans="1:55" ht="21.75" customHeight="1">
      <c r="A70" s="436"/>
      <c r="B70" s="442"/>
      <c r="C70" s="724" t="s">
        <v>303</v>
      </c>
      <c r="D70" s="724"/>
      <c r="E70" s="724"/>
      <c r="F70" s="724"/>
      <c r="G70" s="724"/>
      <c r="H70" s="724"/>
      <c r="I70" s="724"/>
      <c r="J70" s="724"/>
      <c r="K70" s="724"/>
      <c r="L70" s="724"/>
      <c r="M70" s="724"/>
      <c r="N70" s="724"/>
      <c r="O70" s="724"/>
      <c r="P70" s="724"/>
      <c r="Q70" s="724"/>
      <c r="R70" s="724"/>
      <c r="S70" s="724"/>
      <c r="T70" s="724"/>
      <c r="U70" s="724"/>
      <c r="V70" s="448"/>
      <c r="W70" s="440"/>
      <c r="X70" s="47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0"/>
      <c r="AK70" s="440"/>
      <c r="AP70" s="440"/>
      <c r="AT70" s="440"/>
    </row>
    <row r="71" spans="1:55" ht="21.75" customHeight="1">
      <c r="A71" s="436"/>
      <c r="B71" s="442"/>
      <c r="C71" s="724" t="s">
        <v>300</v>
      </c>
      <c r="D71" s="724"/>
      <c r="E71" s="724"/>
      <c r="F71" s="724"/>
      <c r="G71" s="724"/>
      <c r="H71" s="724"/>
      <c r="I71" s="724"/>
      <c r="J71" s="724"/>
      <c r="K71" s="724"/>
      <c r="L71" s="724"/>
      <c r="M71" s="724"/>
      <c r="N71" s="724"/>
      <c r="O71" s="724"/>
      <c r="P71" s="724"/>
      <c r="Q71" s="724"/>
      <c r="R71" s="724"/>
      <c r="S71" s="724"/>
      <c r="T71" s="724"/>
      <c r="U71" s="724"/>
      <c r="W71" s="440"/>
      <c r="X71" s="471"/>
      <c r="Y71" s="472"/>
      <c r="Z71" s="472"/>
      <c r="AA71" s="472"/>
      <c r="AB71" s="472"/>
      <c r="AC71" s="472"/>
      <c r="AD71" s="472"/>
      <c r="AE71" s="472"/>
      <c r="AF71" s="472"/>
      <c r="AG71" s="472"/>
      <c r="AH71" s="472"/>
      <c r="AI71" s="472"/>
      <c r="AJ71" s="472"/>
      <c r="AK71" s="472"/>
      <c r="AP71" s="472"/>
      <c r="AT71" s="472"/>
    </row>
    <row r="72" spans="1:55" ht="21.75" customHeight="1">
      <c r="A72" s="436"/>
      <c r="B72" s="442"/>
      <c r="C72" s="473"/>
      <c r="D72" s="442"/>
      <c r="E72" s="440"/>
      <c r="F72" s="443"/>
      <c r="G72" s="474"/>
      <c r="H72" s="443"/>
      <c r="I72" s="440"/>
      <c r="J72" s="443"/>
      <c r="K72" s="443"/>
      <c r="L72" s="443"/>
      <c r="M72" s="443"/>
      <c r="N72" s="443"/>
      <c r="O72" s="442"/>
      <c r="P72" s="469"/>
      <c r="Q72" s="469"/>
      <c r="U72" s="448"/>
      <c r="V72" s="448"/>
      <c r="W72" s="214"/>
      <c r="X72" s="214"/>
      <c r="Y72" s="475"/>
      <c r="Z72" s="475"/>
      <c r="AA72" s="475"/>
      <c r="AB72" s="475"/>
      <c r="AC72" s="475"/>
      <c r="AD72" s="475"/>
      <c r="AE72" s="475"/>
      <c r="AF72" s="475"/>
      <c r="AG72" s="475"/>
      <c r="AH72" s="475"/>
      <c r="AI72" s="475"/>
      <c r="AJ72" s="475"/>
      <c r="AK72" s="475"/>
      <c r="AP72" s="475"/>
      <c r="AT72" s="475"/>
    </row>
    <row r="73" spans="1:55" ht="21.75" customHeight="1">
      <c r="A73" s="436"/>
      <c r="B73" s="442"/>
      <c r="C73" s="469"/>
      <c r="D73" s="469"/>
      <c r="E73" s="476"/>
      <c r="G73" s="469"/>
      <c r="H73" s="442"/>
      <c r="I73" s="442"/>
      <c r="O73" s="442"/>
      <c r="P73" s="469"/>
      <c r="Q73" s="469"/>
      <c r="U73" s="448"/>
      <c r="V73" s="448"/>
      <c r="W73" s="214"/>
      <c r="X73" s="214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P73" s="215"/>
      <c r="AT73" s="215"/>
    </row>
    <row r="74" spans="1:55" ht="21.75" customHeight="1">
      <c r="A74" s="436"/>
      <c r="B74" s="442"/>
      <c r="C74" s="469"/>
      <c r="D74" s="442"/>
      <c r="E74" s="442"/>
      <c r="G74" s="469"/>
      <c r="H74" s="442"/>
      <c r="I74" s="442"/>
      <c r="O74" s="442"/>
      <c r="P74" s="442"/>
      <c r="Q74" s="469"/>
      <c r="U74" s="448"/>
      <c r="V74" s="448"/>
      <c r="W74" s="214"/>
      <c r="X74" s="214"/>
      <c r="Y74" s="477"/>
      <c r="Z74" s="477"/>
      <c r="AA74" s="477"/>
      <c r="AB74" s="477"/>
      <c r="AC74" s="477"/>
      <c r="AD74" s="477"/>
      <c r="AE74" s="477"/>
      <c r="AF74" s="477"/>
      <c r="AG74" s="477"/>
      <c r="AH74" s="215"/>
      <c r="AI74" s="477"/>
      <c r="AJ74" s="477"/>
      <c r="AK74" s="477"/>
      <c r="AP74" s="477"/>
      <c r="AT74" s="477"/>
    </row>
    <row r="75" spans="1:55" ht="21.75" customHeight="1">
      <c r="A75" s="436"/>
      <c r="B75" s="442"/>
      <c r="C75" s="469"/>
      <c r="D75" s="469"/>
      <c r="E75" s="478"/>
      <c r="G75" s="442"/>
      <c r="H75" s="442"/>
      <c r="I75" s="442"/>
      <c r="O75" s="442"/>
      <c r="P75" s="442"/>
      <c r="Q75" s="469"/>
      <c r="U75" s="448"/>
      <c r="V75" s="448"/>
      <c r="W75" s="214"/>
      <c r="X75" s="214"/>
      <c r="Y75" s="469"/>
      <c r="Z75" s="469"/>
      <c r="AA75" s="469"/>
      <c r="AB75" s="469"/>
      <c r="AC75" s="469"/>
      <c r="AD75" s="469"/>
      <c r="AE75" s="469"/>
      <c r="AF75" s="469"/>
      <c r="AG75" s="469"/>
      <c r="AH75" s="440"/>
      <c r="AI75" s="469"/>
      <c r="AJ75" s="469"/>
      <c r="AK75" s="469"/>
      <c r="AP75" s="469"/>
      <c r="AT75" s="469"/>
    </row>
    <row r="76" spans="1:55" ht="21.75" customHeight="1">
      <c r="A76" s="436"/>
      <c r="B76" s="442"/>
      <c r="C76" s="476"/>
      <c r="D76" s="479"/>
      <c r="E76" s="478"/>
      <c r="F76" s="443"/>
      <c r="G76" s="476"/>
      <c r="H76" s="471"/>
      <c r="I76" s="480"/>
      <c r="J76" s="443"/>
      <c r="K76" s="443"/>
      <c r="L76" s="443"/>
      <c r="M76" s="443"/>
      <c r="N76" s="443"/>
      <c r="O76" s="476"/>
      <c r="P76" s="442"/>
      <c r="Q76" s="469"/>
      <c r="S76" s="476"/>
      <c r="U76" s="448"/>
      <c r="V76" s="448"/>
      <c r="W76" s="476"/>
      <c r="X76" s="214"/>
      <c r="Y76" s="469"/>
      <c r="Z76" s="469"/>
      <c r="AA76" s="469"/>
      <c r="AB76" s="469"/>
      <c r="AC76" s="469"/>
      <c r="AD76" s="469"/>
      <c r="AE76" s="469"/>
      <c r="AF76" s="469"/>
      <c r="AG76" s="469"/>
      <c r="AH76" s="440"/>
      <c r="AI76" s="469"/>
      <c r="AJ76" s="469"/>
      <c r="AK76" s="469"/>
      <c r="AP76" s="469"/>
      <c r="AT76" s="469"/>
    </row>
    <row r="77" spans="1:55" ht="21.75" customHeight="1">
      <c r="A77" s="436"/>
      <c r="B77" s="442"/>
      <c r="C77" s="476"/>
      <c r="D77" s="442"/>
      <c r="E77" s="442"/>
      <c r="G77" s="442"/>
      <c r="H77" s="442"/>
      <c r="I77" s="442"/>
      <c r="O77" s="442"/>
      <c r="P77" s="469"/>
      <c r="Q77" s="469"/>
      <c r="U77" s="448"/>
      <c r="V77" s="448"/>
      <c r="W77" s="214"/>
      <c r="X77" s="214"/>
      <c r="Y77" s="442"/>
      <c r="Z77" s="442"/>
      <c r="AA77" s="442"/>
      <c r="AB77" s="442"/>
      <c r="AC77" s="442"/>
      <c r="AD77" s="442"/>
      <c r="AE77" s="442"/>
      <c r="AF77" s="442"/>
      <c r="AG77" s="442"/>
      <c r="AI77" s="442"/>
      <c r="AJ77" s="442"/>
      <c r="AK77" s="442"/>
      <c r="AP77" s="442"/>
      <c r="AT77" s="442"/>
    </row>
    <row r="78" spans="1:55" ht="21.75" customHeight="1">
      <c r="A78" s="436"/>
      <c r="B78" s="442"/>
      <c r="C78" s="469"/>
      <c r="D78" s="214"/>
      <c r="E78" s="214"/>
      <c r="G78" s="442"/>
      <c r="H78" s="442"/>
      <c r="I78" s="442"/>
      <c r="O78" s="442"/>
      <c r="P78" s="469"/>
      <c r="Q78" s="469"/>
      <c r="U78" s="448"/>
      <c r="V78" s="448"/>
      <c r="W78" s="214"/>
      <c r="X78" s="214"/>
      <c r="Y78" s="442"/>
      <c r="Z78" s="442"/>
      <c r="AA78" s="442"/>
      <c r="AB78" s="442"/>
      <c r="AC78" s="442"/>
      <c r="AD78" s="442"/>
      <c r="AE78" s="442"/>
      <c r="AF78" s="442"/>
      <c r="AG78" s="442"/>
      <c r="AI78" s="442"/>
      <c r="AJ78" s="442"/>
      <c r="AK78" s="442"/>
      <c r="AP78" s="442"/>
      <c r="AT78" s="442"/>
    </row>
    <row r="79" spans="1:55" ht="21.75" customHeight="1">
      <c r="A79" s="436"/>
      <c r="B79" s="442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442"/>
      <c r="AE79" s="214"/>
      <c r="AF79" s="214"/>
      <c r="AG79" s="214"/>
      <c r="AI79" s="214"/>
      <c r="AJ79" s="214"/>
      <c r="AK79" s="214"/>
      <c r="AP79" s="214"/>
      <c r="AT79" s="214"/>
    </row>
    <row r="80" spans="1:55" ht="21.75" customHeight="1">
      <c r="A80" s="436"/>
      <c r="B80" s="442"/>
      <c r="C80" s="442"/>
      <c r="D80" s="214"/>
      <c r="E80" s="214"/>
      <c r="G80" s="442"/>
      <c r="H80" s="442"/>
      <c r="I80" s="442"/>
      <c r="O80" s="442"/>
      <c r="P80" s="442"/>
      <c r="Q80" s="469"/>
      <c r="W80" s="442"/>
      <c r="X80" s="442"/>
      <c r="Y80" s="442"/>
      <c r="Z80" s="442"/>
      <c r="AA80" s="442"/>
      <c r="AB80" s="442"/>
      <c r="AC80" s="442"/>
      <c r="AD80" s="442"/>
      <c r="AE80" s="442"/>
      <c r="AF80" s="442"/>
      <c r="AG80" s="442"/>
      <c r="AI80" s="442"/>
      <c r="AJ80" s="442"/>
      <c r="AK80" s="442"/>
      <c r="AP80" s="442"/>
      <c r="AT80" s="442"/>
    </row>
    <row r="81" spans="1:46" ht="21.75" customHeight="1">
      <c r="A81" s="436"/>
      <c r="B81" s="442"/>
      <c r="C81" s="442"/>
      <c r="D81" s="442"/>
      <c r="E81" s="442"/>
      <c r="G81" s="442"/>
      <c r="H81" s="442"/>
      <c r="I81" s="442"/>
      <c r="O81" s="442"/>
      <c r="P81" s="442"/>
      <c r="Q81" s="442"/>
      <c r="W81" s="214"/>
      <c r="X81" s="214"/>
      <c r="Y81" s="442"/>
      <c r="Z81" s="442"/>
      <c r="AA81" s="442"/>
      <c r="AB81" s="442"/>
      <c r="AC81" s="442"/>
      <c r="AD81" s="442"/>
      <c r="AE81" s="442"/>
      <c r="AF81" s="442"/>
      <c r="AG81" s="442"/>
      <c r="AI81" s="442"/>
      <c r="AJ81" s="442"/>
      <c r="AK81" s="442"/>
      <c r="AP81" s="442"/>
      <c r="AT81" s="442"/>
    </row>
    <row r="82" spans="1:46" ht="21.75" customHeight="1">
      <c r="A82" s="436"/>
      <c r="B82" s="442"/>
      <c r="C82" s="442"/>
      <c r="D82" s="214"/>
      <c r="E82" s="214"/>
      <c r="G82" s="442"/>
      <c r="H82" s="442"/>
      <c r="I82" s="442"/>
      <c r="O82" s="442"/>
      <c r="P82" s="442"/>
      <c r="Q82" s="442"/>
      <c r="W82" s="214"/>
      <c r="X82" s="214"/>
      <c r="Y82" s="442"/>
      <c r="Z82" s="442"/>
      <c r="AA82" s="442"/>
      <c r="AB82" s="442"/>
      <c r="AC82" s="442"/>
      <c r="AD82" s="442"/>
      <c r="AE82" s="442"/>
      <c r="AF82" s="442"/>
      <c r="AG82" s="442"/>
      <c r="AI82" s="442"/>
      <c r="AJ82" s="442"/>
      <c r="AK82" s="442"/>
      <c r="AP82" s="442"/>
      <c r="AT82" s="442"/>
    </row>
    <row r="83" spans="1:46" ht="21.75" customHeight="1">
      <c r="A83" s="436"/>
      <c r="B83" s="442"/>
      <c r="C83" s="442"/>
      <c r="D83" s="442"/>
      <c r="E83" s="442"/>
      <c r="G83" s="442"/>
      <c r="H83" s="442"/>
      <c r="I83" s="442"/>
      <c r="O83" s="442"/>
      <c r="P83" s="442"/>
      <c r="Q83" s="442"/>
      <c r="W83" s="214"/>
      <c r="X83" s="214"/>
      <c r="Y83" s="442"/>
      <c r="Z83" s="442"/>
      <c r="AA83" s="442"/>
      <c r="AB83" s="442"/>
      <c r="AC83" s="442"/>
      <c r="AD83" s="442"/>
      <c r="AE83" s="442"/>
      <c r="AF83" s="442"/>
      <c r="AG83" s="442"/>
      <c r="AI83" s="442"/>
      <c r="AJ83" s="442"/>
      <c r="AK83" s="442"/>
      <c r="AP83" s="442"/>
      <c r="AT83" s="442"/>
    </row>
    <row r="84" spans="1:46" ht="21.75" customHeight="1">
      <c r="A84" s="436"/>
      <c r="B84" s="442"/>
      <c r="C84" s="442"/>
      <c r="D84" s="442"/>
      <c r="E84" s="442"/>
      <c r="G84" s="442"/>
      <c r="H84" s="442"/>
      <c r="I84" s="442"/>
      <c r="O84" s="442"/>
      <c r="P84" s="442"/>
      <c r="Q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I84" s="442"/>
      <c r="AJ84" s="442"/>
      <c r="AK84" s="442"/>
      <c r="AP84" s="442"/>
      <c r="AT84" s="442"/>
    </row>
    <row r="85" spans="1:46" ht="21.75" customHeight="1">
      <c r="A85" s="436"/>
      <c r="B85" s="442"/>
      <c r="C85" s="442"/>
      <c r="D85" s="442"/>
      <c r="E85" s="442"/>
      <c r="G85" s="442"/>
      <c r="H85" s="442"/>
      <c r="I85" s="442"/>
      <c r="O85" s="442"/>
      <c r="P85" s="442"/>
      <c r="Q85" s="442"/>
      <c r="W85" s="442"/>
      <c r="X85" s="469"/>
      <c r="Y85" s="442"/>
      <c r="Z85" s="442"/>
      <c r="AA85" s="442"/>
      <c r="AB85" s="442"/>
      <c r="AC85" s="442"/>
      <c r="AD85" s="442"/>
      <c r="AE85" s="442"/>
      <c r="AF85" s="442"/>
      <c r="AG85" s="442"/>
      <c r="AI85" s="442"/>
      <c r="AJ85" s="442"/>
      <c r="AK85" s="442"/>
      <c r="AP85" s="442"/>
      <c r="AT85" s="442"/>
    </row>
    <row r="86" spans="1:46" ht="21.75" customHeight="1">
      <c r="A86" s="436"/>
      <c r="B86" s="442"/>
      <c r="C86" s="442"/>
      <c r="D86" s="442"/>
      <c r="E86" s="442"/>
      <c r="G86" s="442"/>
      <c r="H86" s="442"/>
      <c r="I86" s="442"/>
      <c r="O86" s="442"/>
      <c r="P86" s="442"/>
      <c r="Q86" s="442"/>
      <c r="W86" s="442"/>
      <c r="X86" s="442"/>
      <c r="Y86" s="442"/>
      <c r="Z86" s="442"/>
      <c r="AA86" s="442"/>
      <c r="AB86" s="442"/>
      <c r="AC86" s="442"/>
      <c r="AD86" s="442"/>
      <c r="AE86" s="442"/>
      <c r="AF86" s="442"/>
      <c r="AG86" s="442"/>
      <c r="AI86" s="442"/>
      <c r="AJ86" s="442"/>
      <c r="AK86" s="442"/>
      <c r="AP86" s="442"/>
      <c r="AT86" s="442"/>
    </row>
    <row r="87" spans="1:46" ht="21.75" customHeight="1">
      <c r="A87" s="436"/>
      <c r="B87" s="442"/>
      <c r="C87" s="442"/>
      <c r="D87" s="442"/>
      <c r="E87" s="442"/>
      <c r="G87" s="442"/>
      <c r="H87" s="442"/>
      <c r="I87" s="442"/>
      <c r="O87" s="442"/>
      <c r="P87" s="442"/>
      <c r="Q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I87" s="442"/>
      <c r="AJ87" s="442"/>
      <c r="AK87" s="442"/>
      <c r="AP87" s="442"/>
      <c r="AT87" s="442"/>
    </row>
    <row r="88" spans="1:46" ht="21.75" customHeight="1">
      <c r="A88" s="436"/>
      <c r="B88" s="442"/>
      <c r="C88" s="442"/>
      <c r="D88" s="442"/>
      <c r="E88" s="442"/>
      <c r="G88" s="442"/>
      <c r="H88" s="442"/>
      <c r="I88" s="442"/>
      <c r="O88" s="442"/>
      <c r="P88" s="442"/>
      <c r="Q88" s="442"/>
      <c r="W88" s="442"/>
      <c r="X88" s="442"/>
      <c r="Y88" s="442"/>
      <c r="Z88" s="442"/>
      <c r="AA88" s="442"/>
      <c r="AB88" s="442"/>
      <c r="AC88" s="442"/>
      <c r="AD88" s="442"/>
      <c r="AE88" s="442"/>
      <c r="AF88" s="442"/>
      <c r="AG88" s="442"/>
      <c r="AI88" s="442"/>
      <c r="AJ88" s="442"/>
      <c r="AK88" s="442"/>
      <c r="AP88" s="442"/>
      <c r="AT88" s="442"/>
    </row>
    <row r="89" spans="1:46" ht="21.75" customHeight="1">
      <c r="A89" s="436"/>
      <c r="B89" s="442"/>
      <c r="C89" s="442"/>
      <c r="D89" s="442"/>
      <c r="E89" s="442"/>
      <c r="G89" s="442"/>
      <c r="H89" s="442"/>
      <c r="I89" s="442"/>
      <c r="O89" s="442"/>
      <c r="P89" s="442"/>
      <c r="Q89" s="442"/>
      <c r="W89" s="442"/>
      <c r="X89" s="442"/>
      <c r="Y89" s="442"/>
      <c r="Z89" s="442"/>
      <c r="AA89" s="442"/>
      <c r="AB89" s="442"/>
      <c r="AC89" s="442"/>
      <c r="AD89" s="442"/>
      <c r="AE89" s="442"/>
      <c r="AF89" s="442"/>
      <c r="AG89" s="442"/>
      <c r="AI89" s="442"/>
      <c r="AJ89" s="442"/>
      <c r="AK89" s="442"/>
      <c r="AP89" s="442"/>
      <c r="AT89" s="442"/>
    </row>
    <row r="90" spans="1:46" ht="21.75" customHeight="1">
      <c r="A90" s="436"/>
      <c r="B90" s="442"/>
      <c r="C90" s="442"/>
      <c r="D90" s="442"/>
      <c r="E90" s="442"/>
      <c r="G90" s="442"/>
      <c r="H90" s="442"/>
      <c r="I90" s="442"/>
      <c r="O90" s="442"/>
      <c r="P90" s="442"/>
      <c r="Q90" s="442"/>
      <c r="W90" s="442"/>
      <c r="X90" s="442"/>
      <c r="Y90" s="442"/>
      <c r="Z90" s="442"/>
      <c r="AA90" s="442"/>
      <c r="AB90" s="442"/>
      <c r="AC90" s="442"/>
      <c r="AD90" s="442"/>
      <c r="AE90" s="442"/>
      <c r="AF90" s="442"/>
      <c r="AG90" s="442"/>
      <c r="AI90" s="442"/>
      <c r="AJ90" s="442"/>
      <c r="AK90" s="442"/>
      <c r="AP90" s="442"/>
      <c r="AT90" s="442"/>
    </row>
    <row r="91" spans="1:46" ht="21.75" customHeight="1">
      <c r="A91" s="436"/>
      <c r="B91" s="442"/>
      <c r="C91" s="442"/>
      <c r="D91" s="442"/>
      <c r="E91" s="442"/>
      <c r="G91" s="442"/>
      <c r="H91" s="442"/>
      <c r="I91" s="442"/>
      <c r="O91" s="442"/>
      <c r="P91" s="442"/>
      <c r="Q91" s="442"/>
      <c r="W91" s="442"/>
      <c r="X91" s="442"/>
      <c r="Y91" s="442"/>
      <c r="Z91" s="442"/>
      <c r="AA91" s="442"/>
      <c r="AB91" s="442"/>
      <c r="AC91" s="442"/>
      <c r="AD91" s="442"/>
      <c r="AE91" s="442"/>
      <c r="AF91" s="442"/>
      <c r="AG91" s="442"/>
      <c r="AI91" s="442"/>
      <c r="AJ91" s="442"/>
      <c r="AK91" s="442"/>
      <c r="AP91" s="442"/>
      <c r="AT91" s="442"/>
    </row>
    <row r="92" spans="1:46" ht="21.75" customHeight="1">
      <c r="A92" s="436"/>
      <c r="B92" s="442"/>
      <c r="C92" s="442"/>
      <c r="D92" s="442"/>
      <c r="E92" s="442"/>
      <c r="G92" s="442"/>
      <c r="H92" s="442"/>
      <c r="I92" s="442"/>
      <c r="O92" s="442"/>
      <c r="P92" s="442"/>
      <c r="Q92" s="442"/>
      <c r="W92" s="442"/>
      <c r="X92" s="442"/>
      <c r="Y92" s="442"/>
      <c r="Z92" s="442"/>
      <c r="AA92" s="442"/>
      <c r="AB92" s="442"/>
      <c r="AC92" s="442"/>
      <c r="AD92" s="442"/>
      <c r="AE92" s="442"/>
      <c r="AF92" s="442"/>
      <c r="AG92" s="442"/>
      <c r="AI92" s="442"/>
      <c r="AJ92" s="442"/>
      <c r="AK92" s="442"/>
      <c r="AP92" s="442"/>
      <c r="AT92" s="442"/>
    </row>
    <row r="93" spans="1:46" ht="21.75" customHeight="1">
      <c r="A93" s="436"/>
      <c r="B93" s="442"/>
      <c r="C93" s="442"/>
      <c r="D93" s="442"/>
      <c r="E93" s="442"/>
      <c r="G93" s="442"/>
      <c r="H93" s="442"/>
      <c r="I93" s="442"/>
      <c r="O93" s="442"/>
      <c r="P93" s="442"/>
      <c r="Q93" s="442"/>
      <c r="W93" s="442"/>
      <c r="X93" s="442"/>
      <c r="Y93" s="442"/>
      <c r="Z93" s="442"/>
      <c r="AA93" s="442"/>
      <c r="AB93" s="442"/>
      <c r="AC93" s="442"/>
      <c r="AD93" s="442"/>
      <c r="AE93" s="442"/>
      <c r="AF93" s="442"/>
      <c r="AG93" s="442"/>
      <c r="AI93" s="442"/>
      <c r="AJ93" s="442"/>
      <c r="AK93" s="442"/>
      <c r="AP93" s="442"/>
      <c r="AT93" s="442"/>
    </row>
    <row r="94" spans="1:46" ht="21.75" customHeight="1">
      <c r="A94" s="436"/>
      <c r="B94" s="442"/>
      <c r="C94" s="442"/>
      <c r="D94" s="442"/>
      <c r="E94" s="442"/>
      <c r="G94" s="442"/>
      <c r="H94" s="442"/>
      <c r="I94" s="442"/>
      <c r="O94" s="442"/>
      <c r="P94" s="442"/>
      <c r="Q94" s="442"/>
      <c r="W94" s="442"/>
      <c r="X94" s="442"/>
      <c r="Y94" s="442"/>
      <c r="Z94" s="442"/>
      <c r="AA94" s="442"/>
      <c r="AB94" s="442"/>
      <c r="AC94" s="442"/>
      <c r="AD94" s="442"/>
      <c r="AE94" s="442"/>
      <c r="AF94" s="442"/>
      <c r="AG94" s="442"/>
      <c r="AI94" s="442"/>
      <c r="AJ94" s="442"/>
      <c r="AK94" s="442"/>
      <c r="AP94" s="442"/>
      <c r="AT94" s="442"/>
    </row>
    <row r="95" spans="1:46" ht="21.75" customHeight="1">
      <c r="A95" s="436"/>
      <c r="B95" s="442"/>
      <c r="C95" s="442"/>
      <c r="D95" s="442"/>
      <c r="E95" s="442"/>
      <c r="G95" s="442"/>
      <c r="H95" s="442"/>
      <c r="I95" s="442"/>
      <c r="O95" s="442"/>
      <c r="P95" s="442"/>
      <c r="Q95" s="442"/>
      <c r="W95" s="442"/>
      <c r="X95" s="442"/>
      <c r="Y95" s="442"/>
      <c r="Z95" s="442"/>
      <c r="AA95" s="442"/>
      <c r="AB95" s="442"/>
      <c r="AC95" s="442"/>
      <c r="AD95" s="442"/>
      <c r="AE95" s="442"/>
      <c r="AF95" s="442"/>
      <c r="AG95" s="442"/>
      <c r="AI95" s="442"/>
      <c r="AJ95" s="442"/>
      <c r="AK95" s="442"/>
      <c r="AP95" s="442"/>
      <c r="AT95" s="442"/>
    </row>
    <row r="96" spans="1:46" ht="21.75" customHeight="1">
      <c r="A96" s="436"/>
      <c r="B96" s="442"/>
      <c r="C96" s="442"/>
      <c r="D96" s="442"/>
      <c r="E96" s="442"/>
      <c r="G96" s="442"/>
      <c r="H96" s="442"/>
      <c r="I96" s="442"/>
      <c r="O96" s="442"/>
      <c r="P96" s="442"/>
      <c r="Q96" s="442"/>
      <c r="W96" s="442"/>
      <c r="X96" s="442"/>
      <c r="Y96" s="442"/>
      <c r="Z96" s="442"/>
      <c r="AA96" s="442"/>
      <c r="AB96" s="442"/>
      <c r="AC96" s="442"/>
      <c r="AD96" s="442"/>
      <c r="AE96" s="442"/>
      <c r="AF96" s="442"/>
      <c r="AG96" s="442"/>
      <c r="AI96" s="442"/>
      <c r="AJ96" s="442"/>
      <c r="AK96" s="442"/>
      <c r="AP96" s="442"/>
      <c r="AT96" s="442"/>
    </row>
    <row r="97" spans="1:53" ht="21.75" customHeight="1">
      <c r="A97" s="436"/>
      <c r="B97" s="442"/>
      <c r="C97" s="442"/>
      <c r="D97" s="442"/>
      <c r="E97" s="442"/>
      <c r="G97" s="442"/>
      <c r="H97" s="442"/>
      <c r="I97" s="442"/>
      <c r="O97" s="442"/>
      <c r="P97" s="442"/>
      <c r="Q97" s="442"/>
      <c r="W97" s="442"/>
      <c r="X97" s="442"/>
      <c r="Y97" s="442"/>
      <c r="Z97" s="442"/>
      <c r="AA97" s="442"/>
      <c r="AB97" s="442"/>
      <c r="AC97" s="442"/>
      <c r="AD97" s="442"/>
      <c r="AE97" s="442"/>
      <c r="AF97" s="442"/>
      <c r="AG97" s="442"/>
      <c r="AI97" s="442"/>
      <c r="AJ97" s="442"/>
      <c r="AK97" s="442"/>
      <c r="AP97" s="442"/>
      <c r="AT97" s="442"/>
    </row>
    <row r="98" spans="1:53" ht="21.75" customHeight="1">
      <c r="A98" s="436"/>
      <c r="B98" s="442"/>
      <c r="C98" s="442"/>
      <c r="D98" s="442"/>
      <c r="E98" s="442"/>
      <c r="G98" s="442"/>
      <c r="H98" s="442"/>
      <c r="I98" s="442"/>
      <c r="O98" s="442"/>
      <c r="P98" s="442"/>
      <c r="Q98" s="442"/>
      <c r="W98" s="442"/>
      <c r="X98" s="442"/>
      <c r="Y98" s="442"/>
      <c r="Z98" s="442"/>
      <c r="AA98" s="442"/>
      <c r="AB98" s="442"/>
      <c r="AC98" s="442"/>
      <c r="AD98" s="442"/>
      <c r="AE98" s="442"/>
      <c r="AF98" s="442"/>
      <c r="AG98" s="442"/>
      <c r="AI98" s="442"/>
      <c r="AJ98" s="442"/>
      <c r="AK98" s="442"/>
      <c r="AP98" s="442"/>
      <c r="AT98" s="442"/>
    </row>
    <row r="99" spans="1:53" ht="21.75" customHeight="1">
      <c r="A99" s="436"/>
      <c r="B99" s="442"/>
      <c r="C99" s="442"/>
      <c r="D99" s="442"/>
      <c r="E99" s="442"/>
      <c r="G99" s="442"/>
      <c r="H99" s="442"/>
      <c r="I99" s="442"/>
      <c r="O99" s="442"/>
      <c r="P99" s="442"/>
      <c r="Q99" s="442"/>
      <c r="W99" s="442"/>
      <c r="X99" s="442"/>
      <c r="Y99" s="442"/>
      <c r="Z99" s="442"/>
      <c r="AA99" s="442"/>
      <c r="AB99" s="442"/>
      <c r="AC99" s="442"/>
      <c r="AD99" s="442"/>
      <c r="AE99" s="442"/>
      <c r="AF99" s="442"/>
      <c r="AG99" s="442"/>
      <c r="AI99" s="442"/>
      <c r="AJ99" s="442"/>
      <c r="AK99" s="442"/>
      <c r="AP99" s="442"/>
      <c r="AT99" s="442"/>
    </row>
    <row r="100" spans="1:53" ht="21.75" customHeight="1">
      <c r="A100" s="436"/>
      <c r="B100" s="442"/>
      <c r="C100" s="442"/>
      <c r="D100" s="442"/>
      <c r="E100" s="442"/>
      <c r="G100" s="442"/>
      <c r="H100" s="442"/>
      <c r="I100" s="442"/>
      <c r="O100" s="442"/>
      <c r="P100" s="442"/>
      <c r="Q100" s="442"/>
      <c r="W100" s="442"/>
      <c r="X100" s="442"/>
      <c r="Y100" s="442"/>
      <c r="Z100" s="442"/>
      <c r="AA100" s="442"/>
      <c r="AB100" s="442"/>
      <c r="AC100" s="442"/>
      <c r="AD100" s="442"/>
      <c r="AE100" s="442"/>
      <c r="AF100" s="442"/>
      <c r="AG100" s="442"/>
      <c r="AI100" s="442"/>
      <c r="AJ100" s="442"/>
      <c r="AK100" s="442"/>
      <c r="AP100" s="442"/>
      <c r="AT100" s="442"/>
    </row>
    <row r="101" spans="1:53" ht="21.75" customHeight="1">
      <c r="A101" s="436"/>
      <c r="B101" s="442"/>
      <c r="C101" s="442"/>
      <c r="D101" s="442"/>
      <c r="E101" s="442"/>
      <c r="G101" s="442"/>
      <c r="H101" s="442"/>
      <c r="I101" s="442"/>
      <c r="O101" s="442"/>
      <c r="P101" s="442"/>
      <c r="Q101" s="442"/>
      <c r="W101" s="442"/>
      <c r="X101" s="442"/>
      <c r="Y101" s="442"/>
      <c r="Z101" s="442"/>
      <c r="AA101" s="442"/>
      <c r="AB101" s="442"/>
      <c r="AC101" s="442"/>
      <c r="AD101" s="442"/>
      <c r="AE101" s="442"/>
      <c r="AF101" s="442"/>
      <c r="AG101" s="442"/>
      <c r="AI101" s="442"/>
      <c r="AJ101" s="442"/>
      <c r="AK101" s="442"/>
      <c r="AP101" s="442"/>
      <c r="AT101" s="442"/>
    </row>
    <row r="102" spans="1:53" ht="21.75" customHeight="1">
      <c r="A102" s="436"/>
      <c r="B102" s="442"/>
      <c r="C102" s="442"/>
      <c r="D102" s="442"/>
      <c r="E102" s="442"/>
      <c r="G102" s="442"/>
      <c r="H102" s="442"/>
      <c r="I102" s="442"/>
      <c r="O102" s="442"/>
      <c r="P102" s="442"/>
      <c r="Q102" s="442"/>
      <c r="W102" s="442"/>
      <c r="X102" s="442"/>
      <c r="Y102" s="442"/>
      <c r="Z102" s="442"/>
      <c r="AA102" s="442"/>
      <c r="AB102" s="442"/>
      <c r="AC102" s="442"/>
      <c r="AD102" s="442"/>
      <c r="AE102" s="442"/>
      <c r="AF102" s="442"/>
      <c r="AG102" s="442"/>
      <c r="AI102" s="442"/>
      <c r="AJ102" s="442"/>
      <c r="AK102" s="442"/>
      <c r="AP102" s="442"/>
      <c r="AT102" s="442"/>
    </row>
    <row r="103" spans="1:53" ht="21.75" customHeight="1">
      <c r="A103" s="436"/>
      <c r="B103" s="442"/>
      <c r="C103" s="442"/>
      <c r="D103" s="442"/>
      <c r="E103" s="442"/>
      <c r="G103" s="442"/>
      <c r="H103" s="442"/>
      <c r="I103" s="442"/>
      <c r="O103" s="442"/>
      <c r="P103" s="442"/>
      <c r="Q103" s="442"/>
      <c r="W103" s="442"/>
      <c r="X103" s="442"/>
      <c r="Y103" s="442"/>
      <c r="Z103" s="442"/>
      <c r="AA103" s="442"/>
      <c r="AB103" s="442"/>
      <c r="AC103" s="442"/>
      <c r="AD103" s="442"/>
      <c r="AE103" s="442"/>
      <c r="AF103" s="442"/>
      <c r="AG103" s="442"/>
      <c r="AI103" s="442"/>
      <c r="AJ103" s="442"/>
      <c r="AK103" s="442"/>
      <c r="AP103" s="442"/>
      <c r="AT103" s="442"/>
    </row>
    <row r="104" spans="1:53" ht="21.75" customHeight="1">
      <c r="A104" s="436"/>
      <c r="B104" s="442"/>
      <c r="C104" s="442"/>
      <c r="D104" s="442"/>
      <c r="E104" s="442"/>
      <c r="G104" s="442"/>
      <c r="H104" s="442"/>
      <c r="I104" s="442"/>
      <c r="O104" s="442"/>
      <c r="P104" s="442"/>
      <c r="Q104" s="442"/>
      <c r="W104" s="442"/>
      <c r="X104" s="442"/>
      <c r="Y104" s="442"/>
      <c r="Z104" s="442"/>
      <c r="AA104" s="442"/>
      <c r="AB104" s="442"/>
      <c r="AC104" s="442"/>
      <c r="AD104" s="442"/>
      <c r="AE104" s="442"/>
      <c r="AF104" s="442"/>
      <c r="AG104" s="442"/>
      <c r="AI104" s="442"/>
      <c r="AJ104" s="442"/>
      <c r="AK104" s="442"/>
      <c r="AP104" s="442"/>
      <c r="AT104" s="442"/>
    </row>
    <row r="105" spans="1:53" ht="21.75" customHeight="1">
      <c r="A105" s="436"/>
      <c r="B105" s="442"/>
      <c r="C105" s="442"/>
      <c r="D105" s="442"/>
      <c r="E105" s="442"/>
      <c r="G105" s="442"/>
      <c r="H105" s="442"/>
      <c r="I105" s="442"/>
      <c r="O105" s="442"/>
      <c r="P105" s="442"/>
      <c r="Q105" s="442"/>
      <c r="W105" s="442"/>
      <c r="X105" s="442"/>
      <c r="Y105" s="442"/>
      <c r="Z105" s="442"/>
      <c r="AA105" s="442"/>
      <c r="AB105" s="442"/>
      <c r="AC105" s="442"/>
      <c r="AD105" s="442"/>
      <c r="AE105" s="442"/>
      <c r="AF105" s="442"/>
      <c r="AG105" s="442"/>
      <c r="AI105" s="442"/>
      <c r="AJ105" s="442"/>
      <c r="AK105" s="442"/>
      <c r="AP105" s="442"/>
      <c r="AT105" s="442"/>
    </row>
    <row r="106" spans="1:53" ht="21.75" customHeight="1">
      <c r="A106" s="436"/>
      <c r="B106" s="442"/>
      <c r="C106" s="442"/>
      <c r="D106" s="442"/>
      <c r="E106" s="442"/>
      <c r="G106" s="442"/>
      <c r="H106" s="442"/>
      <c r="I106" s="442"/>
      <c r="O106" s="442"/>
      <c r="P106" s="442"/>
      <c r="Q106" s="442"/>
      <c r="W106" s="442"/>
      <c r="X106" s="442"/>
      <c r="Y106" s="442"/>
      <c r="Z106" s="442"/>
      <c r="AA106" s="442"/>
      <c r="AB106" s="442"/>
      <c r="AC106" s="442"/>
      <c r="AD106" s="442"/>
      <c r="AE106" s="442"/>
      <c r="AF106" s="442"/>
      <c r="AG106" s="442"/>
      <c r="AI106" s="442"/>
      <c r="AJ106" s="442"/>
      <c r="AK106" s="442"/>
      <c r="AP106" s="442"/>
      <c r="AT106" s="442"/>
    </row>
    <row r="107" spans="1:53" ht="21.75" customHeight="1">
      <c r="A107" s="436"/>
      <c r="B107" s="442"/>
      <c r="C107" s="442"/>
      <c r="D107" s="442"/>
      <c r="E107" s="442"/>
      <c r="G107" s="442"/>
      <c r="H107" s="442"/>
      <c r="I107" s="442"/>
      <c r="O107" s="442"/>
      <c r="P107" s="442"/>
      <c r="Q107" s="442"/>
      <c r="W107" s="442"/>
      <c r="X107" s="442"/>
      <c r="Y107" s="442"/>
      <c r="Z107" s="442"/>
      <c r="AA107" s="442"/>
      <c r="AB107" s="442"/>
      <c r="AC107" s="442"/>
      <c r="AD107" s="442"/>
      <c r="AE107" s="442"/>
      <c r="AF107" s="442"/>
      <c r="AG107" s="442"/>
      <c r="AI107" s="442"/>
      <c r="AJ107" s="442"/>
      <c r="AK107" s="442"/>
      <c r="AP107" s="442"/>
      <c r="AT107" s="442"/>
    </row>
    <row r="108" spans="1:53" ht="21.75" customHeight="1">
      <c r="A108" s="436"/>
      <c r="B108" s="442"/>
      <c r="C108" s="442"/>
      <c r="D108" s="442"/>
      <c r="E108" s="442"/>
      <c r="G108" s="442"/>
      <c r="H108" s="442"/>
      <c r="I108" s="442"/>
      <c r="O108" s="442"/>
      <c r="P108" s="442"/>
      <c r="Q108" s="442"/>
      <c r="W108" s="442"/>
      <c r="X108" s="442"/>
      <c r="Y108" s="442"/>
      <c r="Z108" s="442"/>
      <c r="AA108" s="442"/>
      <c r="AB108" s="442"/>
      <c r="AC108" s="442"/>
      <c r="AD108" s="442"/>
      <c r="AE108" s="442"/>
      <c r="AF108" s="442"/>
      <c r="AG108" s="442"/>
      <c r="AI108" s="442"/>
      <c r="AJ108" s="442"/>
      <c r="AK108" s="442"/>
      <c r="AP108" s="442"/>
      <c r="AT108" s="442"/>
    </row>
    <row r="109" spans="1:53" ht="21.75" customHeight="1">
      <c r="A109" s="436"/>
      <c r="B109" s="442"/>
      <c r="C109" s="442"/>
      <c r="D109" s="442"/>
      <c r="E109" s="442"/>
      <c r="G109" s="442"/>
      <c r="H109" s="442"/>
      <c r="I109" s="442"/>
      <c r="O109" s="442"/>
      <c r="P109" s="442"/>
      <c r="Q109" s="442"/>
      <c r="W109" s="442"/>
      <c r="X109" s="442"/>
      <c r="Y109" s="442"/>
      <c r="Z109" s="442"/>
      <c r="AA109" s="442"/>
      <c r="AB109" s="442"/>
      <c r="AC109" s="442"/>
      <c r="AD109" s="442"/>
      <c r="AE109" s="442"/>
      <c r="AF109" s="442"/>
      <c r="AG109" s="442"/>
      <c r="AI109" s="442"/>
      <c r="AJ109" s="442"/>
      <c r="AK109" s="442"/>
      <c r="AP109" s="442"/>
      <c r="AT109" s="442"/>
    </row>
    <row r="110" spans="1:53" ht="21.75" customHeight="1">
      <c r="A110" s="436"/>
      <c r="B110" s="442"/>
      <c r="C110" s="442"/>
      <c r="D110" s="442"/>
      <c r="E110" s="442"/>
      <c r="G110" s="442"/>
      <c r="H110" s="442"/>
      <c r="I110" s="442"/>
      <c r="O110" s="442"/>
      <c r="P110" s="442"/>
      <c r="Q110" s="442"/>
      <c r="W110" s="442"/>
      <c r="X110" s="442"/>
      <c r="Y110" s="442"/>
      <c r="Z110" s="442"/>
      <c r="AA110" s="442"/>
      <c r="AB110" s="442"/>
      <c r="AC110" s="442"/>
      <c r="AD110" s="442"/>
      <c r="AE110" s="442"/>
      <c r="AF110" s="442"/>
      <c r="AG110" s="442"/>
      <c r="AI110" s="442"/>
      <c r="AJ110" s="442"/>
      <c r="AK110" s="442"/>
      <c r="AP110" s="442"/>
      <c r="AT110" s="442"/>
    </row>
    <row r="111" spans="1:53" s="442" customFormat="1" ht="21.75" customHeight="1">
      <c r="A111" s="436"/>
      <c r="AH111" s="443"/>
      <c r="AZ111" s="406"/>
      <c r="BA111" s="406"/>
    </row>
    <row r="112" spans="1:53" s="442" customFormat="1" ht="21.75" customHeight="1">
      <c r="A112" s="436"/>
      <c r="AH112" s="443"/>
      <c r="AZ112" s="406"/>
      <c r="BA112" s="406"/>
    </row>
    <row r="113" spans="1:53" s="442" customFormat="1" ht="21.75" customHeight="1">
      <c r="A113" s="436"/>
      <c r="AH113" s="443"/>
      <c r="AZ113" s="406"/>
      <c r="BA113" s="406"/>
    </row>
    <row r="114" spans="1:53" s="442" customFormat="1" ht="21.75" customHeight="1">
      <c r="A114" s="436"/>
      <c r="AH114" s="443"/>
      <c r="AZ114" s="406"/>
      <c r="BA114" s="406"/>
    </row>
    <row r="115" spans="1:53" s="442" customFormat="1" ht="21.75" customHeight="1">
      <c r="A115" s="436"/>
      <c r="AH115" s="443"/>
      <c r="AZ115" s="406"/>
      <c r="BA115" s="406"/>
    </row>
    <row r="116" spans="1:53" s="442" customFormat="1" ht="21.75" customHeight="1">
      <c r="A116" s="436"/>
      <c r="AH116" s="443"/>
      <c r="AZ116" s="406"/>
      <c r="BA116" s="406"/>
    </row>
    <row r="117" spans="1:53" s="442" customFormat="1" ht="21.75" customHeight="1">
      <c r="A117" s="436"/>
      <c r="AH117" s="443"/>
      <c r="AZ117" s="406"/>
      <c r="BA117" s="406"/>
    </row>
    <row r="118" spans="1:53" s="442" customFormat="1" ht="21.75" customHeight="1">
      <c r="A118" s="436"/>
      <c r="AH118" s="443"/>
      <c r="AZ118" s="406"/>
      <c r="BA118" s="406"/>
    </row>
    <row r="119" spans="1:53" s="442" customFormat="1" ht="21.75" customHeight="1">
      <c r="A119" s="436"/>
      <c r="AH119" s="443"/>
      <c r="AZ119" s="406"/>
      <c r="BA119" s="406"/>
    </row>
    <row r="120" spans="1:53" s="442" customFormat="1" ht="21.75" customHeight="1">
      <c r="A120" s="436"/>
      <c r="AH120" s="443"/>
      <c r="AZ120" s="406"/>
      <c r="BA120" s="406"/>
    </row>
    <row r="121" spans="1:53" s="442" customFormat="1" ht="21.75" customHeight="1">
      <c r="A121" s="436"/>
      <c r="AH121" s="443"/>
      <c r="AZ121" s="406"/>
      <c r="BA121" s="406"/>
    </row>
    <row r="122" spans="1:53" s="442" customFormat="1" ht="21.75" customHeight="1">
      <c r="A122" s="436"/>
      <c r="AH122" s="443"/>
      <c r="AZ122" s="406"/>
      <c r="BA122" s="406"/>
    </row>
    <row r="123" spans="1:53" s="442" customFormat="1" ht="21.75" customHeight="1">
      <c r="A123" s="436"/>
      <c r="AH123" s="443"/>
      <c r="AZ123" s="406"/>
      <c r="BA123" s="406"/>
    </row>
    <row r="124" spans="1:53" s="442" customFormat="1" ht="21.75" customHeight="1">
      <c r="A124" s="436"/>
      <c r="AH124" s="443"/>
      <c r="AZ124" s="406"/>
      <c r="BA124" s="406"/>
    </row>
    <row r="125" spans="1:53" s="442" customFormat="1" ht="21.75" customHeight="1">
      <c r="A125" s="436"/>
      <c r="AH125" s="443"/>
      <c r="AZ125" s="406"/>
      <c r="BA125" s="406"/>
    </row>
    <row r="126" spans="1:53" s="442" customFormat="1" ht="21.75" customHeight="1">
      <c r="A126" s="436"/>
      <c r="AH126" s="443"/>
      <c r="AZ126" s="406"/>
      <c r="BA126" s="406"/>
    </row>
    <row r="127" spans="1:53" s="442" customFormat="1" ht="21.75" customHeight="1">
      <c r="A127" s="436"/>
      <c r="AH127" s="443"/>
      <c r="AZ127" s="406"/>
      <c r="BA127" s="406"/>
    </row>
    <row r="128" spans="1:53" s="442" customFormat="1" ht="21.75" customHeight="1">
      <c r="A128" s="436"/>
      <c r="AH128" s="443"/>
      <c r="AZ128" s="406"/>
      <c r="BA128" s="406"/>
    </row>
    <row r="129" spans="1:53" s="442" customFormat="1" ht="21.75" customHeight="1">
      <c r="A129" s="436"/>
      <c r="AH129" s="443"/>
      <c r="AZ129" s="406"/>
      <c r="BA129" s="406"/>
    </row>
    <row r="130" spans="1:53" s="442" customFormat="1" ht="21.75" customHeight="1">
      <c r="A130" s="436"/>
      <c r="AH130" s="443"/>
      <c r="AZ130" s="406"/>
      <c r="BA130" s="406"/>
    </row>
    <row r="131" spans="1:53" s="442" customFormat="1" ht="21.75" customHeight="1">
      <c r="A131" s="436"/>
      <c r="AH131" s="443"/>
      <c r="AZ131" s="406"/>
      <c r="BA131" s="406"/>
    </row>
    <row r="132" spans="1:53" s="442" customFormat="1" ht="21.75" customHeight="1">
      <c r="A132" s="436"/>
      <c r="AH132" s="443"/>
      <c r="AZ132" s="406"/>
      <c r="BA132" s="406"/>
    </row>
    <row r="133" spans="1:53" s="442" customFormat="1" ht="21.75" customHeight="1">
      <c r="A133" s="436"/>
      <c r="AH133" s="443"/>
      <c r="AZ133" s="406"/>
      <c r="BA133" s="406"/>
    </row>
    <row r="134" spans="1:53" s="442" customFormat="1" ht="21.75" customHeight="1">
      <c r="A134" s="436"/>
      <c r="AH134" s="443"/>
      <c r="AZ134" s="406"/>
      <c r="BA134" s="406"/>
    </row>
    <row r="135" spans="1:53" s="442" customFormat="1" ht="21.75" customHeight="1">
      <c r="A135" s="436"/>
      <c r="AH135" s="443"/>
      <c r="AZ135" s="406"/>
      <c r="BA135" s="406"/>
    </row>
    <row r="136" spans="1:53" s="442" customFormat="1" ht="21.75" customHeight="1">
      <c r="A136" s="436"/>
      <c r="AH136" s="443"/>
      <c r="AZ136" s="406"/>
      <c r="BA136" s="406"/>
    </row>
    <row r="137" spans="1:53" s="442" customFormat="1" ht="21.75" customHeight="1">
      <c r="A137" s="436"/>
      <c r="AH137" s="443"/>
      <c r="AZ137" s="406"/>
      <c r="BA137" s="406"/>
    </row>
    <row r="138" spans="1:53" s="442" customFormat="1" ht="21.75" customHeight="1">
      <c r="A138" s="436"/>
      <c r="AH138" s="443"/>
      <c r="AZ138" s="406"/>
      <c r="BA138" s="406"/>
    </row>
    <row r="139" spans="1:53" s="442" customFormat="1" ht="21.75" customHeight="1">
      <c r="A139" s="436"/>
      <c r="AH139" s="443"/>
      <c r="AZ139" s="406"/>
      <c r="BA139" s="406"/>
    </row>
    <row r="140" spans="1:53" s="442" customFormat="1" ht="21.75" customHeight="1">
      <c r="A140" s="436"/>
      <c r="AH140" s="443"/>
      <c r="AZ140" s="406"/>
      <c r="BA140" s="406"/>
    </row>
    <row r="141" spans="1:53" s="442" customFormat="1" ht="21.75" customHeight="1">
      <c r="A141" s="436"/>
      <c r="AH141" s="443"/>
      <c r="AZ141" s="406"/>
      <c r="BA141" s="406"/>
    </row>
    <row r="142" spans="1:53" s="442" customFormat="1" ht="21.75" customHeight="1">
      <c r="A142" s="436"/>
      <c r="AH142" s="443"/>
      <c r="AZ142" s="406"/>
      <c r="BA142" s="406"/>
    </row>
    <row r="143" spans="1:53" s="442" customFormat="1" ht="21.75" customHeight="1">
      <c r="A143" s="436"/>
      <c r="AH143" s="443"/>
      <c r="AZ143" s="406"/>
      <c r="BA143" s="406"/>
    </row>
    <row r="144" spans="1:53" s="442" customFormat="1" ht="21.75" customHeight="1">
      <c r="A144" s="436"/>
      <c r="AH144" s="443"/>
      <c r="AZ144" s="406"/>
      <c r="BA144" s="406"/>
    </row>
    <row r="145" spans="1:53" s="442" customFormat="1" ht="21.75" customHeight="1">
      <c r="A145" s="436"/>
      <c r="AH145" s="443"/>
      <c r="AZ145" s="406"/>
      <c r="BA145" s="406"/>
    </row>
    <row r="146" spans="1:53" s="442" customFormat="1" ht="21.75" customHeight="1">
      <c r="A146" s="436"/>
      <c r="AH146" s="443"/>
      <c r="AZ146" s="406"/>
      <c r="BA146" s="406"/>
    </row>
    <row r="147" spans="1:53" s="442" customFormat="1" ht="21.75" customHeight="1">
      <c r="A147" s="436"/>
      <c r="AH147" s="443"/>
      <c r="AZ147" s="406"/>
      <c r="BA147" s="406"/>
    </row>
    <row r="148" spans="1:53" s="442" customFormat="1" ht="21.75" customHeight="1">
      <c r="A148" s="436"/>
      <c r="AH148" s="443"/>
      <c r="AZ148" s="406"/>
      <c r="BA148" s="406"/>
    </row>
    <row r="149" spans="1:53" s="442" customFormat="1" ht="21.75" customHeight="1">
      <c r="A149" s="436"/>
      <c r="AH149" s="443"/>
      <c r="AZ149" s="406"/>
      <c r="BA149" s="406"/>
    </row>
    <row r="150" spans="1:53" s="442" customFormat="1" ht="21.75" customHeight="1">
      <c r="A150" s="436"/>
      <c r="AH150" s="443"/>
      <c r="AZ150" s="406"/>
      <c r="BA150" s="406"/>
    </row>
    <row r="151" spans="1:53" s="442" customFormat="1" ht="21.75" customHeight="1">
      <c r="A151" s="436"/>
      <c r="AH151" s="443"/>
      <c r="AZ151" s="406"/>
      <c r="BA151" s="406"/>
    </row>
    <row r="152" spans="1:53" s="442" customFormat="1" ht="21.75" customHeight="1">
      <c r="A152" s="436"/>
      <c r="AH152" s="443"/>
      <c r="AZ152" s="406"/>
      <c r="BA152" s="406"/>
    </row>
    <row r="153" spans="1:53" s="442" customFormat="1" ht="21.75" customHeight="1">
      <c r="A153" s="436"/>
      <c r="AH153" s="443"/>
      <c r="AZ153" s="406"/>
      <c r="BA153" s="406"/>
    </row>
    <row r="154" spans="1:53" s="442" customFormat="1" ht="21.75" customHeight="1">
      <c r="A154" s="436"/>
      <c r="AH154" s="443"/>
      <c r="AZ154" s="406"/>
      <c r="BA154" s="406"/>
    </row>
    <row r="155" spans="1:53" s="442" customFormat="1" ht="21.75" customHeight="1">
      <c r="A155" s="436"/>
      <c r="AH155" s="443"/>
      <c r="AZ155" s="406"/>
      <c r="BA155" s="406"/>
    </row>
    <row r="156" spans="1:53" s="442" customFormat="1" ht="21.75" customHeight="1">
      <c r="A156" s="436"/>
      <c r="AH156" s="443"/>
      <c r="AZ156" s="406"/>
      <c r="BA156" s="406"/>
    </row>
    <row r="157" spans="1:53" s="442" customFormat="1" ht="21.75" customHeight="1">
      <c r="A157" s="436"/>
      <c r="AH157" s="443"/>
      <c r="AZ157" s="406"/>
      <c r="BA157" s="406"/>
    </row>
    <row r="158" spans="1:53" s="442" customFormat="1" ht="21.75" customHeight="1">
      <c r="A158" s="436"/>
      <c r="AH158" s="443"/>
      <c r="AZ158" s="406"/>
      <c r="BA158" s="406"/>
    </row>
    <row r="159" spans="1:53" s="442" customFormat="1" ht="21.75" customHeight="1">
      <c r="A159" s="436"/>
      <c r="AH159" s="443"/>
      <c r="AZ159" s="406"/>
      <c r="BA159" s="406"/>
    </row>
    <row r="160" spans="1:53" s="442" customFormat="1" ht="21.75" customHeight="1">
      <c r="A160" s="436"/>
      <c r="AH160" s="443"/>
      <c r="AZ160" s="406"/>
      <c r="BA160" s="406"/>
    </row>
    <row r="161" spans="1:53" s="442" customFormat="1" ht="21.75" customHeight="1">
      <c r="A161" s="436"/>
      <c r="AH161" s="443"/>
      <c r="AZ161" s="406"/>
      <c r="BA161" s="406"/>
    </row>
    <row r="162" spans="1:53" s="442" customFormat="1" ht="21.75" customHeight="1">
      <c r="A162" s="436"/>
      <c r="AH162" s="443"/>
      <c r="AZ162" s="406"/>
      <c r="BA162" s="406"/>
    </row>
    <row r="163" spans="1:53" s="442" customFormat="1" ht="21.75" customHeight="1">
      <c r="A163" s="436"/>
      <c r="AH163" s="443"/>
      <c r="AZ163" s="406"/>
      <c r="BA163" s="406"/>
    </row>
    <row r="164" spans="1:53" s="442" customFormat="1" ht="21.75" customHeight="1">
      <c r="A164" s="436"/>
      <c r="AH164" s="443"/>
      <c r="AZ164" s="406"/>
      <c r="BA164" s="406"/>
    </row>
    <row r="165" spans="1:53" s="442" customFormat="1" ht="21.75" customHeight="1">
      <c r="A165" s="436"/>
      <c r="AH165" s="443"/>
      <c r="AZ165" s="406"/>
      <c r="BA165" s="406"/>
    </row>
    <row r="166" spans="1:53" s="442" customFormat="1" ht="21.75" customHeight="1">
      <c r="A166" s="436"/>
      <c r="AH166" s="443"/>
      <c r="AZ166" s="406"/>
      <c r="BA166" s="406"/>
    </row>
    <row r="167" spans="1:53" s="442" customFormat="1" ht="21.75" customHeight="1">
      <c r="A167" s="436"/>
      <c r="AH167" s="443"/>
      <c r="AZ167" s="406"/>
      <c r="BA167" s="406"/>
    </row>
    <row r="168" spans="1:53" s="442" customFormat="1" ht="21.75" customHeight="1">
      <c r="A168" s="436"/>
      <c r="AH168" s="443"/>
      <c r="AZ168" s="406"/>
      <c r="BA168" s="406"/>
    </row>
    <row r="169" spans="1:53" s="442" customFormat="1" ht="21.75" customHeight="1">
      <c r="A169" s="436"/>
      <c r="AH169" s="443"/>
      <c r="AZ169" s="406"/>
      <c r="BA169" s="406"/>
    </row>
    <row r="170" spans="1:53" s="442" customFormat="1" ht="21.75" customHeight="1">
      <c r="A170" s="436"/>
      <c r="AH170" s="443"/>
      <c r="AZ170" s="406"/>
      <c r="BA170" s="406"/>
    </row>
    <row r="171" spans="1:53" s="442" customFormat="1" ht="21.75" customHeight="1">
      <c r="A171" s="436"/>
      <c r="AH171" s="443"/>
      <c r="AZ171" s="406"/>
      <c r="BA171" s="406"/>
    </row>
    <row r="172" spans="1:53" s="442" customFormat="1" ht="21.75" customHeight="1">
      <c r="A172" s="436"/>
      <c r="AH172" s="443"/>
      <c r="AZ172" s="406"/>
      <c r="BA172" s="406"/>
    </row>
    <row r="173" spans="1:53" s="442" customFormat="1" ht="21.75" customHeight="1">
      <c r="A173" s="436"/>
      <c r="AH173" s="443"/>
      <c r="AZ173" s="406"/>
      <c r="BA173" s="406"/>
    </row>
    <row r="174" spans="1:53" s="442" customFormat="1" ht="21.75" customHeight="1">
      <c r="A174" s="436"/>
      <c r="AH174" s="443"/>
      <c r="AZ174" s="406"/>
      <c r="BA174" s="406"/>
    </row>
  </sheetData>
  <mergeCells count="18">
    <mergeCell ref="C2:U2"/>
    <mergeCell ref="AU4:AW5"/>
    <mergeCell ref="AM4:AO5"/>
    <mergeCell ref="AQ4:AS5"/>
    <mergeCell ref="AM2:AW2"/>
    <mergeCell ref="W4:Y5"/>
    <mergeCell ref="AA4:AC5"/>
    <mergeCell ref="AI4:AK5"/>
    <mergeCell ref="AE4:AG5"/>
    <mergeCell ref="W1:AK2"/>
    <mergeCell ref="AZ4:BB4"/>
    <mergeCell ref="C70:U70"/>
    <mergeCell ref="C71:U71"/>
    <mergeCell ref="C4:E5"/>
    <mergeCell ref="G4:I5"/>
    <mergeCell ref="K4:M5"/>
    <mergeCell ref="O4:Q5"/>
    <mergeCell ref="S4:U5"/>
  </mergeCells>
  <phoneticPr fontId="0" type="noConversion"/>
  <pageMargins left="0.25" right="0.25" top="0.75" bottom="0.75" header="0.3" footer="0.3"/>
  <pageSetup paperSize="17" scale="28" orientation="landscape" r:id="rId1"/>
  <headerFooter alignWithMargins="0"/>
  <colBreaks count="2" manualBreakCount="2">
    <brk id="37" max="70" man="1"/>
    <brk id="49" min="1" max="65" man="1"/>
  </colBreaks>
  <ignoredErrors>
    <ignoredError sqref="AG7 AG20 AG36 AG52 AG6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Q84"/>
  <sheetViews>
    <sheetView zoomScale="95" zoomScaleNormal="95" workbookViewId="0">
      <pane xSplit="1" ySplit="2" topLeftCell="B3" activePane="bottomRight" state="frozen"/>
      <selection activeCell="BU19" sqref="BU19"/>
      <selection pane="topRight" activeCell="BU19" sqref="BU19"/>
      <selection pane="bottomLeft" activeCell="BU19" sqref="BU19"/>
      <selection pane="bottomRight" activeCell="B3" sqref="B3"/>
    </sheetView>
  </sheetViews>
  <sheetFormatPr defaultRowHeight="14.25"/>
  <cols>
    <col min="1" max="1" width="9.140625" style="23"/>
    <col min="2" max="8" width="22.85546875" style="23" customWidth="1"/>
    <col min="9" max="13" width="24.85546875" style="23" customWidth="1"/>
    <col min="14" max="15" width="24.85546875" style="514" customWidth="1"/>
    <col min="16" max="19" width="24.5703125" style="23" customWidth="1"/>
    <col min="20" max="23" width="25" style="23" customWidth="1"/>
    <col min="24" max="24" width="25.28515625" style="23" bestFit="1" customWidth="1"/>
    <col min="25" max="25" width="30" style="23" customWidth="1"/>
    <col min="26" max="26" width="28.140625" style="23" customWidth="1"/>
    <col min="27" max="27" width="29.85546875" style="23" customWidth="1"/>
    <col min="28" max="28" width="22.7109375" style="23" customWidth="1"/>
    <col min="29" max="29" width="20.5703125" style="1" customWidth="1"/>
    <col min="30" max="30" width="13.7109375" style="1" bestFit="1" customWidth="1"/>
    <col min="31" max="31" width="16.28515625" style="1" customWidth="1"/>
    <col min="32" max="32" width="9.140625" style="1"/>
    <col min="33" max="33" width="10.5703125" style="1" customWidth="1"/>
    <col min="34" max="34" width="13.28515625" style="1" customWidth="1"/>
    <col min="35" max="35" width="6.42578125" style="1" customWidth="1"/>
    <col min="36" max="36" width="23.28515625" style="1" customWidth="1"/>
    <col min="37" max="37" width="14.42578125" style="1" customWidth="1"/>
    <col min="38" max="38" width="5.42578125" style="1" customWidth="1"/>
    <col min="39" max="39" width="12.7109375" style="1" customWidth="1"/>
    <col min="40" max="40" width="12.42578125" style="1" customWidth="1"/>
    <col min="41" max="41" width="5.5703125" style="1" customWidth="1"/>
    <col min="42" max="42" width="9.140625" style="1"/>
    <col min="43" max="43" width="10.28515625" style="1" customWidth="1"/>
    <col min="44" max="44" width="12" style="1" customWidth="1"/>
    <col min="46" max="48" width="10.42578125" customWidth="1"/>
    <col min="49" max="49" width="5.140625" customWidth="1"/>
    <col min="51" max="51" width="9.28515625" customWidth="1"/>
    <col min="52" max="52" width="12" customWidth="1"/>
    <col min="53" max="53" width="5.28515625" customWidth="1"/>
    <col min="54" max="56" width="12.28515625" customWidth="1"/>
    <col min="57" max="57" width="5.28515625" customWidth="1"/>
    <col min="58" max="60" width="13.42578125" customWidth="1"/>
    <col min="61" max="61" width="5.28515625" customWidth="1"/>
    <col min="62" max="64" width="13.5703125" customWidth="1"/>
    <col min="65" max="65" width="5.28515625" customWidth="1"/>
    <col min="66" max="68" width="10.28515625" customWidth="1"/>
    <col min="69" max="69" width="8.85546875" customWidth="1"/>
    <col min="70" max="77" width="9.7109375" customWidth="1"/>
    <col min="78" max="78" width="6.140625" customWidth="1"/>
    <col min="79" max="80" width="12.140625" customWidth="1"/>
    <col min="81" max="81" width="12.140625" style="127" customWidth="1"/>
    <col min="82" max="82" width="10.42578125" style="171" customWidth="1"/>
    <col min="83" max="83" width="11.5703125" style="171" bestFit="1" customWidth="1"/>
    <col min="84" max="84" width="11.85546875" style="171" customWidth="1"/>
    <col min="85" max="85" width="9.28515625" style="171" bestFit="1" customWidth="1"/>
    <col min="86" max="86" width="15.5703125" customWidth="1"/>
    <col min="87" max="88" width="12.140625" customWidth="1"/>
    <col min="89" max="89" width="20.140625" bestFit="1" customWidth="1"/>
    <col min="90" max="90" width="21.42578125" customWidth="1"/>
    <col min="93" max="100" width="11.140625" customWidth="1"/>
  </cols>
  <sheetData>
    <row r="1" spans="1:89" s="25" customFormat="1" ht="15">
      <c r="A1" s="22">
        <f>COUNTIF(AG4:AG34,"&lt;&gt;0")</f>
        <v>29</v>
      </c>
      <c r="B1" s="738" t="s">
        <v>22</v>
      </c>
      <c r="C1" s="739"/>
      <c r="D1" s="738" t="s">
        <v>270</v>
      </c>
      <c r="E1" s="739"/>
      <c r="F1" s="162" t="s">
        <v>162</v>
      </c>
      <c r="G1" s="746" t="s">
        <v>285</v>
      </c>
      <c r="H1" s="747"/>
      <c r="I1" s="739" t="s">
        <v>271</v>
      </c>
      <c r="J1" s="740"/>
      <c r="K1" s="738" t="s">
        <v>272</v>
      </c>
      <c r="L1" s="740"/>
      <c r="M1" s="268"/>
      <c r="N1" s="268"/>
      <c r="O1" s="279"/>
      <c r="P1" s="741" t="s">
        <v>180</v>
      </c>
      <c r="Q1" s="742"/>
      <c r="R1" s="260" t="s">
        <v>179</v>
      </c>
      <c r="S1" s="311" t="s">
        <v>202</v>
      </c>
      <c r="T1" s="2"/>
      <c r="U1" s="2"/>
      <c r="V1" s="260" t="s">
        <v>147</v>
      </c>
      <c r="W1" s="260" t="s">
        <v>147</v>
      </c>
      <c r="X1" s="2"/>
      <c r="Y1" s="2"/>
      <c r="Z1" s="2"/>
      <c r="AA1" s="2"/>
      <c r="AB1" s="2"/>
      <c r="AC1" s="2"/>
      <c r="AD1" s="2" t="s">
        <v>118</v>
      </c>
      <c r="AE1" s="743" t="s">
        <v>146</v>
      </c>
      <c r="AF1" s="743"/>
      <c r="AG1" s="743"/>
      <c r="AH1" s="743"/>
      <c r="AI1"/>
      <c r="AJ1" s="748" t="s">
        <v>260</v>
      </c>
      <c r="AK1" s="748"/>
      <c r="AL1" s="95"/>
      <c r="AM1" s="743" t="s">
        <v>132</v>
      </c>
      <c r="AN1" s="743"/>
      <c r="AO1" s="96"/>
      <c r="AP1" s="86"/>
      <c r="AQ1" s="748" t="s">
        <v>258</v>
      </c>
      <c r="AR1" s="748"/>
      <c r="AS1" s="748"/>
      <c r="AT1" s="748" t="s">
        <v>259</v>
      </c>
      <c r="AU1" s="748"/>
      <c r="AV1" s="748"/>
      <c r="AW1" s="93"/>
      <c r="AX1" s="748" t="s">
        <v>207</v>
      </c>
      <c r="AY1" s="748"/>
      <c r="AZ1" s="748"/>
      <c r="BA1" s="93"/>
      <c r="BB1" s="748" t="s">
        <v>266</v>
      </c>
      <c r="BC1" s="748"/>
      <c r="BD1" s="748"/>
      <c r="BE1" s="93"/>
      <c r="BF1" s="748" t="s">
        <v>262</v>
      </c>
      <c r="BG1" s="748"/>
      <c r="BH1" s="748"/>
      <c r="BI1" s="93"/>
      <c r="BJ1" s="748" t="s">
        <v>269</v>
      </c>
      <c r="BK1" s="748"/>
      <c r="BL1" s="748"/>
      <c r="BM1" s="93"/>
      <c r="BN1" s="744" t="s">
        <v>214</v>
      </c>
      <c r="BO1" s="745"/>
      <c r="BP1" s="745"/>
      <c r="BQ1" s="122"/>
      <c r="BR1" s="696" t="s">
        <v>165</v>
      </c>
      <c r="BS1" s="696"/>
      <c r="BT1" s="696"/>
      <c r="BU1" s="420"/>
      <c r="BV1" s="699" t="s">
        <v>187</v>
      </c>
      <c r="BW1" s="699"/>
      <c r="BX1" s="699"/>
      <c r="BY1" s="699"/>
      <c r="BZ1" s="117"/>
      <c r="CA1" s="733" t="s">
        <v>261</v>
      </c>
      <c r="CB1" s="733"/>
      <c r="CC1" s="733"/>
      <c r="CD1" s="168"/>
    </row>
    <row r="2" spans="1:89" s="138" customFormat="1">
      <c r="A2" s="133" t="s">
        <v>2</v>
      </c>
      <c r="B2" s="134" t="s">
        <v>161</v>
      </c>
      <c r="C2" s="134" t="s">
        <v>160</v>
      </c>
      <c r="D2" s="134" t="s">
        <v>159</v>
      </c>
      <c r="E2" s="161" t="s">
        <v>160</v>
      </c>
      <c r="F2" s="164" t="s">
        <v>1</v>
      </c>
      <c r="G2" s="135" t="s">
        <v>3</v>
      </c>
      <c r="H2" s="426" t="s">
        <v>284</v>
      </c>
      <c r="I2" s="135" t="s">
        <v>18</v>
      </c>
      <c r="J2" s="136" t="s">
        <v>18</v>
      </c>
      <c r="K2" s="164" t="s">
        <v>18</v>
      </c>
      <c r="L2" s="164" t="s">
        <v>18</v>
      </c>
      <c r="M2" s="378" t="s">
        <v>329</v>
      </c>
      <c r="N2" s="135" t="s">
        <v>197</v>
      </c>
      <c r="O2" s="133" t="s">
        <v>176</v>
      </c>
      <c r="P2" s="133" t="s">
        <v>177</v>
      </c>
      <c r="Q2" s="133" t="s">
        <v>178</v>
      </c>
      <c r="R2" s="261" t="s">
        <v>148</v>
      </c>
      <c r="S2" s="312" t="s">
        <v>201</v>
      </c>
      <c r="T2" s="133" t="s">
        <v>4</v>
      </c>
      <c r="U2" s="133" t="s">
        <v>106</v>
      </c>
      <c r="V2" s="261" t="s">
        <v>4</v>
      </c>
      <c r="W2" s="261" t="s">
        <v>106</v>
      </c>
      <c r="X2" s="133" t="s">
        <v>140</v>
      </c>
      <c r="Y2" s="133" t="s">
        <v>142</v>
      </c>
      <c r="Z2" s="133" t="s">
        <v>133</v>
      </c>
      <c r="AA2" s="133" t="s">
        <v>141</v>
      </c>
      <c r="AB2" s="378" t="s">
        <v>219</v>
      </c>
      <c r="AC2" s="378" t="s">
        <v>220</v>
      </c>
      <c r="AD2" s="133" t="s">
        <v>119</v>
      </c>
      <c r="AE2" s="132" t="s">
        <v>325</v>
      </c>
      <c r="AF2" s="137" t="s">
        <v>70</v>
      </c>
      <c r="AG2" s="132" t="s">
        <v>100</v>
      </c>
      <c r="AH2" s="132" t="s">
        <v>67</v>
      </c>
      <c r="AI2" s="132"/>
      <c r="AJ2" s="132" t="s">
        <v>100</v>
      </c>
      <c r="AK2" s="132" t="s">
        <v>163</v>
      </c>
      <c r="AL2" s="130"/>
      <c r="AM2" s="132" t="s">
        <v>100</v>
      </c>
      <c r="AN2" s="132" t="s">
        <v>67</v>
      </c>
      <c r="AO2" s="130"/>
      <c r="AP2" s="105"/>
      <c r="AQ2" s="349" t="s">
        <v>100</v>
      </c>
      <c r="AR2" s="329" t="s">
        <v>100</v>
      </c>
      <c r="AS2" s="329" t="s">
        <v>100</v>
      </c>
      <c r="AT2" s="350" t="s">
        <v>100</v>
      </c>
      <c r="AU2" s="351" t="s">
        <v>100</v>
      </c>
      <c r="AV2" s="351" t="s">
        <v>100</v>
      </c>
      <c r="AX2" s="350" t="s">
        <v>100</v>
      </c>
      <c r="AY2" s="351" t="s">
        <v>100</v>
      </c>
      <c r="AZ2" s="351" t="s">
        <v>100</v>
      </c>
      <c r="BA2" s="130"/>
      <c r="BB2" s="350" t="s">
        <v>100</v>
      </c>
      <c r="BC2" s="351" t="s">
        <v>100</v>
      </c>
      <c r="BD2" s="351" t="s">
        <v>100</v>
      </c>
      <c r="BE2" s="105"/>
      <c r="BF2" s="350" t="s">
        <v>100</v>
      </c>
      <c r="BG2" s="351" t="s">
        <v>100</v>
      </c>
      <c r="BH2" s="351" t="s">
        <v>100</v>
      </c>
      <c r="BI2" s="105"/>
      <c r="BJ2" s="350" t="s">
        <v>100</v>
      </c>
      <c r="BK2" s="351" t="s">
        <v>100</v>
      </c>
      <c r="BL2" s="351" t="s">
        <v>100</v>
      </c>
      <c r="BM2" s="105"/>
      <c r="BN2" s="735" t="s">
        <v>82</v>
      </c>
      <c r="BO2" s="736"/>
      <c r="BP2" s="737"/>
      <c r="BQ2" s="331"/>
      <c r="BR2" s="735" t="s">
        <v>82</v>
      </c>
      <c r="BS2" s="736"/>
      <c r="BT2" s="737"/>
      <c r="BU2" s="105"/>
      <c r="BV2" s="1" t="s">
        <v>184</v>
      </c>
      <c r="BW2" s="1" t="s">
        <v>185</v>
      </c>
      <c r="BX2" s="1" t="s">
        <v>199</v>
      </c>
      <c r="BY2" s="1" t="s">
        <v>200</v>
      </c>
      <c r="BZ2" s="130"/>
      <c r="CA2" s="421"/>
      <c r="CB2" s="421"/>
      <c r="CC2" s="734"/>
      <c r="CD2" s="734"/>
      <c r="CG2" s="314"/>
      <c r="CH2" s="314"/>
      <c r="CI2" s="733" t="s">
        <v>333</v>
      </c>
      <c r="CJ2" s="733"/>
      <c r="CK2" s="314"/>
    </row>
    <row r="3" spans="1:89" s="5" customFormat="1" ht="15" customHeight="1">
      <c r="A3" s="3"/>
      <c r="B3" s="157"/>
      <c r="C3" s="157"/>
      <c r="D3" s="157"/>
      <c r="E3" s="157"/>
      <c r="F3" s="282"/>
      <c r="G3" s="262"/>
      <c r="H3" s="158"/>
      <c r="I3" s="262"/>
      <c r="J3" s="158"/>
      <c r="K3" s="124"/>
      <c r="L3" s="124"/>
      <c r="M3" s="262"/>
      <c r="N3" s="262"/>
      <c r="O3" s="262"/>
      <c r="P3" s="158"/>
      <c r="Q3" s="262"/>
      <c r="R3" s="158"/>
      <c r="S3" s="262"/>
      <c r="T3" s="124"/>
      <c r="U3" s="124"/>
      <c r="V3" s="124"/>
      <c r="W3" s="124"/>
      <c r="X3" s="3"/>
      <c r="Y3" s="3"/>
      <c r="Z3" s="3"/>
      <c r="AA3" s="3"/>
      <c r="AB3" s="167"/>
      <c r="AC3" s="3"/>
      <c r="AD3" s="3"/>
      <c r="AE3" s="3"/>
      <c r="AF3" s="94"/>
      <c r="AG3" s="95"/>
      <c r="AH3" s="95"/>
      <c r="AI3" s="95"/>
      <c r="AJ3" s="95"/>
      <c r="AK3" s="95"/>
      <c r="AL3" s="96"/>
      <c r="AM3" s="95"/>
      <c r="AN3" s="95"/>
      <c r="AO3" s="96"/>
      <c r="AP3" s="105"/>
      <c r="AQ3" s="192" t="s">
        <v>71</v>
      </c>
      <c r="AR3" s="192" t="s">
        <v>111</v>
      </c>
      <c r="AS3" s="598" t="s">
        <v>72</v>
      </c>
      <c r="AT3" s="192" t="s">
        <v>71</v>
      </c>
      <c r="AU3" s="402" t="s">
        <v>111</v>
      </c>
      <c r="AV3" s="599" t="s">
        <v>72</v>
      </c>
      <c r="AX3" s="192" t="s">
        <v>71</v>
      </c>
      <c r="AY3" s="192" t="s">
        <v>111</v>
      </c>
      <c r="AZ3" s="192" t="s">
        <v>72</v>
      </c>
      <c r="BA3" s="303"/>
      <c r="BB3" s="192" t="s">
        <v>71</v>
      </c>
      <c r="BC3" s="192" t="s">
        <v>111</v>
      </c>
      <c r="BD3" s="192" t="s">
        <v>72</v>
      </c>
      <c r="BE3" s="303"/>
      <c r="BF3" s="192" t="s">
        <v>71</v>
      </c>
      <c r="BG3" s="192" t="s">
        <v>111</v>
      </c>
      <c r="BH3" s="192" t="s">
        <v>72</v>
      </c>
      <c r="BI3" s="303"/>
      <c r="BJ3" s="192" t="s">
        <v>71</v>
      </c>
      <c r="BK3" s="192" t="s">
        <v>111</v>
      </c>
      <c r="BL3" s="192" t="s">
        <v>72</v>
      </c>
      <c r="BM3" s="303"/>
      <c r="BN3" s="427" t="s">
        <v>83</v>
      </c>
      <c r="BO3" s="105" t="s">
        <v>84</v>
      </c>
      <c r="BP3" s="428" t="s">
        <v>85</v>
      </c>
      <c r="BQ3" s="96"/>
      <c r="BR3" s="427" t="s">
        <v>83</v>
      </c>
      <c r="BS3" s="105" t="s">
        <v>84</v>
      </c>
      <c r="BT3" s="428" t="s">
        <v>85</v>
      </c>
      <c r="BU3" s="105"/>
      <c r="BV3" s="1"/>
      <c r="BW3" s="1"/>
      <c r="BX3" s="1"/>
      <c r="BY3" s="1"/>
      <c r="BZ3" s="96"/>
      <c r="CA3" s="427" t="s">
        <v>83</v>
      </c>
      <c r="CB3" s="105" t="s">
        <v>84</v>
      </c>
      <c r="CC3" s="428" t="s">
        <v>85</v>
      </c>
      <c r="CD3" s="169"/>
      <c r="CG3" s="315"/>
      <c r="CH3" s="315"/>
      <c r="CI3" s="123" t="s">
        <v>331</v>
      </c>
      <c r="CJ3" s="123" t="s">
        <v>332</v>
      </c>
      <c r="CK3" s="315"/>
    </row>
    <row r="4" spans="1:89" s="4" customFormat="1" ht="14.25" customHeight="1">
      <c r="A4" s="644">
        <v>41821</v>
      </c>
      <c r="B4" s="322">
        <v>0</v>
      </c>
      <c r="C4" s="259">
        <v>0</v>
      </c>
      <c r="D4" s="259">
        <v>96568.990000000049</v>
      </c>
      <c r="E4" s="259">
        <v>3373</v>
      </c>
      <c r="F4" s="320">
        <v>0</v>
      </c>
      <c r="G4" s="259">
        <v>96568.990000000049</v>
      </c>
      <c r="H4" s="259">
        <v>3373</v>
      </c>
      <c r="I4" s="263">
        <f t="shared" ref="I4:I34" si="0">SUM(B4:B4)</f>
        <v>0</v>
      </c>
      <c r="J4" s="328">
        <f t="shared" ref="J4:J34" si="1">SUM(C4:C4)</f>
        <v>0</v>
      </c>
      <c r="K4" s="328">
        <f t="shared" ref="K4:K15" si="2">SUM(D4:D4)</f>
        <v>96568.990000000049</v>
      </c>
      <c r="L4" s="325">
        <f t="shared" ref="L4:L15" si="3">SUM(E4:E4)</f>
        <v>3373</v>
      </c>
      <c r="M4" s="594">
        <v>0.79032099999999994</v>
      </c>
      <c r="N4" s="280">
        <v>0</v>
      </c>
      <c r="O4" s="280">
        <v>0</v>
      </c>
      <c r="P4" s="156">
        <f>M4*O4</f>
        <v>0</v>
      </c>
      <c r="Q4" s="280">
        <f>N4*1</f>
        <v>0</v>
      </c>
      <c r="R4" s="372">
        <f t="shared" ref="R4:R34" si="4">(P4+Q4)</f>
        <v>0</v>
      </c>
      <c r="S4" s="263">
        <f>X4*0.5</f>
        <v>0</v>
      </c>
      <c r="T4" s="125">
        <f t="shared" ref="T4:T34" si="5">K4-G4</f>
        <v>0</v>
      </c>
      <c r="U4" s="125">
        <f t="shared" ref="U4:U34" si="6">L4-H4</f>
        <v>0</v>
      </c>
      <c r="V4" s="125">
        <f t="shared" ref="V4:V34" si="7">K4-G4</f>
        <v>0</v>
      </c>
      <c r="W4" s="125">
        <f t="shared" ref="W4:W34" si="8">L4-H4</f>
        <v>0</v>
      </c>
      <c r="X4" s="125">
        <f t="shared" ref="X4:X34" si="9">C4-(E4-H4)</f>
        <v>0</v>
      </c>
      <c r="Y4" s="145">
        <f t="shared" ref="Y4:Y34" si="10">X4*Z4</f>
        <v>0</v>
      </c>
      <c r="Z4" s="269"/>
      <c r="AA4" s="167">
        <f>I4-F4-R4-S4-T4-Y4</f>
        <v>0</v>
      </c>
      <c r="AB4" s="336">
        <v>3786.6632258064533</v>
      </c>
      <c r="AC4" s="167">
        <f>AH4*0.97813914</f>
        <v>111720.11815338</v>
      </c>
      <c r="AD4" s="525" t="str">
        <f>IFERROR((I4-M4-R4)/(W4+X4),"-")</f>
        <v>-</v>
      </c>
      <c r="AE4" s="336">
        <v>2051134.9574874768</v>
      </c>
      <c r="AF4" s="101">
        <v>1</v>
      </c>
      <c r="AG4" s="102">
        <f t="shared" ref="AG4:AG34" si="11">SUM(AQ4+AR4+AS4)</f>
        <v>121202.17211914063</v>
      </c>
      <c r="AH4" s="102">
        <f>'Daily Budget Data'!B5</f>
        <v>114217</v>
      </c>
      <c r="AI4" s="96"/>
      <c r="AJ4" s="518">
        <f>AE4</f>
        <v>2051134.9574874768</v>
      </c>
      <c r="AK4" s="518">
        <v>1893262.7339814128</v>
      </c>
      <c r="AL4" s="103"/>
      <c r="AM4" s="102">
        <f t="shared" ref="AM4:AM34" si="12">SUM(AT4+AU4+AV4)</f>
        <v>121102.171875</v>
      </c>
      <c r="AN4" s="102">
        <f>'Daily Budget Data'!H5+'Daily Budget Data'!I5+'Daily Budget Data'!J5</f>
        <v>122215.75912878796</v>
      </c>
      <c r="AO4" s="96"/>
      <c r="AP4" s="110">
        <v>1</v>
      </c>
      <c r="AQ4" s="403">
        <v>88582.25927734375</v>
      </c>
      <c r="AR4" s="404">
        <v>32619.912841796875</v>
      </c>
      <c r="AS4" s="423"/>
      <c r="AT4" s="404">
        <v>88246.259033203125</v>
      </c>
      <c r="AU4" s="404">
        <v>32855.912841796875</v>
      </c>
      <c r="AV4" s="353"/>
      <c r="AX4" s="515">
        <v>8562</v>
      </c>
      <c r="AY4" s="516">
        <v>0</v>
      </c>
      <c r="AZ4" s="517">
        <v>0</v>
      </c>
      <c r="BA4" s="105"/>
      <c r="BB4" s="515">
        <v>733</v>
      </c>
      <c r="BC4" s="516">
        <v>351</v>
      </c>
      <c r="BD4" s="517">
        <v>0</v>
      </c>
      <c r="BE4" s="105"/>
      <c r="BF4" s="515">
        <v>2048</v>
      </c>
      <c r="BG4" s="516">
        <v>1024</v>
      </c>
      <c r="BH4" s="517">
        <v>0</v>
      </c>
      <c r="BI4" s="105"/>
      <c r="BJ4" s="515">
        <v>0</v>
      </c>
      <c r="BK4" s="516">
        <v>0</v>
      </c>
      <c r="BL4" s="517">
        <v>0</v>
      </c>
      <c r="BM4" s="105"/>
      <c r="BN4" s="515">
        <v>2617</v>
      </c>
      <c r="BO4" s="516">
        <v>756</v>
      </c>
      <c r="BP4" s="517">
        <v>0</v>
      </c>
      <c r="BQ4" s="96"/>
      <c r="BR4" s="515">
        <v>0</v>
      </c>
      <c r="BS4" s="516">
        <v>0</v>
      </c>
      <c r="BT4" s="517">
        <v>0</v>
      </c>
      <c r="BU4" s="149"/>
      <c r="BV4" s="515">
        <v>0</v>
      </c>
      <c r="BW4" s="516">
        <v>15</v>
      </c>
      <c r="BX4" s="516">
        <v>0</v>
      </c>
      <c r="BY4" s="517">
        <v>17</v>
      </c>
      <c r="BZ4" s="96"/>
      <c r="CA4" s="515">
        <v>0</v>
      </c>
      <c r="CB4" s="516">
        <v>0</v>
      </c>
      <c r="CC4" s="517">
        <v>0</v>
      </c>
      <c r="CD4" s="175"/>
      <c r="CE4" s="650">
        <f>CA4+BJ4</f>
        <v>0</v>
      </c>
      <c r="CF4" s="651">
        <f t="shared" ref="CF4:CG19" si="13">CB4+BK4</f>
        <v>0</v>
      </c>
      <c r="CG4" s="652">
        <f t="shared" si="13"/>
        <v>0</v>
      </c>
      <c r="CH4" s="278"/>
      <c r="CI4" s="515">
        <v>80.996527777777757</v>
      </c>
      <c r="CJ4" s="517">
        <v>82.53194444444442</v>
      </c>
      <c r="CK4" s="278"/>
    </row>
    <row r="5" spans="1:89" ht="14.25" customHeight="1">
      <c r="A5" s="166">
        <f t="shared" ref="A5:A34" si="14">IFERROR(IF(MONTH(A4+1)=MONTH(A4),A4+1,"-"),"-")</f>
        <v>41822</v>
      </c>
      <c r="B5" s="322">
        <v>14024.5</v>
      </c>
      <c r="C5" s="259">
        <v>274</v>
      </c>
      <c r="D5" s="259">
        <v>111391.19999999995</v>
      </c>
      <c r="E5" s="259">
        <v>3888</v>
      </c>
      <c r="F5" s="320">
        <v>1105.4670000000001</v>
      </c>
      <c r="G5" s="259">
        <v>111391.19999999995</v>
      </c>
      <c r="H5" s="259">
        <v>3888</v>
      </c>
      <c r="I5" s="263">
        <f t="shared" si="0"/>
        <v>14024.5</v>
      </c>
      <c r="J5" s="328">
        <f t="shared" si="1"/>
        <v>274</v>
      </c>
      <c r="K5" s="328">
        <f t="shared" si="2"/>
        <v>111391.19999999995</v>
      </c>
      <c r="L5" s="325">
        <f t="shared" si="3"/>
        <v>3888</v>
      </c>
      <c r="M5" s="594">
        <v>2.1131489999999999</v>
      </c>
      <c r="N5" s="280">
        <v>0</v>
      </c>
      <c r="O5" s="280">
        <v>150</v>
      </c>
      <c r="P5" s="156">
        <f t="shared" ref="P5:P34" si="15">M5*O5</f>
        <v>316.97235000000001</v>
      </c>
      <c r="Q5" s="280">
        <f t="shared" ref="Q5:Q34" si="16">N5*1</f>
        <v>0</v>
      </c>
      <c r="R5" s="372">
        <f t="shared" si="4"/>
        <v>316.97235000000001</v>
      </c>
      <c r="S5" s="263">
        <f t="shared" ref="S5:S34" si="17">X5*0.5</f>
        <v>137</v>
      </c>
      <c r="T5" s="125">
        <f t="shared" si="5"/>
        <v>0</v>
      </c>
      <c r="U5" s="125">
        <f t="shared" si="6"/>
        <v>0</v>
      </c>
      <c r="V5" s="125">
        <f t="shared" si="7"/>
        <v>0</v>
      </c>
      <c r="W5" s="125">
        <f t="shared" si="8"/>
        <v>0</v>
      </c>
      <c r="X5" s="125">
        <f t="shared" si="9"/>
        <v>274</v>
      </c>
      <c r="Y5" s="145">
        <f t="shared" si="10"/>
        <v>11280.58</v>
      </c>
      <c r="Z5" s="269">
        <v>41.17</v>
      </c>
      <c r="AA5" s="167">
        <f t="shared" ref="AA5:AA34" si="18">I5-F5-R5-S5-T5-Y5</f>
        <v>1184.4806499999995</v>
      </c>
      <c r="AB5" s="336"/>
      <c r="AC5" s="167">
        <f t="shared" ref="AC5:AC34" si="19">AH5*0.97813914</f>
        <v>112016.4943128</v>
      </c>
      <c r="AD5" s="525">
        <f t="shared" ref="AD5:AD34" si="20">IFERROR((I5-M5-R5)/(W5+X5),"-")</f>
        <v>50.019760952554741</v>
      </c>
      <c r="AE5" s="336"/>
      <c r="AF5" s="101">
        <v>2</v>
      </c>
      <c r="AG5" s="102">
        <f t="shared" si="11"/>
        <v>109150.66625976563</v>
      </c>
      <c r="AH5" s="102">
        <f>'Daily Budget Data'!B6</f>
        <v>114520</v>
      </c>
      <c r="AI5" s="96"/>
      <c r="AJ5" s="518">
        <f t="shared" ref="AJ5:AJ34" si="21">AE5</f>
        <v>0</v>
      </c>
      <c r="AK5" s="518">
        <f t="shared" ref="AK5:AK34" si="22">AE5</f>
        <v>0</v>
      </c>
      <c r="AL5" s="103"/>
      <c r="AM5" s="102">
        <f t="shared" si="12"/>
        <v>108718.66650390625</v>
      </c>
      <c r="AN5" s="102">
        <f>'Daily Budget Data'!H6+'Daily Budget Data'!I6+'Daily Budget Data'!J6</f>
        <v>122215.75912878796</v>
      </c>
      <c r="AO5" s="96"/>
      <c r="AP5" s="110">
        <v>2</v>
      </c>
      <c r="AQ5" s="334">
        <v>79374.742065429688</v>
      </c>
      <c r="AR5" s="336">
        <v>29775.924194335938</v>
      </c>
      <c r="AS5" s="423"/>
      <c r="AT5" s="336">
        <v>79116.742309570313</v>
      </c>
      <c r="AU5" s="336">
        <v>29601.924194335938</v>
      </c>
      <c r="AV5" s="353"/>
      <c r="AX5" s="518">
        <v>2858</v>
      </c>
      <c r="AY5" s="519">
        <v>0</v>
      </c>
      <c r="AZ5" s="520">
        <v>0</v>
      </c>
      <c r="BA5" s="105"/>
      <c r="BB5" s="518">
        <v>759</v>
      </c>
      <c r="BC5" s="519">
        <v>382</v>
      </c>
      <c r="BD5" s="520">
        <v>0</v>
      </c>
      <c r="BE5" s="105"/>
      <c r="BF5" s="518">
        <v>2048</v>
      </c>
      <c r="BG5" s="519">
        <v>1024</v>
      </c>
      <c r="BH5" s="520">
        <v>0</v>
      </c>
      <c r="BI5" s="105"/>
      <c r="BJ5" s="518">
        <v>0</v>
      </c>
      <c r="BK5" s="519">
        <v>0</v>
      </c>
      <c r="BL5" s="520">
        <v>0</v>
      </c>
      <c r="BM5" s="105"/>
      <c r="BN5" s="518">
        <v>2672</v>
      </c>
      <c r="BO5" s="519">
        <v>1216</v>
      </c>
      <c r="BP5" s="520">
        <v>0</v>
      </c>
      <c r="BQ5" s="96"/>
      <c r="BR5" s="518">
        <v>0</v>
      </c>
      <c r="BS5" s="519">
        <v>0</v>
      </c>
      <c r="BT5" s="520">
        <v>0</v>
      </c>
      <c r="BU5" s="129"/>
      <c r="BV5" s="518">
        <v>0</v>
      </c>
      <c r="BW5" s="519">
        <v>12</v>
      </c>
      <c r="BX5" s="519">
        <v>0</v>
      </c>
      <c r="BY5" s="520">
        <v>13</v>
      </c>
      <c r="BZ5" s="96"/>
      <c r="CA5" s="518">
        <v>274</v>
      </c>
      <c r="CB5" s="519">
        <v>0</v>
      </c>
      <c r="CC5" s="520">
        <v>0</v>
      </c>
      <c r="CD5" s="175"/>
      <c r="CE5" s="653">
        <f t="shared" ref="CE5:CE34" si="23">CA5+BJ5</f>
        <v>274</v>
      </c>
      <c r="CF5" s="654">
        <f t="shared" si="13"/>
        <v>0</v>
      </c>
      <c r="CG5" s="655">
        <f t="shared" si="13"/>
        <v>0</v>
      </c>
      <c r="CH5" s="313"/>
      <c r="CI5" s="518">
        <v>75.143055555555563</v>
      </c>
      <c r="CJ5" s="520">
        <v>75.062083333333334</v>
      </c>
      <c r="CK5" s="313"/>
    </row>
    <row r="6" spans="1:89" ht="14.25" customHeight="1">
      <c r="A6" s="166">
        <f t="shared" si="14"/>
        <v>41823</v>
      </c>
      <c r="B6" s="322">
        <v>5361</v>
      </c>
      <c r="C6" s="259">
        <v>150</v>
      </c>
      <c r="D6" s="259">
        <v>88521.659999999989</v>
      </c>
      <c r="E6" s="259">
        <v>3093</v>
      </c>
      <c r="F6" s="320">
        <v>526.24599999999998</v>
      </c>
      <c r="G6" s="259">
        <v>88521.659999999989</v>
      </c>
      <c r="H6" s="259">
        <v>3093</v>
      </c>
      <c r="I6" s="263">
        <f t="shared" si="0"/>
        <v>5361</v>
      </c>
      <c r="J6" s="328">
        <f t="shared" si="1"/>
        <v>150</v>
      </c>
      <c r="K6" s="328">
        <f t="shared" si="2"/>
        <v>88521.659999999989</v>
      </c>
      <c r="L6" s="325">
        <f t="shared" si="3"/>
        <v>3093</v>
      </c>
      <c r="M6" s="594">
        <v>1.795498</v>
      </c>
      <c r="N6" s="280">
        <v>0</v>
      </c>
      <c r="O6" s="280">
        <v>150</v>
      </c>
      <c r="P6" s="156">
        <f t="shared" si="15"/>
        <v>269.32470000000001</v>
      </c>
      <c r="Q6" s="280">
        <f t="shared" si="16"/>
        <v>0</v>
      </c>
      <c r="R6" s="372">
        <f t="shared" si="4"/>
        <v>269.32470000000001</v>
      </c>
      <c r="S6" s="263">
        <f t="shared" si="17"/>
        <v>75</v>
      </c>
      <c r="T6" s="125">
        <f t="shared" si="5"/>
        <v>0</v>
      </c>
      <c r="U6" s="125">
        <f t="shared" si="6"/>
        <v>0</v>
      </c>
      <c r="V6" s="125">
        <f t="shared" si="7"/>
        <v>0</v>
      </c>
      <c r="W6" s="125">
        <f t="shared" si="8"/>
        <v>0</v>
      </c>
      <c r="X6" s="125">
        <f t="shared" si="9"/>
        <v>150</v>
      </c>
      <c r="Y6" s="145">
        <f t="shared" si="10"/>
        <v>4644</v>
      </c>
      <c r="Z6" s="269">
        <v>30.96</v>
      </c>
      <c r="AA6" s="167">
        <f t="shared" si="18"/>
        <v>-153.57070000000022</v>
      </c>
      <c r="AB6" s="336"/>
      <c r="AC6" s="167">
        <f t="shared" si="19"/>
        <v>112168.1058795</v>
      </c>
      <c r="AD6" s="525">
        <f t="shared" si="20"/>
        <v>33.932532013333329</v>
      </c>
      <c r="AE6" s="336"/>
      <c r="AF6" s="101">
        <v>3</v>
      </c>
      <c r="AG6" s="102">
        <f t="shared" si="11"/>
        <v>93148.264526367188</v>
      </c>
      <c r="AH6" s="102">
        <f>'Daily Budget Data'!B7</f>
        <v>114675</v>
      </c>
      <c r="AI6" s="96"/>
      <c r="AJ6" s="518">
        <f t="shared" si="21"/>
        <v>0</v>
      </c>
      <c r="AK6" s="518">
        <f t="shared" si="22"/>
        <v>0</v>
      </c>
      <c r="AL6" s="103"/>
      <c r="AM6" s="102">
        <f t="shared" si="12"/>
        <v>93367.264526367188</v>
      </c>
      <c r="AN6" s="102">
        <f>'Daily Budget Data'!H7+'Daily Budget Data'!I7+'Daily Budget Data'!J7</f>
        <v>122215.75912878796</v>
      </c>
      <c r="AO6" s="96"/>
      <c r="AP6" s="110">
        <v>3</v>
      </c>
      <c r="AQ6" s="334">
        <v>66243.303466796875</v>
      </c>
      <c r="AR6" s="336">
        <v>26904.961059570313</v>
      </c>
      <c r="AS6" s="423"/>
      <c r="AT6" s="336">
        <v>66170.303466796875</v>
      </c>
      <c r="AU6" s="336">
        <v>27196.961059570313</v>
      </c>
      <c r="AV6" s="353"/>
      <c r="AX6" s="518">
        <v>0</v>
      </c>
      <c r="AY6" s="519">
        <v>0</v>
      </c>
      <c r="AZ6" s="520">
        <v>0</v>
      </c>
      <c r="BA6" s="105"/>
      <c r="BB6" s="518">
        <v>803</v>
      </c>
      <c r="BC6" s="519">
        <v>391</v>
      </c>
      <c r="BD6" s="520">
        <v>0</v>
      </c>
      <c r="BE6" s="105"/>
      <c r="BF6" s="518">
        <v>2048</v>
      </c>
      <c r="BG6" s="519">
        <v>946</v>
      </c>
      <c r="BH6" s="520">
        <v>0</v>
      </c>
      <c r="BI6" s="105"/>
      <c r="BJ6" s="518">
        <v>0</v>
      </c>
      <c r="BK6" s="519">
        <v>0</v>
      </c>
      <c r="BL6" s="520">
        <v>0</v>
      </c>
      <c r="BM6" s="105"/>
      <c r="BN6" s="518">
        <v>2442</v>
      </c>
      <c r="BO6" s="519">
        <v>651</v>
      </c>
      <c r="BP6" s="520">
        <v>0</v>
      </c>
      <c r="BQ6" s="96"/>
      <c r="BR6" s="518">
        <v>0</v>
      </c>
      <c r="BS6" s="519">
        <v>0</v>
      </c>
      <c r="BT6" s="520">
        <v>0</v>
      </c>
      <c r="BU6" s="129"/>
      <c r="BV6" s="518">
        <v>0</v>
      </c>
      <c r="BW6" s="519">
        <v>4</v>
      </c>
      <c r="BX6" s="519">
        <v>0</v>
      </c>
      <c r="BY6" s="520">
        <v>3</v>
      </c>
      <c r="BZ6" s="96"/>
      <c r="CA6" s="518">
        <v>150</v>
      </c>
      <c r="CB6" s="519">
        <v>0</v>
      </c>
      <c r="CC6" s="520">
        <v>0</v>
      </c>
      <c r="CD6" s="175"/>
      <c r="CE6" s="653">
        <f t="shared" si="23"/>
        <v>150</v>
      </c>
      <c r="CF6" s="654">
        <f t="shared" si="13"/>
        <v>0</v>
      </c>
      <c r="CG6" s="655">
        <f t="shared" si="13"/>
        <v>0</v>
      </c>
      <c r="CH6" s="313"/>
      <c r="CI6" s="518">
        <v>69.733333333333334</v>
      </c>
      <c r="CJ6" s="520">
        <v>69.704347826086959</v>
      </c>
      <c r="CK6" s="313"/>
    </row>
    <row r="7" spans="1:89" ht="14.25" customHeight="1">
      <c r="A7" s="166">
        <f t="shared" si="14"/>
        <v>41824</v>
      </c>
      <c r="B7" s="322">
        <v>0</v>
      </c>
      <c r="C7" s="259">
        <v>0</v>
      </c>
      <c r="D7" s="259">
        <v>44451.840000000018</v>
      </c>
      <c r="E7" s="259">
        <v>1536</v>
      </c>
      <c r="F7" s="320">
        <v>0</v>
      </c>
      <c r="G7" s="259">
        <v>44451.840000000018</v>
      </c>
      <c r="H7" s="259">
        <v>1536</v>
      </c>
      <c r="I7" s="263">
        <f t="shared" si="0"/>
        <v>0</v>
      </c>
      <c r="J7" s="328">
        <f t="shared" si="1"/>
        <v>0</v>
      </c>
      <c r="K7" s="328">
        <f t="shared" si="2"/>
        <v>44451.840000000018</v>
      </c>
      <c r="L7" s="325">
        <f t="shared" si="3"/>
        <v>1536</v>
      </c>
      <c r="M7" s="594">
        <v>0.145561</v>
      </c>
      <c r="N7" s="280">
        <v>0</v>
      </c>
      <c r="O7" s="280">
        <v>0</v>
      </c>
      <c r="P7" s="156">
        <f t="shared" si="15"/>
        <v>0</v>
      </c>
      <c r="Q7" s="280">
        <f t="shared" si="16"/>
        <v>0</v>
      </c>
      <c r="R7" s="372">
        <f t="shared" si="4"/>
        <v>0</v>
      </c>
      <c r="S7" s="263">
        <f t="shared" si="17"/>
        <v>0</v>
      </c>
      <c r="T7" s="125">
        <f t="shared" si="5"/>
        <v>0</v>
      </c>
      <c r="U7" s="125">
        <f t="shared" si="6"/>
        <v>0</v>
      </c>
      <c r="V7" s="125">
        <f t="shared" si="7"/>
        <v>0</v>
      </c>
      <c r="W7" s="125">
        <f t="shared" si="8"/>
        <v>0</v>
      </c>
      <c r="X7" s="125">
        <f t="shared" si="9"/>
        <v>0</v>
      </c>
      <c r="Y7" s="145">
        <f t="shared" si="10"/>
        <v>0</v>
      </c>
      <c r="Z7" s="269"/>
      <c r="AA7" s="167">
        <f t="shared" si="18"/>
        <v>0</v>
      </c>
      <c r="AB7" s="336"/>
      <c r="AC7" s="167">
        <f t="shared" si="19"/>
        <v>100161.447936</v>
      </c>
      <c r="AD7" s="525" t="str">
        <f t="shared" si="20"/>
        <v>-</v>
      </c>
      <c r="AE7" s="336"/>
      <c r="AF7" s="101">
        <v>4</v>
      </c>
      <c r="AG7" s="102">
        <f t="shared" si="11"/>
        <v>79313.420043945313</v>
      </c>
      <c r="AH7" s="102">
        <f>'Daily Budget Data'!B8</f>
        <v>102400</v>
      </c>
      <c r="AI7" s="96"/>
      <c r="AJ7" s="518">
        <f t="shared" si="21"/>
        <v>0</v>
      </c>
      <c r="AK7" s="518">
        <f t="shared" si="22"/>
        <v>0</v>
      </c>
      <c r="AL7" s="103"/>
      <c r="AM7" s="102">
        <f t="shared" si="12"/>
        <v>80513.420043945313</v>
      </c>
      <c r="AN7" s="102">
        <f>'Daily Budget Data'!H8+'Daily Budget Data'!I8+'Daily Budget Data'!J8</f>
        <v>107604.7791666667</v>
      </c>
      <c r="AO7" s="96"/>
      <c r="AP7" s="110">
        <v>4</v>
      </c>
      <c r="AQ7" s="334">
        <v>56521.782104492187</v>
      </c>
      <c r="AR7" s="336">
        <v>22791.637939453125</v>
      </c>
      <c r="AS7" s="423"/>
      <c r="AT7" s="336">
        <v>57341.782104492188</v>
      </c>
      <c r="AU7" s="336">
        <v>23171.637939453125</v>
      </c>
      <c r="AV7" s="353"/>
      <c r="AX7" s="518">
        <v>0</v>
      </c>
      <c r="AY7" s="519">
        <v>0</v>
      </c>
      <c r="AZ7" s="520">
        <v>0</v>
      </c>
      <c r="BA7" s="105"/>
      <c r="BB7" s="518">
        <v>852</v>
      </c>
      <c r="BC7" s="519">
        <v>423</v>
      </c>
      <c r="BD7" s="520">
        <v>0</v>
      </c>
      <c r="BE7" s="105"/>
      <c r="BF7" s="518">
        <v>2035</v>
      </c>
      <c r="BG7" s="519">
        <v>934</v>
      </c>
      <c r="BH7" s="520">
        <v>0</v>
      </c>
      <c r="BI7" s="105"/>
      <c r="BJ7" s="518">
        <v>0</v>
      </c>
      <c r="BK7" s="519">
        <v>0</v>
      </c>
      <c r="BL7" s="520">
        <v>0</v>
      </c>
      <c r="BM7" s="105"/>
      <c r="BN7" s="518">
        <v>1024</v>
      </c>
      <c r="BO7" s="519">
        <v>512</v>
      </c>
      <c r="BP7" s="520">
        <v>0</v>
      </c>
      <c r="BQ7" s="96"/>
      <c r="BR7" s="518">
        <v>0</v>
      </c>
      <c r="BS7" s="519">
        <v>0</v>
      </c>
      <c r="BT7" s="520">
        <v>0</v>
      </c>
      <c r="BU7" s="129"/>
      <c r="BV7" s="518">
        <v>0</v>
      </c>
      <c r="BW7" s="519">
        <v>3</v>
      </c>
      <c r="BX7" s="519">
        <v>0</v>
      </c>
      <c r="BY7" s="520">
        <v>4</v>
      </c>
      <c r="BZ7" s="96"/>
      <c r="CA7" s="518">
        <v>0</v>
      </c>
      <c r="CB7" s="519">
        <v>0</v>
      </c>
      <c r="CC7" s="520">
        <v>0</v>
      </c>
      <c r="CD7" s="175"/>
      <c r="CE7" s="653">
        <f t="shared" si="23"/>
        <v>0</v>
      </c>
      <c r="CF7" s="654">
        <f t="shared" si="13"/>
        <v>0</v>
      </c>
      <c r="CG7" s="655">
        <f t="shared" si="13"/>
        <v>0</v>
      </c>
      <c r="CH7" s="313"/>
      <c r="CI7" s="518">
        <v>68.229166666666671</v>
      </c>
      <c r="CJ7" s="520">
        <v>70.270833333333314</v>
      </c>
      <c r="CK7" s="313"/>
    </row>
    <row r="8" spans="1:89" ht="14.25" customHeight="1">
      <c r="A8" s="166">
        <f t="shared" si="14"/>
        <v>41825</v>
      </c>
      <c r="B8" s="322">
        <v>33138.959999999999</v>
      </c>
      <c r="C8" s="259">
        <v>848</v>
      </c>
      <c r="D8" s="259">
        <v>62712.979999999981</v>
      </c>
      <c r="E8" s="259">
        <v>2167</v>
      </c>
      <c r="F8" s="320">
        <v>1646.5630000000003</v>
      </c>
      <c r="G8" s="259">
        <v>62712.979999999981</v>
      </c>
      <c r="H8" s="259">
        <v>2167</v>
      </c>
      <c r="I8" s="263">
        <f t="shared" si="0"/>
        <v>33138.959999999999</v>
      </c>
      <c r="J8" s="328">
        <f t="shared" si="1"/>
        <v>848</v>
      </c>
      <c r="K8" s="328">
        <f t="shared" si="2"/>
        <v>62712.979999999981</v>
      </c>
      <c r="L8" s="325">
        <f t="shared" si="3"/>
        <v>2167</v>
      </c>
      <c r="M8" s="594">
        <v>0.127163</v>
      </c>
      <c r="N8" s="280">
        <v>0</v>
      </c>
      <c r="O8" s="280">
        <v>0</v>
      </c>
      <c r="P8" s="156">
        <f t="shared" si="15"/>
        <v>0</v>
      </c>
      <c r="Q8" s="280">
        <f t="shared" si="16"/>
        <v>0</v>
      </c>
      <c r="R8" s="372">
        <f t="shared" si="4"/>
        <v>0</v>
      </c>
      <c r="S8" s="263">
        <f t="shared" si="17"/>
        <v>424</v>
      </c>
      <c r="T8" s="125">
        <f t="shared" si="5"/>
        <v>0</v>
      </c>
      <c r="U8" s="125">
        <f t="shared" si="6"/>
        <v>0</v>
      </c>
      <c r="V8" s="125">
        <f t="shared" si="7"/>
        <v>0</v>
      </c>
      <c r="W8" s="125">
        <f t="shared" si="8"/>
        <v>0</v>
      </c>
      <c r="X8" s="125">
        <f t="shared" si="9"/>
        <v>848</v>
      </c>
      <c r="Y8" s="145">
        <f t="shared" si="10"/>
        <v>26194.720000000001</v>
      </c>
      <c r="Z8" s="269">
        <v>30.89</v>
      </c>
      <c r="AA8" s="167">
        <f t="shared" si="18"/>
        <v>4873.676999999996</v>
      </c>
      <c r="AB8" s="336"/>
      <c r="AC8" s="167">
        <f t="shared" si="19"/>
        <v>101544.77035313814</v>
      </c>
      <c r="AD8" s="525">
        <f t="shared" si="20"/>
        <v>39.078812307783018</v>
      </c>
      <c r="AE8" s="336"/>
      <c r="AF8" s="101">
        <v>5</v>
      </c>
      <c r="AG8" s="102">
        <f t="shared" si="11"/>
        <v>81735.973449707031</v>
      </c>
      <c r="AH8" s="102">
        <f>'Daily Budget Data'!B9</f>
        <v>103814.23889564232</v>
      </c>
      <c r="AI8" s="96"/>
      <c r="AJ8" s="518">
        <f t="shared" si="21"/>
        <v>0</v>
      </c>
      <c r="AK8" s="518">
        <f t="shared" si="22"/>
        <v>0</v>
      </c>
      <c r="AL8" s="103"/>
      <c r="AM8" s="102">
        <f t="shared" si="12"/>
        <v>83057.973754882813</v>
      </c>
      <c r="AN8" s="102">
        <f>'Daily Budget Data'!H9+'Daily Budget Data'!I9+'Daily Budget Data'!J9</f>
        <v>107604.7791666667</v>
      </c>
      <c r="AO8" s="96"/>
      <c r="AP8" s="110">
        <v>5</v>
      </c>
      <c r="AQ8" s="334"/>
      <c r="AR8" s="336">
        <v>22096.166076660156</v>
      </c>
      <c r="AS8" s="423">
        <v>59639.807373046875</v>
      </c>
      <c r="AT8" s="336"/>
      <c r="AU8" s="336">
        <v>22381.166137695313</v>
      </c>
      <c r="AV8" s="353">
        <v>60676.8076171875</v>
      </c>
      <c r="AX8" s="518">
        <v>0</v>
      </c>
      <c r="AY8" s="519">
        <v>0</v>
      </c>
      <c r="AZ8" s="520">
        <v>0</v>
      </c>
      <c r="BA8" s="105"/>
      <c r="BB8" s="518">
        <v>0</v>
      </c>
      <c r="BC8" s="519">
        <v>415</v>
      </c>
      <c r="BD8" s="520">
        <v>833</v>
      </c>
      <c r="BE8" s="105"/>
      <c r="BF8" s="518">
        <v>0</v>
      </c>
      <c r="BG8" s="519">
        <v>740</v>
      </c>
      <c r="BH8" s="520">
        <v>1972</v>
      </c>
      <c r="BI8" s="105"/>
      <c r="BJ8" s="518">
        <v>0</v>
      </c>
      <c r="BK8" s="519">
        <v>48</v>
      </c>
      <c r="BL8" s="520">
        <v>0</v>
      </c>
      <c r="BM8" s="105"/>
      <c r="BN8" s="518">
        <v>0</v>
      </c>
      <c r="BO8" s="519">
        <v>534</v>
      </c>
      <c r="BP8" s="520">
        <v>1633</v>
      </c>
      <c r="BQ8" s="96"/>
      <c r="BR8" s="518">
        <v>0</v>
      </c>
      <c r="BS8" s="519">
        <v>0</v>
      </c>
      <c r="BT8" s="520">
        <v>0</v>
      </c>
      <c r="BU8" s="129"/>
      <c r="BV8" s="518">
        <v>0</v>
      </c>
      <c r="BW8" s="519">
        <v>6</v>
      </c>
      <c r="BX8" s="519">
        <v>0</v>
      </c>
      <c r="BY8" s="520">
        <v>5</v>
      </c>
      <c r="BZ8" s="96"/>
      <c r="CA8" s="518">
        <v>0</v>
      </c>
      <c r="CB8" s="519">
        <v>0</v>
      </c>
      <c r="CC8" s="520">
        <v>800</v>
      </c>
      <c r="CD8" s="175"/>
      <c r="CE8" s="653">
        <f t="shared" si="23"/>
        <v>0</v>
      </c>
      <c r="CF8" s="654">
        <f t="shared" si="13"/>
        <v>48</v>
      </c>
      <c r="CG8" s="655">
        <f t="shared" si="13"/>
        <v>800</v>
      </c>
      <c r="CH8" s="313"/>
      <c r="CI8" s="518">
        <v>71.362500000000011</v>
      </c>
      <c r="CJ8" s="520">
        <v>72.662500000000009</v>
      </c>
      <c r="CK8" s="313"/>
    </row>
    <row r="9" spans="1:89" ht="14.25" customHeight="1">
      <c r="A9" s="166">
        <f t="shared" si="14"/>
        <v>41826</v>
      </c>
      <c r="B9" s="322">
        <v>2750</v>
      </c>
      <c r="C9" s="259">
        <v>50</v>
      </c>
      <c r="D9" s="259">
        <v>73652.299999999959</v>
      </c>
      <c r="E9" s="259">
        <v>2545</v>
      </c>
      <c r="F9" s="320">
        <v>102.91800000000001</v>
      </c>
      <c r="G9" s="259">
        <v>73652.299999999959</v>
      </c>
      <c r="H9" s="259">
        <v>2545</v>
      </c>
      <c r="I9" s="263">
        <f t="shared" si="0"/>
        <v>2750</v>
      </c>
      <c r="J9" s="328">
        <f t="shared" si="1"/>
        <v>50</v>
      </c>
      <c r="K9" s="328">
        <f t="shared" si="2"/>
        <v>73652.299999999959</v>
      </c>
      <c r="L9" s="325">
        <f t="shared" si="3"/>
        <v>2545</v>
      </c>
      <c r="M9" s="594">
        <v>0.239286</v>
      </c>
      <c r="N9" s="280">
        <v>0</v>
      </c>
      <c r="O9" s="280">
        <v>0</v>
      </c>
      <c r="P9" s="156">
        <f t="shared" si="15"/>
        <v>0</v>
      </c>
      <c r="Q9" s="280">
        <f t="shared" si="16"/>
        <v>0</v>
      </c>
      <c r="R9" s="372">
        <f t="shared" si="4"/>
        <v>0</v>
      </c>
      <c r="S9" s="263">
        <f t="shared" si="17"/>
        <v>25</v>
      </c>
      <c r="T9" s="125">
        <f t="shared" si="5"/>
        <v>0</v>
      </c>
      <c r="U9" s="125">
        <f t="shared" si="6"/>
        <v>0</v>
      </c>
      <c r="V9" s="125">
        <f t="shared" si="7"/>
        <v>0</v>
      </c>
      <c r="W9" s="125">
        <f t="shared" si="8"/>
        <v>0</v>
      </c>
      <c r="X9" s="125">
        <f t="shared" si="9"/>
        <v>50</v>
      </c>
      <c r="Y9" s="145">
        <f t="shared" si="10"/>
        <v>2120</v>
      </c>
      <c r="Z9" s="269">
        <v>42.4</v>
      </c>
      <c r="AA9" s="167">
        <f t="shared" si="18"/>
        <v>502.08199999999988</v>
      </c>
      <c r="AB9" s="336"/>
      <c r="AC9" s="167">
        <f t="shared" si="19"/>
        <v>99788.820003886125</v>
      </c>
      <c r="AD9" s="525">
        <f t="shared" si="20"/>
        <v>54.995214279999999</v>
      </c>
      <c r="AE9" s="336"/>
      <c r="AF9" s="101">
        <v>6</v>
      </c>
      <c r="AG9" s="102">
        <f t="shared" si="11"/>
        <v>90682.52783203125</v>
      </c>
      <c r="AH9" s="102">
        <f>'Daily Budget Data'!B10</f>
        <v>102019.04404304497</v>
      </c>
      <c r="AI9" s="96"/>
      <c r="AJ9" s="518">
        <f t="shared" si="21"/>
        <v>0</v>
      </c>
      <c r="AK9" s="518">
        <f t="shared" si="22"/>
        <v>0</v>
      </c>
      <c r="AL9" s="103"/>
      <c r="AM9" s="102">
        <f t="shared" si="12"/>
        <v>90835.52783203125</v>
      </c>
      <c r="AN9" s="102">
        <f>'Daily Budget Data'!H10+'Daily Budget Data'!I10+'Daily Budget Data'!J10</f>
        <v>107604.7791666667</v>
      </c>
      <c r="AO9" s="96"/>
      <c r="AP9" s="110">
        <v>6</v>
      </c>
      <c r="AQ9" s="334"/>
      <c r="AR9" s="336">
        <v>24224.581909179688</v>
      </c>
      <c r="AS9" s="423">
        <v>66457.945922851563</v>
      </c>
      <c r="AT9" s="336"/>
      <c r="AU9" s="336">
        <v>24507.581909179688</v>
      </c>
      <c r="AV9" s="353">
        <v>66327.945922851563</v>
      </c>
      <c r="AX9" s="518">
        <v>0</v>
      </c>
      <c r="AY9" s="519">
        <v>0</v>
      </c>
      <c r="AZ9" s="520">
        <v>351</v>
      </c>
      <c r="BA9" s="105"/>
      <c r="BB9" s="518">
        <v>0</v>
      </c>
      <c r="BC9" s="519">
        <v>424</v>
      </c>
      <c r="BD9" s="520">
        <v>853</v>
      </c>
      <c r="BE9" s="105"/>
      <c r="BF9" s="518">
        <v>0</v>
      </c>
      <c r="BG9" s="519">
        <v>850</v>
      </c>
      <c r="BH9" s="520">
        <v>1986</v>
      </c>
      <c r="BI9" s="105"/>
      <c r="BJ9" s="518">
        <v>0</v>
      </c>
      <c r="BK9" s="519">
        <v>0</v>
      </c>
      <c r="BL9" s="520">
        <v>0</v>
      </c>
      <c r="BM9" s="105"/>
      <c r="BN9" s="518">
        <v>0</v>
      </c>
      <c r="BO9" s="519">
        <v>586</v>
      </c>
      <c r="BP9" s="520">
        <v>1959</v>
      </c>
      <c r="BQ9" s="96"/>
      <c r="BR9" s="518">
        <v>0</v>
      </c>
      <c r="BS9" s="519">
        <v>0</v>
      </c>
      <c r="BT9" s="520">
        <v>0</v>
      </c>
      <c r="BU9" s="129"/>
      <c r="BV9" s="518">
        <v>0</v>
      </c>
      <c r="BW9" s="519">
        <v>10</v>
      </c>
      <c r="BX9" s="519">
        <v>0</v>
      </c>
      <c r="BY9" s="520">
        <v>11</v>
      </c>
      <c r="BZ9" s="96"/>
      <c r="CA9" s="518">
        <v>0</v>
      </c>
      <c r="CB9" s="519">
        <v>0</v>
      </c>
      <c r="CC9" s="520">
        <v>50</v>
      </c>
      <c r="CD9" s="175"/>
      <c r="CE9" s="653">
        <f t="shared" si="23"/>
        <v>0</v>
      </c>
      <c r="CF9" s="654">
        <f t="shared" si="13"/>
        <v>0</v>
      </c>
      <c r="CG9" s="655">
        <f t="shared" si="13"/>
        <v>50</v>
      </c>
      <c r="CH9" s="313"/>
      <c r="CI9" s="518">
        <v>75.679166666666674</v>
      </c>
      <c r="CJ9" s="520">
        <v>76.745833333333337</v>
      </c>
      <c r="CK9" s="313"/>
    </row>
    <row r="10" spans="1:89" ht="14.25" customHeight="1">
      <c r="A10" s="166">
        <f t="shared" si="14"/>
        <v>41827</v>
      </c>
      <c r="B10" s="322">
        <v>22292</v>
      </c>
      <c r="C10" s="259">
        <v>425</v>
      </c>
      <c r="D10" s="259">
        <v>88035.119999999966</v>
      </c>
      <c r="E10" s="259">
        <v>3076</v>
      </c>
      <c r="F10" s="320">
        <v>3006.1869999999999</v>
      </c>
      <c r="G10" s="259">
        <v>88035.119999999966</v>
      </c>
      <c r="H10" s="259">
        <v>3076</v>
      </c>
      <c r="I10" s="263">
        <f t="shared" si="0"/>
        <v>22292</v>
      </c>
      <c r="J10" s="328">
        <f t="shared" si="1"/>
        <v>425</v>
      </c>
      <c r="K10" s="328">
        <f t="shared" si="2"/>
        <v>88035.119999999966</v>
      </c>
      <c r="L10" s="325">
        <f t="shared" si="3"/>
        <v>3076</v>
      </c>
      <c r="M10" s="594">
        <v>1.0000070000000001</v>
      </c>
      <c r="N10" s="280">
        <v>425</v>
      </c>
      <c r="O10" s="280">
        <v>0</v>
      </c>
      <c r="P10" s="156">
        <f t="shared" si="15"/>
        <v>0</v>
      </c>
      <c r="Q10" s="280">
        <f t="shared" si="16"/>
        <v>425</v>
      </c>
      <c r="R10" s="372">
        <f t="shared" si="4"/>
        <v>425</v>
      </c>
      <c r="S10" s="263">
        <f t="shared" si="17"/>
        <v>212.5</v>
      </c>
      <c r="T10" s="125">
        <f t="shared" si="5"/>
        <v>0</v>
      </c>
      <c r="U10" s="125">
        <f t="shared" si="6"/>
        <v>0</v>
      </c>
      <c r="V10" s="125">
        <f t="shared" si="7"/>
        <v>0</v>
      </c>
      <c r="W10" s="125">
        <f t="shared" si="8"/>
        <v>0</v>
      </c>
      <c r="X10" s="125">
        <f t="shared" si="9"/>
        <v>425</v>
      </c>
      <c r="Y10" s="145">
        <f t="shared" si="10"/>
        <v>17743.75</v>
      </c>
      <c r="Z10" s="269">
        <v>41.75</v>
      </c>
      <c r="AA10" s="167">
        <f t="shared" si="18"/>
        <v>904.56300000000192</v>
      </c>
      <c r="AB10" s="336"/>
      <c r="AC10" s="167">
        <f t="shared" si="19"/>
        <v>111280.07430369414</v>
      </c>
      <c r="AD10" s="525">
        <f t="shared" si="20"/>
        <v>51.449411748235299</v>
      </c>
      <c r="AE10" s="336"/>
      <c r="AF10" s="101">
        <v>7</v>
      </c>
      <c r="AG10" s="102">
        <f t="shared" si="11"/>
        <v>111531.02770996094</v>
      </c>
      <c r="AH10" s="102">
        <f>'Daily Budget Data'!B11</f>
        <v>113767.12141760746</v>
      </c>
      <c r="AI10" s="96"/>
      <c r="AJ10" s="518">
        <f t="shared" si="21"/>
        <v>0</v>
      </c>
      <c r="AK10" s="518">
        <f t="shared" si="22"/>
        <v>0</v>
      </c>
      <c r="AL10" s="103"/>
      <c r="AM10" s="102">
        <f t="shared" si="12"/>
        <v>111863.02758789062</v>
      </c>
      <c r="AN10" s="102">
        <f>'Daily Budget Data'!H11+'Daily Budget Data'!I11+'Daily Budget Data'!J11</f>
        <v>122215.75912878796</v>
      </c>
      <c r="AO10" s="96"/>
      <c r="AP10" s="110">
        <v>7</v>
      </c>
      <c r="AQ10" s="334">
        <v>83068.44482421875</v>
      </c>
      <c r="AR10" s="336">
        <v>28462.582885742188</v>
      </c>
      <c r="AS10" s="423"/>
      <c r="AT10" s="336">
        <v>83132.444702148438</v>
      </c>
      <c r="AU10" s="336">
        <v>28730.582885742188</v>
      </c>
      <c r="AV10" s="353"/>
      <c r="AX10" s="518">
        <v>7947</v>
      </c>
      <c r="AY10" s="519">
        <v>0</v>
      </c>
      <c r="AZ10" s="520">
        <v>0</v>
      </c>
      <c r="BA10" s="105"/>
      <c r="BB10" s="518">
        <v>942</v>
      </c>
      <c r="BC10" s="519">
        <v>464</v>
      </c>
      <c r="BD10" s="520">
        <v>0</v>
      </c>
      <c r="BE10" s="105"/>
      <c r="BF10" s="518">
        <v>2048</v>
      </c>
      <c r="BG10" s="519">
        <v>874</v>
      </c>
      <c r="BH10" s="520">
        <v>0</v>
      </c>
      <c r="BI10" s="105"/>
      <c r="BJ10" s="518">
        <v>0</v>
      </c>
      <c r="BK10" s="519">
        <v>0</v>
      </c>
      <c r="BL10" s="520">
        <v>0</v>
      </c>
      <c r="BM10" s="105"/>
      <c r="BN10" s="518">
        <v>2508</v>
      </c>
      <c r="BO10" s="519">
        <v>568</v>
      </c>
      <c r="BP10" s="520">
        <v>0</v>
      </c>
      <c r="BQ10" s="96"/>
      <c r="BR10" s="518">
        <v>0</v>
      </c>
      <c r="BS10" s="519">
        <v>0</v>
      </c>
      <c r="BT10" s="520">
        <v>0</v>
      </c>
      <c r="BU10" s="129"/>
      <c r="BV10" s="518">
        <v>0</v>
      </c>
      <c r="BW10" s="519">
        <v>14</v>
      </c>
      <c r="BX10" s="519">
        <v>0</v>
      </c>
      <c r="BY10" s="520">
        <v>16</v>
      </c>
      <c r="BZ10" s="96"/>
      <c r="CA10" s="518">
        <v>425</v>
      </c>
      <c r="CB10" s="519">
        <v>0</v>
      </c>
      <c r="CC10" s="520">
        <v>0</v>
      </c>
      <c r="CD10" s="175"/>
      <c r="CE10" s="653">
        <f t="shared" si="23"/>
        <v>425</v>
      </c>
      <c r="CF10" s="654">
        <f t="shared" si="13"/>
        <v>0</v>
      </c>
      <c r="CG10" s="655">
        <f t="shared" si="13"/>
        <v>0</v>
      </c>
      <c r="CH10" s="313"/>
      <c r="CI10" s="518">
        <v>79.013888888888886</v>
      </c>
      <c r="CJ10" s="520">
        <v>79.561805555555551</v>
      </c>
      <c r="CK10" s="313"/>
    </row>
    <row r="11" spans="1:89" ht="14.25" customHeight="1">
      <c r="A11" s="166">
        <f t="shared" si="14"/>
        <v>41828</v>
      </c>
      <c r="B11" s="322">
        <v>13686.61</v>
      </c>
      <c r="C11" s="259">
        <v>243</v>
      </c>
      <c r="D11" s="259">
        <v>98498.700000000041</v>
      </c>
      <c r="E11" s="259">
        <v>3438</v>
      </c>
      <c r="F11" s="320">
        <v>0</v>
      </c>
      <c r="G11" s="259">
        <v>98498.700000000041</v>
      </c>
      <c r="H11" s="259">
        <v>3438</v>
      </c>
      <c r="I11" s="263">
        <f t="shared" si="0"/>
        <v>13686.61</v>
      </c>
      <c r="J11" s="328">
        <f t="shared" si="1"/>
        <v>243</v>
      </c>
      <c r="K11" s="328">
        <f t="shared" si="2"/>
        <v>98498.700000000041</v>
      </c>
      <c r="L11" s="325">
        <f t="shared" si="3"/>
        <v>3438</v>
      </c>
      <c r="M11" s="594">
        <v>1.557277</v>
      </c>
      <c r="N11" s="280">
        <v>0</v>
      </c>
      <c r="O11" s="280">
        <v>0</v>
      </c>
      <c r="P11" s="156">
        <f t="shared" si="15"/>
        <v>0</v>
      </c>
      <c r="Q11" s="280">
        <f t="shared" si="16"/>
        <v>0</v>
      </c>
      <c r="R11" s="372">
        <f t="shared" si="4"/>
        <v>0</v>
      </c>
      <c r="S11" s="263">
        <f t="shared" si="17"/>
        <v>121.5</v>
      </c>
      <c r="T11" s="125">
        <f t="shared" si="5"/>
        <v>0</v>
      </c>
      <c r="U11" s="125">
        <f t="shared" si="6"/>
        <v>0</v>
      </c>
      <c r="V11" s="125">
        <f t="shared" si="7"/>
        <v>0</v>
      </c>
      <c r="W11" s="125">
        <f t="shared" si="8"/>
        <v>0</v>
      </c>
      <c r="X11" s="125">
        <f t="shared" si="9"/>
        <v>243</v>
      </c>
      <c r="Y11" s="145">
        <f t="shared" si="10"/>
        <v>9234</v>
      </c>
      <c r="Z11" s="269">
        <v>38</v>
      </c>
      <c r="AA11" s="167">
        <f t="shared" si="18"/>
        <v>4331.1100000000006</v>
      </c>
      <c r="AB11" s="336"/>
      <c r="AC11" s="167">
        <f t="shared" si="19"/>
        <v>113499.33754456774</v>
      </c>
      <c r="AD11" s="525">
        <f t="shared" si="20"/>
        <v>56.317089395061728</v>
      </c>
      <c r="AE11" s="336"/>
      <c r="AF11" s="101">
        <v>8</v>
      </c>
      <c r="AG11" s="102">
        <f t="shared" si="11"/>
        <v>114600.33898925781</v>
      </c>
      <c r="AH11" s="102">
        <f>'Daily Budget Data'!B12</f>
        <v>116035.98394454161</v>
      </c>
      <c r="AI11" s="96"/>
      <c r="AJ11" s="518">
        <f t="shared" si="21"/>
        <v>0</v>
      </c>
      <c r="AK11" s="518">
        <f t="shared" si="22"/>
        <v>0</v>
      </c>
      <c r="AL11" s="103"/>
      <c r="AM11" s="102">
        <f t="shared" si="12"/>
        <v>113367.33898925781</v>
      </c>
      <c r="AN11" s="102">
        <f>'Daily Budget Data'!H12+'Daily Budget Data'!I12+'Daily Budget Data'!J12</f>
        <v>122215.75912878796</v>
      </c>
      <c r="AO11" s="96"/>
      <c r="AP11" s="110">
        <v>8</v>
      </c>
      <c r="AQ11" s="334">
        <v>83640.052978515625</v>
      </c>
      <c r="AR11" s="336">
        <v>30960.286010742188</v>
      </c>
      <c r="AS11" s="423"/>
      <c r="AT11" s="336">
        <v>82772.052978515625</v>
      </c>
      <c r="AU11" s="336">
        <v>30595.286010742188</v>
      </c>
      <c r="AV11" s="353"/>
      <c r="AX11" s="518">
        <v>7281</v>
      </c>
      <c r="AY11" s="519">
        <v>200</v>
      </c>
      <c r="AZ11" s="520">
        <v>0</v>
      </c>
      <c r="BA11" s="105"/>
      <c r="BB11" s="518">
        <v>930</v>
      </c>
      <c r="BC11" s="519">
        <v>476</v>
      </c>
      <c r="BD11" s="520">
        <v>0</v>
      </c>
      <c r="BE11" s="105"/>
      <c r="BF11" s="518">
        <v>1650</v>
      </c>
      <c r="BG11" s="519">
        <v>290</v>
      </c>
      <c r="BH11" s="520">
        <v>0</v>
      </c>
      <c r="BI11" s="105"/>
      <c r="BJ11" s="518">
        <v>55</v>
      </c>
      <c r="BK11" s="519">
        <v>188</v>
      </c>
      <c r="BL11" s="520">
        <v>0</v>
      </c>
      <c r="BM11" s="105"/>
      <c r="BN11" s="518">
        <v>2633</v>
      </c>
      <c r="BO11" s="519">
        <v>805</v>
      </c>
      <c r="BP11" s="520">
        <v>0</v>
      </c>
      <c r="BQ11" s="96"/>
      <c r="BR11" s="518">
        <v>0</v>
      </c>
      <c r="BS11" s="519">
        <v>0</v>
      </c>
      <c r="BT11" s="520">
        <v>0</v>
      </c>
      <c r="BU11" s="129"/>
      <c r="BV11" s="518">
        <v>0</v>
      </c>
      <c r="BW11" s="519">
        <v>15</v>
      </c>
      <c r="BX11" s="519">
        <v>0</v>
      </c>
      <c r="BY11" s="520">
        <v>15</v>
      </c>
      <c r="BZ11" s="96"/>
      <c r="CA11" s="518">
        <v>0</v>
      </c>
      <c r="CB11" s="519">
        <v>0</v>
      </c>
      <c r="CC11" s="520">
        <v>0</v>
      </c>
      <c r="CD11" s="175"/>
      <c r="CE11" s="653">
        <f t="shared" si="23"/>
        <v>55</v>
      </c>
      <c r="CF11" s="654">
        <f t="shared" si="13"/>
        <v>188</v>
      </c>
      <c r="CG11" s="655">
        <f t="shared" si="13"/>
        <v>0</v>
      </c>
      <c r="CH11" s="313"/>
      <c r="CI11" s="518">
        <v>78.670833333333334</v>
      </c>
      <c r="CJ11" s="520">
        <v>79.241666666666674</v>
      </c>
      <c r="CK11" s="313"/>
    </row>
    <row r="12" spans="1:89" ht="14.25" customHeight="1">
      <c r="A12" s="166">
        <f t="shared" si="14"/>
        <v>41829</v>
      </c>
      <c r="B12" s="322">
        <v>3782</v>
      </c>
      <c r="C12" s="259">
        <v>100</v>
      </c>
      <c r="D12" s="259">
        <v>99724.479999999996</v>
      </c>
      <c r="E12" s="259">
        <v>3482</v>
      </c>
      <c r="F12" s="320">
        <v>368.48899999999998</v>
      </c>
      <c r="G12" s="259">
        <v>99724.479999999996</v>
      </c>
      <c r="H12" s="259">
        <v>3482</v>
      </c>
      <c r="I12" s="263">
        <f t="shared" si="0"/>
        <v>3782</v>
      </c>
      <c r="J12" s="328">
        <f t="shared" si="1"/>
        <v>100</v>
      </c>
      <c r="K12" s="328">
        <f t="shared" si="2"/>
        <v>99724.479999999996</v>
      </c>
      <c r="L12" s="325">
        <f t="shared" si="3"/>
        <v>3482</v>
      </c>
      <c r="M12" s="594">
        <v>0.89572300000000005</v>
      </c>
      <c r="N12" s="280">
        <v>100</v>
      </c>
      <c r="O12" s="280">
        <v>0</v>
      </c>
      <c r="P12" s="156">
        <f t="shared" si="15"/>
        <v>0</v>
      </c>
      <c r="Q12" s="280">
        <f t="shared" si="16"/>
        <v>100</v>
      </c>
      <c r="R12" s="372">
        <f t="shared" si="4"/>
        <v>100</v>
      </c>
      <c r="S12" s="263">
        <f t="shared" si="17"/>
        <v>50</v>
      </c>
      <c r="T12" s="125">
        <f t="shared" si="5"/>
        <v>0</v>
      </c>
      <c r="U12" s="125">
        <f t="shared" si="6"/>
        <v>0</v>
      </c>
      <c r="V12" s="125">
        <f t="shared" si="7"/>
        <v>0</v>
      </c>
      <c r="W12" s="125">
        <f t="shared" si="8"/>
        <v>0</v>
      </c>
      <c r="X12" s="125">
        <f t="shared" si="9"/>
        <v>100</v>
      </c>
      <c r="Y12" s="145">
        <f t="shared" si="10"/>
        <v>4394</v>
      </c>
      <c r="Z12" s="269">
        <v>43.94</v>
      </c>
      <c r="AA12" s="167">
        <f t="shared" si="18"/>
        <v>-1130.489</v>
      </c>
      <c r="AB12" s="336"/>
      <c r="AC12" s="167">
        <f t="shared" si="19"/>
        <v>113831.75156277334</v>
      </c>
      <c r="AD12" s="525">
        <f t="shared" si="20"/>
        <v>36.81104277</v>
      </c>
      <c r="AE12" s="336"/>
      <c r="AF12" s="101">
        <v>9</v>
      </c>
      <c r="AG12" s="102">
        <f t="shared" si="11"/>
        <v>112164.25915527344</v>
      </c>
      <c r="AH12" s="102">
        <f>'Daily Budget Data'!B13</f>
        <v>116375.8272292154</v>
      </c>
      <c r="AI12" s="96"/>
      <c r="AJ12" s="518">
        <f t="shared" si="21"/>
        <v>0</v>
      </c>
      <c r="AK12" s="518">
        <f t="shared" si="22"/>
        <v>0</v>
      </c>
      <c r="AL12" s="103"/>
      <c r="AM12" s="102">
        <f t="shared" si="12"/>
        <v>111774.25915527344</v>
      </c>
      <c r="AN12" s="102">
        <f>'Daily Budget Data'!H13+'Daily Budget Data'!I13+'Daily Budget Data'!J13</f>
        <v>122215.75912878796</v>
      </c>
      <c r="AO12" s="96"/>
      <c r="AP12" s="110">
        <v>9</v>
      </c>
      <c r="AQ12" s="334">
        <v>81919.865600585938</v>
      </c>
      <c r="AR12" s="336">
        <v>30244.3935546875</v>
      </c>
      <c r="AS12" s="423"/>
      <c r="AT12" s="336">
        <v>81326.865600585938</v>
      </c>
      <c r="AU12" s="336">
        <v>30447.3935546875</v>
      </c>
      <c r="AV12" s="353"/>
      <c r="AX12" s="518">
        <v>4389</v>
      </c>
      <c r="AY12" s="519">
        <v>182</v>
      </c>
      <c r="AZ12" s="520">
        <v>0</v>
      </c>
      <c r="BA12" s="105"/>
      <c r="BB12" s="518">
        <v>870</v>
      </c>
      <c r="BC12" s="519">
        <v>457</v>
      </c>
      <c r="BD12" s="520">
        <v>0</v>
      </c>
      <c r="BE12" s="105"/>
      <c r="BF12" s="518">
        <v>2048</v>
      </c>
      <c r="BG12" s="519">
        <v>940</v>
      </c>
      <c r="BH12" s="520">
        <v>0</v>
      </c>
      <c r="BI12" s="105"/>
      <c r="BJ12" s="518">
        <v>0</v>
      </c>
      <c r="BK12" s="519">
        <v>0</v>
      </c>
      <c r="BL12" s="520">
        <v>0</v>
      </c>
      <c r="BM12" s="105"/>
      <c r="BN12" s="518">
        <v>2688</v>
      </c>
      <c r="BO12" s="519">
        <v>794</v>
      </c>
      <c r="BP12" s="520">
        <v>0</v>
      </c>
      <c r="BQ12" s="96"/>
      <c r="BR12" s="518">
        <v>0</v>
      </c>
      <c r="BS12" s="519">
        <v>0</v>
      </c>
      <c r="BT12" s="520">
        <v>0</v>
      </c>
      <c r="BU12" s="129"/>
      <c r="BV12" s="518">
        <v>0</v>
      </c>
      <c r="BW12" s="519">
        <v>12</v>
      </c>
      <c r="BX12" s="519">
        <v>0</v>
      </c>
      <c r="BY12" s="520">
        <v>13</v>
      </c>
      <c r="BZ12" s="96"/>
      <c r="CA12" s="518">
        <v>100</v>
      </c>
      <c r="CB12" s="519">
        <v>0</v>
      </c>
      <c r="CC12" s="520">
        <v>0</v>
      </c>
      <c r="CD12" s="175"/>
      <c r="CE12" s="653">
        <f t="shared" si="23"/>
        <v>100</v>
      </c>
      <c r="CF12" s="654">
        <f t="shared" si="13"/>
        <v>0</v>
      </c>
      <c r="CG12" s="655">
        <f t="shared" si="13"/>
        <v>0</v>
      </c>
      <c r="CH12" s="313"/>
      <c r="CI12" s="518">
        <v>76.941666666666677</v>
      </c>
      <c r="CJ12" s="520">
        <v>78.412500000000009</v>
      </c>
      <c r="CK12" s="313"/>
    </row>
    <row r="13" spans="1:89" ht="14.25" customHeight="1">
      <c r="A13" s="166">
        <f t="shared" si="14"/>
        <v>41830</v>
      </c>
      <c r="B13" s="322">
        <v>0</v>
      </c>
      <c r="C13" s="259">
        <v>0</v>
      </c>
      <c r="D13" s="259">
        <v>89289.60000000002</v>
      </c>
      <c r="E13" s="259">
        <v>3144</v>
      </c>
      <c r="F13" s="320">
        <v>0</v>
      </c>
      <c r="G13" s="259">
        <v>89289.60000000002</v>
      </c>
      <c r="H13" s="259">
        <v>3144</v>
      </c>
      <c r="I13" s="263">
        <f t="shared" si="0"/>
        <v>0</v>
      </c>
      <c r="J13" s="328">
        <f t="shared" si="1"/>
        <v>0</v>
      </c>
      <c r="K13" s="328">
        <f t="shared" si="2"/>
        <v>89289.60000000002</v>
      </c>
      <c r="L13" s="325">
        <f t="shared" si="3"/>
        <v>3144</v>
      </c>
      <c r="M13" s="594">
        <v>0.58951900000000002</v>
      </c>
      <c r="N13" s="280">
        <v>0</v>
      </c>
      <c r="O13" s="280">
        <v>0</v>
      </c>
      <c r="P13" s="156">
        <f t="shared" si="15"/>
        <v>0</v>
      </c>
      <c r="Q13" s="280">
        <f t="shared" si="16"/>
        <v>0</v>
      </c>
      <c r="R13" s="372">
        <f t="shared" si="4"/>
        <v>0</v>
      </c>
      <c r="S13" s="263">
        <f t="shared" si="17"/>
        <v>0</v>
      </c>
      <c r="T13" s="125">
        <f t="shared" si="5"/>
        <v>0</v>
      </c>
      <c r="U13" s="125">
        <f t="shared" si="6"/>
        <v>0</v>
      </c>
      <c r="V13" s="125">
        <f t="shared" si="7"/>
        <v>0</v>
      </c>
      <c r="W13" s="125">
        <f t="shared" si="8"/>
        <v>0</v>
      </c>
      <c r="X13" s="125">
        <f t="shared" si="9"/>
        <v>0</v>
      </c>
      <c r="Y13" s="145">
        <f t="shared" si="10"/>
        <v>0</v>
      </c>
      <c r="Z13" s="269"/>
      <c r="AA13" s="167">
        <f t="shared" si="18"/>
        <v>0</v>
      </c>
      <c r="AB13" s="336"/>
      <c r="AC13" s="167">
        <f t="shared" si="19"/>
        <v>114178.56761083424</v>
      </c>
      <c r="AD13" s="525" t="str">
        <f t="shared" si="20"/>
        <v>-</v>
      </c>
      <c r="AE13" s="336"/>
      <c r="AF13" s="101">
        <v>10</v>
      </c>
      <c r="AG13" s="102">
        <f t="shared" si="11"/>
        <v>110053.58666992187</v>
      </c>
      <c r="AH13" s="102">
        <f>'Daily Budget Data'!B14</f>
        <v>116730.39442101687</v>
      </c>
      <c r="AI13" s="96"/>
      <c r="AJ13" s="518">
        <f t="shared" si="21"/>
        <v>0</v>
      </c>
      <c r="AK13" s="518">
        <f t="shared" si="22"/>
        <v>0</v>
      </c>
      <c r="AL13" s="103"/>
      <c r="AM13" s="102">
        <f t="shared" si="12"/>
        <v>109873.5869140625</v>
      </c>
      <c r="AN13" s="102">
        <f>'Daily Budget Data'!H14+'Daily Budget Data'!I14+'Daily Budget Data'!J14</f>
        <v>122215.75912878796</v>
      </c>
      <c r="AO13" s="96"/>
      <c r="AP13" s="110">
        <v>10</v>
      </c>
      <c r="AQ13" s="334">
        <v>80929.858032226563</v>
      </c>
      <c r="AR13" s="336">
        <v>29123.728637695313</v>
      </c>
      <c r="AS13" s="423"/>
      <c r="AT13" s="336">
        <v>80431.858276367188</v>
      </c>
      <c r="AU13" s="336">
        <v>29441.728637695313</v>
      </c>
      <c r="AV13" s="353"/>
      <c r="AX13" s="518">
        <v>5079</v>
      </c>
      <c r="AY13" s="519">
        <v>0</v>
      </c>
      <c r="AZ13" s="520">
        <v>0</v>
      </c>
      <c r="BA13" s="105"/>
      <c r="BB13" s="518">
        <v>888</v>
      </c>
      <c r="BC13" s="519">
        <v>409</v>
      </c>
      <c r="BD13" s="520">
        <v>0</v>
      </c>
      <c r="BE13" s="105"/>
      <c r="BF13" s="518">
        <v>2016</v>
      </c>
      <c r="BG13" s="519">
        <v>883</v>
      </c>
      <c r="BH13" s="520">
        <v>0</v>
      </c>
      <c r="BI13" s="105"/>
      <c r="BJ13" s="518">
        <v>0</v>
      </c>
      <c r="BK13" s="519">
        <v>0</v>
      </c>
      <c r="BL13" s="520">
        <v>0</v>
      </c>
      <c r="BM13" s="105"/>
      <c r="BN13" s="518">
        <v>2416</v>
      </c>
      <c r="BO13" s="519">
        <v>728</v>
      </c>
      <c r="BP13" s="520">
        <v>0</v>
      </c>
      <c r="BQ13" s="96"/>
      <c r="BR13" s="518">
        <v>0</v>
      </c>
      <c r="BS13" s="519">
        <v>0</v>
      </c>
      <c r="BT13" s="520">
        <v>0</v>
      </c>
      <c r="BU13" s="129"/>
      <c r="BV13" s="518">
        <v>0</v>
      </c>
      <c r="BW13" s="519">
        <v>10</v>
      </c>
      <c r="BX13" s="519">
        <v>0</v>
      </c>
      <c r="BY13" s="520">
        <v>13</v>
      </c>
      <c r="BZ13" s="96"/>
      <c r="CA13" s="518">
        <v>0</v>
      </c>
      <c r="CB13" s="519">
        <v>0</v>
      </c>
      <c r="CC13" s="520">
        <v>0</v>
      </c>
      <c r="CD13" s="175"/>
      <c r="CE13" s="653">
        <f t="shared" si="23"/>
        <v>0</v>
      </c>
      <c r="CF13" s="654">
        <f t="shared" si="13"/>
        <v>0</v>
      </c>
      <c r="CG13" s="655">
        <f t="shared" si="13"/>
        <v>0</v>
      </c>
      <c r="CH13" s="313"/>
      <c r="CI13" s="518">
        <v>74.92916666666666</v>
      </c>
      <c r="CJ13" s="520">
        <v>78.039130434782606</v>
      </c>
      <c r="CK13" s="313"/>
    </row>
    <row r="14" spans="1:89" ht="14.25" customHeight="1">
      <c r="A14" s="166">
        <f t="shared" si="14"/>
        <v>41831</v>
      </c>
      <c r="B14" s="322">
        <v>0</v>
      </c>
      <c r="C14" s="259">
        <v>0</v>
      </c>
      <c r="D14" s="259">
        <v>82046.041610000015</v>
      </c>
      <c r="E14" s="259">
        <v>3053</v>
      </c>
      <c r="F14" s="320">
        <v>0</v>
      </c>
      <c r="G14" s="259">
        <v>82046.041610000015</v>
      </c>
      <c r="H14" s="259">
        <v>3053</v>
      </c>
      <c r="I14" s="263">
        <f t="shared" si="0"/>
        <v>0</v>
      </c>
      <c r="J14" s="328">
        <f t="shared" si="1"/>
        <v>0</v>
      </c>
      <c r="K14" s="328">
        <f t="shared" si="2"/>
        <v>82046.041610000015</v>
      </c>
      <c r="L14" s="325">
        <f t="shared" si="3"/>
        <v>3053</v>
      </c>
      <c r="M14" s="594">
        <v>1.817787</v>
      </c>
      <c r="N14" s="280">
        <v>0</v>
      </c>
      <c r="O14" s="280">
        <v>0</v>
      </c>
      <c r="P14" s="156">
        <f t="shared" si="15"/>
        <v>0</v>
      </c>
      <c r="Q14" s="280">
        <f t="shared" si="16"/>
        <v>0</v>
      </c>
      <c r="R14" s="372">
        <f t="shared" si="4"/>
        <v>0</v>
      </c>
      <c r="S14" s="263">
        <f t="shared" si="17"/>
        <v>0</v>
      </c>
      <c r="T14" s="125">
        <f t="shared" si="5"/>
        <v>0</v>
      </c>
      <c r="U14" s="125">
        <f t="shared" si="6"/>
        <v>0</v>
      </c>
      <c r="V14" s="125">
        <f t="shared" si="7"/>
        <v>0</v>
      </c>
      <c r="W14" s="125">
        <f t="shared" si="8"/>
        <v>0</v>
      </c>
      <c r="X14" s="125">
        <f t="shared" si="9"/>
        <v>0</v>
      </c>
      <c r="Y14" s="145">
        <f t="shared" si="10"/>
        <v>0</v>
      </c>
      <c r="Z14" s="269"/>
      <c r="AA14" s="167">
        <f t="shared" si="18"/>
        <v>0</v>
      </c>
      <c r="AB14" s="336"/>
      <c r="AC14" s="167">
        <f t="shared" si="19"/>
        <v>112347.14737940252</v>
      </c>
      <c r="AD14" s="525" t="str">
        <f t="shared" si="20"/>
        <v>-</v>
      </c>
      <c r="AE14" s="336"/>
      <c r="AF14" s="101">
        <v>11</v>
      </c>
      <c r="AG14" s="102">
        <f t="shared" si="11"/>
        <v>109400.60009765625</v>
      </c>
      <c r="AH14" s="102">
        <f>'Daily Budget Data'!B15</f>
        <v>114858.04297679216</v>
      </c>
      <c r="AI14" s="96"/>
      <c r="AJ14" s="518">
        <f t="shared" si="21"/>
        <v>0</v>
      </c>
      <c r="AK14" s="518">
        <f t="shared" si="22"/>
        <v>0</v>
      </c>
      <c r="AL14" s="103"/>
      <c r="AM14" s="102">
        <f t="shared" si="12"/>
        <v>109404.60009765625</v>
      </c>
      <c r="AN14" s="102">
        <f>'Daily Budget Data'!H15+'Daily Budget Data'!I15+'Daily Budget Data'!J15</f>
        <v>122215.75912878796</v>
      </c>
      <c r="AO14" s="96"/>
      <c r="AP14" s="110">
        <v>11</v>
      </c>
      <c r="AQ14" s="334">
        <v>80708.701782226563</v>
      </c>
      <c r="AR14" s="336">
        <v>28691.898315429688</v>
      </c>
      <c r="AS14" s="423"/>
      <c r="AT14" s="336">
        <v>80287.701904296875</v>
      </c>
      <c r="AU14" s="336">
        <v>29116.898193359375</v>
      </c>
      <c r="AV14" s="353"/>
      <c r="AX14" s="518">
        <v>5411</v>
      </c>
      <c r="AY14" s="519">
        <v>15</v>
      </c>
      <c r="AZ14" s="520">
        <v>0</v>
      </c>
      <c r="BA14" s="105"/>
      <c r="BB14" s="518">
        <v>817</v>
      </c>
      <c r="BC14" s="519">
        <v>449</v>
      </c>
      <c r="BD14" s="520">
        <v>0</v>
      </c>
      <c r="BE14" s="105"/>
      <c r="BF14" s="518">
        <v>2048</v>
      </c>
      <c r="BG14" s="519">
        <v>956</v>
      </c>
      <c r="BH14" s="520">
        <v>0</v>
      </c>
      <c r="BI14" s="105"/>
      <c r="BJ14" s="518">
        <v>0</v>
      </c>
      <c r="BK14" s="519">
        <v>0</v>
      </c>
      <c r="BL14" s="520">
        <v>0</v>
      </c>
      <c r="BM14" s="105"/>
      <c r="BN14" s="518">
        <v>2324</v>
      </c>
      <c r="BO14" s="519">
        <v>568</v>
      </c>
      <c r="BP14" s="520">
        <v>0</v>
      </c>
      <c r="BQ14" s="96"/>
      <c r="BR14" s="518">
        <v>142</v>
      </c>
      <c r="BS14" s="519">
        <v>19</v>
      </c>
      <c r="BT14" s="520">
        <v>0</v>
      </c>
      <c r="BU14" s="129"/>
      <c r="BV14" s="518">
        <v>0</v>
      </c>
      <c r="BW14" s="519">
        <v>10</v>
      </c>
      <c r="BX14" s="519">
        <v>0</v>
      </c>
      <c r="BY14" s="520">
        <v>11</v>
      </c>
      <c r="BZ14" s="96"/>
      <c r="CA14" s="518">
        <v>0</v>
      </c>
      <c r="CB14" s="519">
        <v>0</v>
      </c>
      <c r="CC14" s="520">
        <v>0</v>
      </c>
      <c r="CD14" s="175"/>
      <c r="CE14" s="653">
        <f t="shared" si="23"/>
        <v>0</v>
      </c>
      <c r="CF14" s="654">
        <f t="shared" si="13"/>
        <v>0</v>
      </c>
      <c r="CG14" s="655">
        <f t="shared" si="13"/>
        <v>0</v>
      </c>
      <c r="CH14" s="313"/>
      <c r="CI14" s="518">
        <v>76.208333333333329</v>
      </c>
      <c r="CJ14" s="520">
        <v>77.36666666666666</v>
      </c>
      <c r="CK14" s="313"/>
    </row>
    <row r="15" spans="1:89" ht="14.25" customHeight="1">
      <c r="A15" s="166">
        <f t="shared" si="14"/>
        <v>41832</v>
      </c>
      <c r="B15" s="322">
        <v>8059</v>
      </c>
      <c r="C15" s="259">
        <v>200</v>
      </c>
      <c r="D15" s="259">
        <v>76152.500360000005</v>
      </c>
      <c r="E15" s="259">
        <v>2670</v>
      </c>
      <c r="F15" s="320">
        <v>411.54699999999997</v>
      </c>
      <c r="G15" s="259">
        <v>76152.500360000005</v>
      </c>
      <c r="H15" s="259">
        <v>2670</v>
      </c>
      <c r="I15" s="263">
        <f t="shared" si="0"/>
        <v>8059</v>
      </c>
      <c r="J15" s="328">
        <f t="shared" si="1"/>
        <v>200</v>
      </c>
      <c r="K15" s="328">
        <f t="shared" si="2"/>
        <v>76152.500360000005</v>
      </c>
      <c r="L15" s="325">
        <f t="shared" si="3"/>
        <v>2670</v>
      </c>
      <c r="M15" s="594">
        <v>0.29666400000000004</v>
      </c>
      <c r="N15" s="280">
        <v>0</v>
      </c>
      <c r="O15" s="280">
        <v>100</v>
      </c>
      <c r="P15" s="156">
        <f t="shared" si="15"/>
        <v>29.666400000000003</v>
      </c>
      <c r="Q15" s="280">
        <f t="shared" si="16"/>
        <v>0</v>
      </c>
      <c r="R15" s="372">
        <f t="shared" si="4"/>
        <v>29.666400000000003</v>
      </c>
      <c r="S15" s="263">
        <f t="shared" si="17"/>
        <v>100</v>
      </c>
      <c r="T15" s="125">
        <f t="shared" si="5"/>
        <v>0</v>
      </c>
      <c r="U15" s="125">
        <f t="shared" si="6"/>
        <v>0</v>
      </c>
      <c r="V15" s="125">
        <f t="shared" si="7"/>
        <v>0</v>
      </c>
      <c r="W15" s="125">
        <f t="shared" si="8"/>
        <v>0</v>
      </c>
      <c r="X15" s="125">
        <f t="shared" si="9"/>
        <v>200</v>
      </c>
      <c r="Y15" s="145">
        <f t="shared" si="10"/>
        <v>7126.0000000000009</v>
      </c>
      <c r="Z15" s="269">
        <v>35.630000000000003</v>
      </c>
      <c r="AA15" s="167">
        <f t="shared" si="18"/>
        <v>391.78659999999945</v>
      </c>
      <c r="AB15" s="336"/>
      <c r="AC15" s="167">
        <f t="shared" si="19"/>
        <v>104098.36160963324</v>
      </c>
      <c r="AD15" s="525">
        <f t="shared" si="20"/>
        <v>40.14518468</v>
      </c>
      <c r="AE15" s="336"/>
      <c r="AF15" s="101">
        <v>12</v>
      </c>
      <c r="AG15" s="102">
        <f t="shared" si="11"/>
        <v>102643.58178710937</v>
      </c>
      <c r="AH15" s="102">
        <f>'Daily Budget Data'!B16</f>
        <v>106424.90148143264</v>
      </c>
      <c r="AI15" s="96"/>
      <c r="AJ15" s="518">
        <f t="shared" si="21"/>
        <v>0</v>
      </c>
      <c r="AK15" s="518">
        <f t="shared" si="22"/>
        <v>0</v>
      </c>
      <c r="AL15" s="103"/>
      <c r="AM15" s="102">
        <f t="shared" si="12"/>
        <v>103147.58142089844</v>
      </c>
      <c r="AN15" s="102">
        <f>'Daily Budget Data'!H16+'Daily Budget Data'!I16+'Daily Budget Data'!J16</f>
        <v>107604.7791666667</v>
      </c>
      <c r="AO15" s="96"/>
      <c r="AP15" s="110">
        <v>12</v>
      </c>
      <c r="AQ15" s="334"/>
      <c r="AR15" s="336">
        <v>27808.104736328125</v>
      </c>
      <c r="AS15" s="423">
        <v>74835.47705078125</v>
      </c>
      <c r="AT15" s="336"/>
      <c r="AU15" s="336">
        <v>28195.104614257813</v>
      </c>
      <c r="AV15" s="353">
        <v>74952.476806640625</v>
      </c>
      <c r="AX15" s="518">
        <v>0</v>
      </c>
      <c r="AY15" s="519">
        <v>0</v>
      </c>
      <c r="AZ15" s="520">
        <v>2538</v>
      </c>
      <c r="BA15" s="105"/>
      <c r="BB15" s="518">
        <v>0</v>
      </c>
      <c r="BC15" s="519">
        <v>403</v>
      </c>
      <c r="BD15" s="520">
        <v>791</v>
      </c>
      <c r="BE15" s="105"/>
      <c r="BF15" s="518">
        <v>0</v>
      </c>
      <c r="BG15" s="519">
        <v>874</v>
      </c>
      <c r="BH15" s="520">
        <v>2025</v>
      </c>
      <c r="BI15" s="105"/>
      <c r="BJ15" s="518">
        <v>0</v>
      </c>
      <c r="BK15" s="519">
        <v>0</v>
      </c>
      <c r="BL15" s="520">
        <v>0</v>
      </c>
      <c r="BM15" s="105"/>
      <c r="BN15" s="518">
        <v>0</v>
      </c>
      <c r="BO15" s="519">
        <v>554</v>
      </c>
      <c r="BP15" s="520">
        <v>2042</v>
      </c>
      <c r="BQ15" s="96"/>
      <c r="BR15" s="518">
        <v>0</v>
      </c>
      <c r="BS15" s="519">
        <v>0</v>
      </c>
      <c r="BT15" s="520">
        <v>74</v>
      </c>
      <c r="BU15" s="129"/>
      <c r="BV15" s="518">
        <v>0</v>
      </c>
      <c r="BW15" s="519">
        <v>12</v>
      </c>
      <c r="BX15" s="519">
        <v>0</v>
      </c>
      <c r="BY15" s="520">
        <v>13</v>
      </c>
      <c r="BZ15" s="96"/>
      <c r="CA15" s="518">
        <v>0</v>
      </c>
      <c r="CB15" s="519">
        <v>0</v>
      </c>
      <c r="CC15" s="520">
        <v>200</v>
      </c>
      <c r="CD15" s="175"/>
      <c r="CE15" s="653">
        <f t="shared" si="23"/>
        <v>0</v>
      </c>
      <c r="CF15" s="654">
        <f t="shared" si="13"/>
        <v>0</v>
      </c>
      <c r="CG15" s="655">
        <f t="shared" si="13"/>
        <v>200</v>
      </c>
      <c r="CH15" s="313"/>
      <c r="CI15" s="518">
        <v>78.191666666666649</v>
      </c>
      <c r="CJ15" s="520">
        <v>78.526086956521738</v>
      </c>
      <c r="CK15" s="278"/>
    </row>
    <row r="16" spans="1:89" ht="14.25" customHeight="1">
      <c r="A16" s="166">
        <f t="shared" si="14"/>
        <v>41833</v>
      </c>
      <c r="B16" s="322">
        <v>39866.5</v>
      </c>
      <c r="C16" s="259">
        <v>748</v>
      </c>
      <c r="D16" s="259">
        <v>81566.160000000047</v>
      </c>
      <c r="E16" s="259">
        <v>2866</v>
      </c>
      <c r="F16" s="320">
        <v>1439.6020000000005</v>
      </c>
      <c r="G16" s="259">
        <v>81566.160000000047</v>
      </c>
      <c r="H16" s="259">
        <v>2866</v>
      </c>
      <c r="I16" s="263">
        <f t="shared" si="0"/>
        <v>39866.5</v>
      </c>
      <c r="J16" s="328">
        <f t="shared" si="1"/>
        <v>748</v>
      </c>
      <c r="K16" s="328">
        <f t="shared" ref="K16:K34" si="24">SUM(D16:D16)</f>
        <v>81566.160000000047</v>
      </c>
      <c r="L16" s="325">
        <f t="shared" ref="L16:L34" si="25">SUM(E16:E16)</f>
        <v>2866</v>
      </c>
      <c r="M16" s="594">
        <v>0.587341</v>
      </c>
      <c r="N16" s="280">
        <v>100</v>
      </c>
      <c r="O16" s="280">
        <v>400</v>
      </c>
      <c r="P16" s="156">
        <f t="shared" si="15"/>
        <v>234.93639999999999</v>
      </c>
      <c r="Q16" s="280">
        <f t="shared" si="16"/>
        <v>100</v>
      </c>
      <c r="R16" s="372">
        <f t="shared" si="4"/>
        <v>334.93639999999999</v>
      </c>
      <c r="S16" s="263">
        <f t="shared" si="17"/>
        <v>374</v>
      </c>
      <c r="T16" s="125">
        <f t="shared" si="5"/>
        <v>0</v>
      </c>
      <c r="U16" s="125">
        <f t="shared" si="6"/>
        <v>0</v>
      </c>
      <c r="V16" s="125">
        <f t="shared" si="7"/>
        <v>0</v>
      </c>
      <c r="W16" s="125">
        <f t="shared" si="8"/>
        <v>0</v>
      </c>
      <c r="X16" s="125">
        <f t="shared" si="9"/>
        <v>748</v>
      </c>
      <c r="Y16" s="145">
        <f t="shared" si="10"/>
        <v>30196.76</v>
      </c>
      <c r="Z16" s="269">
        <v>40.369999999999997</v>
      </c>
      <c r="AA16" s="167">
        <f t="shared" si="18"/>
        <v>7521.201600000004</v>
      </c>
      <c r="AB16" s="336"/>
      <c r="AC16" s="167">
        <f t="shared" si="19"/>
        <v>102715.69004619638</v>
      </c>
      <c r="AD16" s="525">
        <f t="shared" si="20"/>
        <v>52.848898741978616</v>
      </c>
      <c r="AE16" s="336"/>
      <c r="AF16" s="101">
        <v>13</v>
      </c>
      <c r="AG16" s="102">
        <f t="shared" si="11"/>
        <v>109862.18371582031</v>
      </c>
      <c r="AH16" s="102">
        <f>'Daily Budget Data'!B17</f>
        <v>105011.32798570598</v>
      </c>
      <c r="AI16" s="96"/>
      <c r="AJ16" s="518">
        <f t="shared" si="21"/>
        <v>0</v>
      </c>
      <c r="AK16" s="518">
        <f t="shared" si="22"/>
        <v>0</v>
      </c>
      <c r="AL16" s="103"/>
      <c r="AM16" s="102">
        <f t="shared" si="12"/>
        <v>112195.18359375</v>
      </c>
      <c r="AN16" s="102">
        <f>'Daily Budget Data'!H17+'Daily Budget Data'!I17+'Daily Budget Data'!J17</f>
        <v>107604.7791666667</v>
      </c>
      <c r="AO16" s="96"/>
      <c r="AP16" s="110">
        <v>13</v>
      </c>
      <c r="AQ16" s="334"/>
      <c r="AR16" s="336">
        <v>29645.822265625</v>
      </c>
      <c r="AS16" s="423">
        <v>80216.361450195313</v>
      </c>
      <c r="AT16" s="336"/>
      <c r="AU16" s="336">
        <v>30179.822143554688</v>
      </c>
      <c r="AV16" s="353">
        <v>82015.361450195313</v>
      </c>
      <c r="AX16" s="518">
        <v>0</v>
      </c>
      <c r="AY16" s="519">
        <v>0</v>
      </c>
      <c r="AZ16" s="520">
        <v>3924</v>
      </c>
      <c r="BA16" s="105"/>
      <c r="BB16" s="518">
        <v>0</v>
      </c>
      <c r="BC16" s="519">
        <v>348</v>
      </c>
      <c r="BD16" s="520">
        <v>537</v>
      </c>
      <c r="BE16" s="105"/>
      <c r="BF16" s="518">
        <v>0</v>
      </c>
      <c r="BG16" s="519">
        <v>1146</v>
      </c>
      <c r="BH16" s="520">
        <v>3239</v>
      </c>
      <c r="BI16" s="105"/>
      <c r="BJ16" s="518">
        <v>0</v>
      </c>
      <c r="BK16" s="519">
        <v>0</v>
      </c>
      <c r="BL16" s="520">
        <v>0</v>
      </c>
      <c r="BM16" s="105"/>
      <c r="BN16" s="518">
        <v>0</v>
      </c>
      <c r="BO16" s="519">
        <v>686</v>
      </c>
      <c r="BP16" s="520">
        <v>2155</v>
      </c>
      <c r="BQ16" s="96"/>
      <c r="BR16" s="518">
        <v>0</v>
      </c>
      <c r="BS16" s="519">
        <v>0</v>
      </c>
      <c r="BT16" s="520">
        <v>25</v>
      </c>
      <c r="BU16" s="129"/>
      <c r="BV16" s="518">
        <v>0</v>
      </c>
      <c r="BW16" s="519">
        <v>18</v>
      </c>
      <c r="BX16" s="519">
        <v>0</v>
      </c>
      <c r="BY16" s="520">
        <v>19</v>
      </c>
      <c r="BZ16" s="96"/>
      <c r="CA16" s="518">
        <v>0</v>
      </c>
      <c r="CB16" s="519">
        <v>0</v>
      </c>
      <c r="CC16" s="520">
        <v>748</v>
      </c>
      <c r="CD16" s="175"/>
      <c r="CE16" s="653">
        <f t="shared" si="23"/>
        <v>0</v>
      </c>
      <c r="CF16" s="654">
        <f t="shared" si="13"/>
        <v>0</v>
      </c>
      <c r="CG16" s="655">
        <f t="shared" si="13"/>
        <v>748</v>
      </c>
      <c r="CH16" s="313"/>
      <c r="CI16" s="518">
        <v>82.339130434782618</v>
      </c>
      <c r="CJ16" s="520">
        <v>83.608333333333348</v>
      </c>
      <c r="CK16" s="313"/>
    </row>
    <row r="17" spans="1:89" ht="14.25" customHeight="1">
      <c r="A17" s="166">
        <f t="shared" si="14"/>
        <v>41834</v>
      </c>
      <c r="B17" s="322">
        <v>177600</v>
      </c>
      <c r="C17" s="259">
        <v>3171</v>
      </c>
      <c r="D17" s="259">
        <v>103633.84999999998</v>
      </c>
      <c r="E17" s="259">
        <v>3635</v>
      </c>
      <c r="F17" s="320">
        <v>13276.116</v>
      </c>
      <c r="G17" s="259">
        <v>103633.84999999998</v>
      </c>
      <c r="H17" s="259">
        <v>3635</v>
      </c>
      <c r="I17" s="263">
        <f t="shared" si="0"/>
        <v>177600</v>
      </c>
      <c r="J17" s="328">
        <f t="shared" si="1"/>
        <v>3171</v>
      </c>
      <c r="K17" s="328">
        <f t="shared" si="24"/>
        <v>103633.84999999998</v>
      </c>
      <c r="L17" s="325">
        <f t="shared" si="25"/>
        <v>3635</v>
      </c>
      <c r="M17" s="594">
        <v>0.63323300000000005</v>
      </c>
      <c r="N17" s="280">
        <v>0</v>
      </c>
      <c r="O17" s="280">
        <v>0</v>
      </c>
      <c r="P17" s="156">
        <f t="shared" si="15"/>
        <v>0</v>
      </c>
      <c r="Q17" s="280">
        <f t="shared" si="16"/>
        <v>0</v>
      </c>
      <c r="R17" s="372">
        <f t="shared" si="4"/>
        <v>0</v>
      </c>
      <c r="S17" s="263">
        <f t="shared" si="17"/>
        <v>1585.5</v>
      </c>
      <c r="T17" s="125">
        <f t="shared" si="5"/>
        <v>0</v>
      </c>
      <c r="U17" s="125">
        <f t="shared" si="6"/>
        <v>0</v>
      </c>
      <c r="V17" s="125">
        <f t="shared" si="7"/>
        <v>0</v>
      </c>
      <c r="W17" s="125">
        <f t="shared" si="8"/>
        <v>0</v>
      </c>
      <c r="X17" s="125">
        <f t="shared" si="9"/>
        <v>3171</v>
      </c>
      <c r="Y17" s="145">
        <f t="shared" si="10"/>
        <v>119736.95999999999</v>
      </c>
      <c r="Z17" s="269">
        <v>37.76</v>
      </c>
      <c r="AA17" s="167">
        <f t="shared" si="18"/>
        <v>43001.423999999999</v>
      </c>
      <c r="AB17" s="336"/>
      <c r="AC17" s="167">
        <f t="shared" si="19"/>
        <v>114070.53259690644</v>
      </c>
      <c r="AD17" s="525">
        <f t="shared" si="20"/>
        <v>56.00736889530117</v>
      </c>
      <c r="AE17" s="336"/>
      <c r="AF17" s="101">
        <v>14</v>
      </c>
      <c r="AG17" s="102">
        <f t="shared" si="11"/>
        <v>110969.5849609375</v>
      </c>
      <c r="AH17" s="102">
        <f>'Daily Budget Data'!B18</f>
        <v>116619.94488525062</v>
      </c>
      <c r="AI17" s="96"/>
      <c r="AJ17" s="518">
        <f t="shared" si="21"/>
        <v>0</v>
      </c>
      <c r="AK17" s="518">
        <f t="shared" si="22"/>
        <v>0</v>
      </c>
      <c r="AL17" s="103"/>
      <c r="AM17" s="102">
        <f t="shared" si="12"/>
        <v>117730.5849609375</v>
      </c>
      <c r="AN17" s="102">
        <f>'Daily Budget Data'!H18+'Daily Budget Data'!I18+'Daily Budget Data'!J18</f>
        <v>122215.75912878796</v>
      </c>
      <c r="AO17" s="96"/>
      <c r="AP17" s="110">
        <v>14</v>
      </c>
      <c r="AQ17" s="334">
        <v>80021.645141601563</v>
      </c>
      <c r="AR17" s="336">
        <v>30947.939819335938</v>
      </c>
      <c r="AS17" s="423"/>
      <c r="AT17" s="336">
        <v>85616.64501953125</v>
      </c>
      <c r="AU17" s="336">
        <v>32113.93994140625</v>
      </c>
      <c r="AV17" s="353"/>
      <c r="AX17" s="518">
        <v>4552</v>
      </c>
      <c r="AY17" s="519">
        <v>4</v>
      </c>
      <c r="AZ17" s="520">
        <v>0</v>
      </c>
      <c r="BA17" s="105"/>
      <c r="BB17" s="518">
        <v>754</v>
      </c>
      <c r="BC17" s="519">
        <v>262</v>
      </c>
      <c r="BD17" s="520">
        <v>0</v>
      </c>
      <c r="BE17" s="105"/>
      <c r="BF17" s="518">
        <v>4898</v>
      </c>
      <c r="BG17" s="519">
        <v>2296</v>
      </c>
      <c r="BH17" s="520">
        <v>0</v>
      </c>
      <c r="BI17" s="105"/>
      <c r="BJ17" s="518">
        <v>0</v>
      </c>
      <c r="BK17" s="519">
        <v>0</v>
      </c>
      <c r="BL17" s="520">
        <v>0</v>
      </c>
      <c r="BM17" s="105"/>
      <c r="BN17" s="518">
        <v>2429</v>
      </c>
      <c r="BO17" s="519">
        <v>1206</v>
      </c>
      <c r="BP17" s="520">
        <v>0</v>
      </c>
      <c r="BQ17" s="96"/>
      <c r="BR17" s="518">
        <v>0</v>
      </c>
      <c r="BS17" s="519">
        <v>0</v>
      </c>
      <c r="BT17" s="520">
        <v>0</v>
      </c>
      <c r="BU17" s="129"/>
      <c r="BV17" s="518">
        <v>0</v>
      </c>
      <c r="BW17" s="519">
        <v>13</v>
      </c>
      <c r="BX17" s="519">
        <v>0</v>
      </c>
      <c r="BY17" s="520">
        <v>12</v>
      </c>
      <c r="BZ17" s="96"/>
      <c r="CA17" s="518">
        <v>3156</v>
      </c>
      <c r="CB17" s="519">
        <v>15</v>
      </c>
      <c r="CC17" s="520">
        <v>0</v>
      </c>
      <c r="CD17" s="175"/>
      <c r="CE17" s="653">
        <f t="shared" si="23"/>
        <v>3156</v>
      </c>
      <c r="CF17" s="654">
        <f t="shared" si="13"/>
        <v>15</v>
      </c>
      <c r="CG17" s="655">
        <f t="shared" si="13"/>
        <v>0</v>
      </c>
      <c r="CH17" s="313"/>
      <c r="CI17" s="518">
        <v>76.297916666666694</v>
      </c>
      <c r="CJ17" s="520">
        <v>76.157986111111128</v>
      </c>
      <c r="CK17" s="313"/>
    </row>
    <row r="18" spans="1:89" ht="14.25" customHeight="1">
      <c r="A18" s="166">
        <f t="shared" si="14"/>
        <v>41835</v>
      </c>
      <c r="B18" s="322">
        <v>0</v>
      </c>
      <c r="C18" s="259">
        <v>0</v>
      </c>
      <c r="D18" s="259">
        <v>87714.119999999981</v>
      </c>
      <c r="E18" s="259">
        <v>3068</v>
      </c>
      <c r="F18" s="320">
        <v>0</v>
      </c>
      <c r="G18" s="259">
        <v>87714.119999999981</v>
      </c>
      <c r="H18" s="259">
        <v>3068</v>
      </c>
      <c r="I18" s="263">
        <f t="shared" si="0"/>
        <v>0</v>
      </c>
      <c r="J18" s="328">
        <f t="shared" si="1"/>
        <v>0</v>
      </c>
      <c r="K18" s="328">
        <f t="shared" si="24"/>
        <v>87714.119999999981</v>
      </c>
      <c r="L18" s="325">
        <f t="shared" si="25"/>
        <v>3068</v>
      </c>
      <c r="M18" s="594">
        <v>0.59679499999999996</v>
      </c>
      <c r="N18" s="280">
        <v>0</v>
      </c>
      <c r="O18" s="280">
        <v>0</v>
      </c>
      <c r="P18" s="156">
        <f t="shared" si="15"/>
        <v>0</v>
      </c>
      <c r="Q18" s="280">
        <f t="shared" si="16"/>
        <v>0</v>
      </c>
      <c r="R18" s="372">
        <f t="shared" si="4"/>
        <v>0</v>
      </c>
      <c r="S18" s="263">
        <f t="shared" si="17"/>
        <v>0</v>
      </c>
      <c r="T18" s="125">
        <f t="shared" si="5"/>
        <v>0</v>
      </c>
      <c r="U18" s="125">
        <f t="shared" si="6"/>
        <v>0</v>
      </c>
      <c r="V18" s="125">
        <f t="shared" si="7"/>
        <v>0</v>
      </c>
      <c r="W18" s="125">
        <f t="shared" si="8"/>
        <v>0</v>
      </c>
      <c r="X18" s="125">
        <f t="shared" si="9"/>
        <v>0</v>
      </c>
      <c r="Y18" s="145">
        <f t="shared" si="10"/>
        <v>0</v>
      </c>
      <c r="Z18" s="269"/>
      <c r="AA18" s="167">
        <f t="shared" si="18"/>
        <v>0</v>
      </c>
      <c r="AB18" s="336"/>
      <c r="AC18" s="167">
        <f t="shared" si="19"/>
        <v>115958.90551264203</v>
      </c>
      <c r="AD18" s="525" t="str">
        <f t="shared" si="20"/>
        <v>-</v>
      </c>
      <c r="AE18" s="336"/>
      <c r="AF18" s="101">
        <v>15</v>
      </c>
      <c r="AG18" s="102">
        <f t="shared" si="11"/>
        <v>99917.608032226563</v>
      </c>
      <c r="AH18" s="102">
        <f>'Daily Budget Data'!B19</f>
        <v>118550.52187426221</v>
      </c>
      <c r="AI18" s="96"/>
      <c r="AJ18" s="518">
        <f t="shared" si="21"/>
        <v>0</v>
      </c>
      <c r="AK18" s="518">
        <f t="shared" si="22"/>
        <v>0</v>
      </c>
      <c r="AL18" s="103"/>
      <c r="AM18" s="102">
        <f t="shared" si="12"/>
        <v>104296.60778808594</v>
      </c>
      <c r="AN18" s="102">
        <f>'Daily Budget Data'!H19+'Daily Budget Data'!I19+'Daily Budget Data'!J19</f>
        <v>122215.75912878796</v>
      </c>
      <c r="AO18" s="96"/>
      <c r="AP18" s="110">
        <v>15</v>
      </c>
      <c r="AQ18" s="334">
        <v>71820.826293945313</v>
      </c>
      <c r="AR18" s="336">
        <v>28096.78173828125</v>
      </c>
      <c r="AS18" s="423"/>
      <c r="AT18" s="336">
        <v>74309.826049804688</v>
      </c>
      <c r="AU18" s="336">
        <v>29986.78173828125</v>
      </c>
      <c r="AV18" s="353"/>
      <c r="AX18" s="518">
        <v>2843</v>
      </c>
      <c r="AY18" s="519">
        <v>4</v>
      </c>
      <c r="AZ18" s="520">
        <v>0</v>
      </c>
      <c r="BA18" s="105"/>
      <c r="BB18" s="518">
        <v>834</v>
      </c>
      <c r="BC18" s="519">
        <v>416</v>
      </c>
      <c r="BD18" s="520">
        <v>0</v>
      </c>
      <c r="BE18" s="105"/>
      <c r="BF18" s="518">
        <v>4915</v>
      </c>
      <c r="BG18" s="519">
        <v>2407</v>
      </c>
      <c r="BH18" s="520">
        <v>0</v>
      </c>
      <c r="BI18" s="105"/>
      <c r="BJ18" s="518">
        <v>0</v>
      </c>
      <c r="BK18" s="519">
        <v>0</v>
      </c>
      <c r="BL18" s="520">
        <v>0</v>
      </c>
      <c r="BM18" s="105"/>
      <c r="BN18" s="518">
        <v>2500</v>
      </c>
      <c r="BO18" s="519">
        <v>568</v>
      </c>
      <c r="BP18" s="520">
        <v>0</v>
      </c>
      <c r="BQ18" s="96"/>
      <c r="BR18" s="518">
        <v>0</v>
      </c>
      <c r="BS18" s="519">
        <v>0</v>
      </c>
      <c r="BT18" s="520">
        <v>0</v>
      </c>
      <c r="BU18" s="129"/>
      <c r="BV18" s="518">
        <v>0</v>
      </c>
      <c r="BW18" s="519">
        <v>4</v>
      </c>
      <c r="BX18" s="519">
        <v>0</v>
      </c>
      <c r="BY18" s="520">
        <v>5</v>
      </c>
      <c r="BZ18" s="96"/>
      <c r="CA18" s="518">
        <v>0</v>
      </c>
      <c r="CB18" s="519">
        <v>0</v>
      </c>
      <c r="CC18" s="520">
        <v>0</v>
      </c>
      <c r="CD18" s="175"/>
      <c r="CE18" s="653">
        <f t="shared" si="23"/>
        <v>0</v>
      </c>
      <c r="CF18" s="654">
        <f t="shared" si="13"/>
        <v>0</v>
      </c>
      <c r="CG18" s="655">
        <f t="shared" si="13"/>
        <v>0</v>
      </c>
      <c r="CH18" s="278"/>
      <c r="CI18" s="518">
        <v>70.795833333333334</v>
      </c>
      <c r="CJ18" s="520">
        <v>70.920833333333334</v>
      </c>
      <c r="CK18" s="278"/>
    </row>
    <row r="19" spans="1:89" ht="14.25" customHeight="1">
      <c r="A19" s="166">
        <f t="shared" si="14"/>
        <v>41836</v>
      </c>
      <c r="B19" s="322">
        <v>2100</v>
      </c>
      <c r="C19" s="259">
        <v>50</v>
      </c>
      <c r="D19" s="259">
        <v>96683.51</v>
      </c>
      <c r="E19" s="259">
        <v>3377</v>
      </c>
      <c r="F19" s="320">
        <v>157.75700000000001</v>
      </c>
      <c r="G19" s="259">
        <v>96683.51</v>
      </c>
      <c r="H19" s="259">
        <v>3377</v>
      </c>
      <c r="I19" s="263">
        <f t="shared" si="0"/>
        <v>2100</v>
      </c>
      <c r="J19" s="328">
        <f t="shared" si="1"/>
        <v>50</v>
      </c>
      <c r="K19" s="328">
        <f t="shared" si="24"/>
        <v>96683.51</v>
      </c>
      <c r="L19" s="325">
        <f t="shared" si="25"/>
        <v>3377</v>
      </c>
      <c r="M19" s="594">
        <v>4.6213000000000004E-2</v>
      </c>
      <c r="N19" s="280">
        <v>0</v>
      </c>
      <c r="O19" s="280">
        <v>0</v>
      </c>
      <c r="P19" s="156">
        <f t="shared" si="15"/>
        <v>0</v>
      </c>
      <c r="Q19" s="280">
        <f t="shared" si="16"/>
        <v>0</v>
      </c>
      <c r="R19" s="372">
        <f t="shared" si="4"/>
        <v>0</v>
      </c>
      <c r="S19" s="263">
        <f t="shared" si="17"/>
        <v>25</v>
      </c>
      <c r="T19" s="125">
        <f t="shared" si="5"/>
        <v>0</v>
      </c>
      <c r="U19" s="125">
        <f t="shared" si="6"/>
        <v>0</v>
      </c>
      <c r="V19" s="125">
        <f t="shared" si="7"/>
        <v>0</v>
      </c>
      <c r="W19" s="125">
        <f t="shared" si="8"/>
        <v>0</v>
      </c>
      <c r="X19" s="125">
        <f t="shared" si="9"/>
        <v>50</v>
      </c>
      <c r="Y19" s="145">
        <f t="shared" si="10"/>
        <v>1605.9999999999998</v>
      </c>
      <c r="Z19" s="269">
        <v>32.119999999999997</v>
      </c>
      <c r="AA19" s="167">
        <f t="shared" si="18"/>
        <v>311.24300000000017</v>
      </c>
      <c r="AB19" s="336"/>
      <c r="AC19" s="167">
        <f t="shared" si="19"/>
        <v>115991.8807806687</v>
      </c>
      <c r="AD19" s="525">
        <f t="shared" si="20"/>
        <v>41.999075739999995</v>
      </c>
      <c r="AE19" s="336"/>
      <c r="AF19" s="101">
        <v>16</v>
      </c>
      <c r="AG19" s="102">
        <f t="shared" si="11"/>
        <v>91144.539916992188</v>
      </c>
      <c r="AH19" s="102">
        <f>'Daily Budget Data'!B20</f>
        <v>118584.234120995</v>
      </c>
      <c r="AI19" s="96"/>
      <c r="AJ19" s="518">
        <f t="shared" si="21"/>
        <v>0</v>
      </c>
      <c r="AK19" s="518">
        <f t="shared" si="22"/>
        <v>0</v>
      </c>
      <c r="AL19" s="103"/>
      <c r="AM19" s="102">
        <f t="shared" si="12"/>
        <v>94777.53955078125</v>
      </c>
      <c r="AN19" s="102">
        <f>'Daily Budget Data'!H20+'Daily Budget Data'!I20+'Daily Budget Data'!J20</f>
        <v>122215.75912878796</v>
      </c>
      <c r="AO19" s="96"/>
      <c r="AP19" s="110">
        <v>16</v>
      </c>
      <c r="AQ19" s="334">
        <v>66137.580200195312</v>
      </c>
      <c r="AR19" s="336">
        <v>25006.959716796875</v>
      </c>
      <c r="AS19" s="423"/>
      <c r="AT19" s="336">
        <v>68222.579833984375</v>
      </c>
      <c r="AU19" s="336">
        <v>26554.959716796875</v>
      </c>
      <c r="AV19" s="353"/>
      <c r="AX19" s="518">
        <v>0</v>
      </c>
      <c r="AY19" s="519">
        <v>0</v>
      </c>
      <c r="AZ19" s="520">
        <v>0</v>
      </c>
      <c r="BA19" s="105"/>
      <c r="BB19" s="518">
        <v>811</v>
      </c>
      <c r="BC19" s="519">
        <v>413</v>
      </c>
      <c r="BD19" s="520">
        <v>0</v>
      </c>
      <c r="BE19" s="105"/>
      <c r="BF19" s="518">
        <v>4709</v>
      </c>
      <c r="BG19" s="519">
        <v>2249</v>
      </c>
      <c r="BH19" s="520">
        <v>0</v>
      </c>
      <c r="BI19" s="105"/>
      <c r="BJ19" s="518">
        <v>0</v>
      </c>
      <c r="BK19" s="519">
        <v>0</v>
      </c>
      <c r="BL19" s="520">
        <v>0</v>
      </c>
      <c r="BM19" s="105"/>
      <c r="BN19" s="518">
        <v>2688</v>
      </c>
      <c r="BO19" s="519">
        <v>689</v>
      </c>
      <c r="BP19" s="520">
        <v>0</v>
      </c>
      <c r="BQ19" s="96"/>
      <c r="BR19" s="518">
        <v>0</v>
      </c>
      <c r="BS19" s="519">
        <v>0</v>
      </c>
      <c r="BT19" s="520">
        <v>0</v>
      </c>
      <c r="BU19" s="129"/>
      <c r="BV19" s="518">
        <v>0</v>
      </c>
      <c r="BW19" s="519">
        <v>1</v>
      </c>
      <c r="BX19" s="519">
        <v>0</v>
      </c>
      <c r="BY19" s="520">
        <v>2</v>
      </c>
      <c r="BZ19" s="96"/>
      <c r="CA19" s="518">
        <v>50</v>
      </c>
      <c r="CB19" s="519">
        <v>0</v>
      </c>
      <c r="CC19" s="520">
        <v>0</v>
      </c>
      <c r="CD19" s="175"/>
      <c r="CE19" s="653">
        <f t="shared" si="23"/>
        <v>50</v>
      </c>
      <c r="CF19" s="654">
        <f t="shared" si="13"/>
        <v>0</v>
      </c>
      <c r="CG19" s="655">
        <f t="shared" si="13"/>
        <v>0</v>
      </c>
      <c r="CH19" s="316"/>
      <c r="CI19" s="518">
        <v>65.469565217391306</v>
      </c>
      <c r="CJ19" s="520">
        <v>67.412500000000009</v>
      </c>
      <c r="CK19" s="316"/>
    </row>
    <row r="20" spans="1:89" ht="14.25" customHeight="1">
      <c r="A20" s="166">
        <f t="shared" si="14"/>
        <v>41837</v>
      </c>
      <c r="B20" s="322">
        <v>0</v>
      </c>
      <c r="C20" s="259">
        <v>0</v>
      </c>
      <c r="D20" s="259">
        <v>89914.439999999988</v>
      </c>
      <c r="E20" s="259">
        <v>3108</v>
      </c>
      <c r="F20" s="320">
        <v>0</v>
      </c>
      <c r="G20" s="259">
        <v>89914.439999999988</v>
      </c>
      <c r="H20" s="259">
        <v>3108</v>
      </c>
      <c r="I20" s="263">
        <f t="shared" si="0"/>
        <v>0</v>
      </c>
      <c r="J20" s="328">
        <f t="shared" si="1"/>
        <v>0</v>
      </c>
      <c r="K20" s="328">
        <f t="shared" si="24"/>
        <v>89914.439999999988</v>
      </c>
      <c r="L20" s="325">
        <f t="shared" si="25"/>
        <v>3108</v>
      </c>
      <c r="M20" s="594">
        <v>0.47186400000000001</v>
      </c>
      <c r="N20" s="280">
        <v>0</v>
      </c>
      <c r="O20" s="280">
        <v>0</v>
      </c>
      <c r="P20" s="156">
        <f t="shared" si="15"/>
        <v>0</v>
      </c>
      <c r="Q20" s="280">
        <f t="shared" si="16"/>
        <v>0</v>
      </c>
      <c r="R20" s="372">
        <f t="shared" si="4"/>
        <v>0</v>
      </c>
      <c r="S20" s="263">
        <f t="shared" si="17"/>
        <v>0</v>
      </c>
      <c r="T20" s="125">
        <f t="shared" si="5"/>
        <v>0</v>
      </c>
      <c r="U20" s="125">
        <f t="shared" si="6"/>
        <v>0</v>
      </c>
      <c r="V20" s="125">
        <f t="shared" si="7"/>
        <v>0</v>
      </c>
      <c r="W20" s="125">
        <f t="shared" si="8"/>
        <v>0</v>
      </c>
      <c r="X20" s="125">
        <f t="shared" si="9"/>
        <v>0</v>
      </c>
      <c r="Y20" s="145">
        <f t="shared" si="10"/>
        <v>0</v>
      </c>
      <c r="Z20" s="269"/>
      <c r="AA20" s="167">
        <f t="shared" si="18"/>
        <v>0</v>
      </c>
      <c r="AB20" s="336"/>
      <c r="AC20" s="167">
        <f t="shared" si="19"/>
        <v>116070.21412932833</v>
      </c>
      <c r="AD20" s="525" t="str">
        <f t="shared" si="20"/>
        <v>-</v>
      </c>
      <c r="AE20" s="336"/>
      <c r="AF20" s="101">
        <v>17</v>
      </c>
      <c r="AG20" s="102">
        <f t="shared" si="11"/>
        <v>93625.836303710938</v>
      </c>
      <c r="AH20" s="102">
        <f>'Daily Budget Data'!B21</f>
        <v>118664.31817596864</v>
      </c>
      <c r="AI20" s="96"/>
      <c r="AJ20" s="518">
        <f t="shared" si="21"/>
        <v>0</v>
      </c>
      <c r="AK20" s="518">
        <f t="shared" si="22"/>
        <v>0</v>
      </c>
      <c r="AL20" s="103"/>
      <c r="AM20" s="102">
        <f t="shared" si="12"/>
        <v>97205.836059570313</v>
      </c>
      <c r="AN20" s="102">
        <f>'Daily Budget Data'!H21+'Daily Budget Data'!I21+'Daily Budget Data'!J21</f>
        <v>122215.75912878796</v>
      </c>
      <c r="AO20" s="96"/>
      <c r="AP20" s="110">
        <v>17</v>
      </c>
      <c r="AQ20" s="334">
        <v>68242.151000976563</v>
      </c>
      <c r="AR20" s="336">
        <v>25383.685302734375</v>
      </c>
      <c r="AS20" s="423"/>
      <c r="AT20" s="336">
        <v>70520.150634765625</v>
      </c>
      <c r="AU20" s="336">
        <v>26685.685424804688</v>
      </c>
      <c r="AV20" s="353"/>
      <c r="AX20" s="518">
        <v>394</v>
      </c>
      <c r="AY20" s="519">
        <v>0</v>
      </c>
      <c r="AZ20" s="520">
        <v>0</v>
      </c>
      <c r="BA20" s="105"/>
      <c r="BB20" s="518">
        <v>856</v>
      </c>
      <c r="BC20" s="519">
        <v>430</v>
      </c>
      <c r="BD20" s="520">
        <v>0</v>
      </c>
      <c r="BE20" s="105"/>
      <c r="BF20" s="518">
        <v>4566</v>
      </c>
      <c r="BG20" s="519">
        <v>2135</v>
      </c>
      <c r="BH20" s="520">
        <v>0</v>
      </c>
      <c r="BI20" s="105"/>
      <c r="BJ20" s="518">
        <v>0</v>
      </c>
      <c r="BK20" s="519">
        <v>0</v>
      </c>
      <c r="BL20" s="520">
        <v>0</v>
      </c>
      <c r="BM20" s="105"/>
      <c r="BN20" s="518">
        <v>2416</v>
      </c>
      <c r="BO20" s="519">
        <v>692</v>
      </c>
      <c r="BP20" s="520">
        <v>0</v>
      </c>
      <c r="BQ20" s="96"/>
      <c r="BR20" s="518">
        <v>0</v>
      </c>
      <c r="BS20" s="519">
        <v>0</v>
      </c>
      <c r="BT20" s="520">
        <v>0</v>
      </c>
      <c r="BU20" s="129"/>
      <c r="BV20" s="518">
        <v>0</v>
      </c>
      <c r="BW20" s="519">
        <v>2</v>
      </c>
      <c r="BX20" s="519">
        <v>0</v>
      </c>
      <c r="BY20" s="520">
        <v>4</v>
      </c>
      <c r="BZ20" s="96"/>
      <c r="CA20" s="518">
        <v>0</v>
      </c>
      <c r="CB20" s="519">
        <v>0</v>
      </c>
      <c r="CC20" s="520">
        <v>0</v>
      </c>
      <c r="CD20" s="175"/>
      <c r="CE20" s="653">
        <f t="shared" si="23"/>
        <v>0</v>
      </c>
      <c r="CF20" s="654">
        <f t="shared" ref="CF20:CF34" si="26">CB20+BK20</f>
        <v>0</v>
      </c>
      <c r="CG20" s="655">
        <f t="shared" ref="CG20:CG34" si="27">CC20+BL20</f>
        <v>0</v>
      </c>
      <c r="CH20" s="316"/>
      <c r="CI20" s="518">
        <v>68.42083333333332</v>
      </c>
      <c r="CJ20" s="520">
        <v>69.212499999999991</v>
      </c>
      <c r="CK20" s="316"/>
    </row>
    <row r="21" spans="1:89" ht="14.25" customHeight="1">
      <c r="A21" s="166">
        <f t="shared" si="14"/>
        <v>41838</v>
      </c>
      <c r="B21" s="322">
        <v>0</v>
      </c>
      <c r="C21" s="259">
        <v>0</v>
      </c>
      <c r="D21" s="259">
        <v>53959.710000000021</v>
      </c>
      <c r="E21" s="259">
        <v>1841</v>
      </c>
      <c r="F21" s="320">
        <v>0</v>
      </c>
      <c r="G21" s="259">
        <v>53959.710000000021</v>
      </c>
      <c r="H21" s="259">
        <v>1841</v>
      </c>
      <c r="I21" s="263">
        <f t="shared" si="0"/>
        <v>0</v>
      </c>
      <c r="J21" s="328">
        <f t="shared" si="1"/>
        <v>0</v>
      </c>
      <c r="K21" s="328">
        <f t="shared" si="24"/>
        <v>53959.710000000021</v>
      </c>
      <c r="L21" s="325">
        <f t="shared" si="25"/>
        <v>1841</v>
      </c>
      <c r="M21" s="594">
        <v>0.68717799999999996</v>
      </c>
      <c r="N21" s="280">
        <v>0</v>
      </c>
      <c r="O21" s="280">
        <v>0</v>
      </c>
      <c r="P21" s="156">
        <f t="shared" si="15"/>
        <v>0</v>
      </c>
      <c r="Q21" s="280">
        <f t="shared" si="16"/>
        <v>0</v>
      </c>
      <c r="R21" s="372">
        <f t="shared" si="4"/>
        <v>0</v>
      </c>
      <c r="S21" s="263">
        <f t="shared" si="17"/>
        <v>0</v>
      </c>
      <c r="T21" s="125">
        <f t="shared" si="5"/>
        <v>0</v>
      </c>
      <c r="U21" s="125">
        <f t="shared" si="6"/>
        <v>0</v>
      </c>
      <c r="V21" s="125">
        <f t="shared" si="7"/>
        <v>0</v>
      </c>
      <c r="W21" s="125">
        <f t="shared" si="8"/>
        <v>0</v>
      </c>
      <c r="X21" s="125">
        <f t="shared" si="9"/>
        <v>0</v>
      </c>
      <c r="Y21" s="145">
        <f t="shared" si="10"/>
        <v>0</v>
      </c>
      <c r="Z21" s="269"/>
      <c r="AA21" s="167">
        <f t="shared" si="18"/>
        <v>0</v>
      </c>
      <c r="AB21" s="336"/>
      <c r="AC21" s="167">
        <f t="shared" si="19"/>
        <v>114574.99876429718</v>
      </c>
      <c r="AD21" s="525" t="str">
        <f t="shared" si="20"/>
        <v>-</v>
      </c>
      <c r="AE21" s="336"/>
      <c r="AF21" s="101">
        <v>18</v>
      </c>
      <c r="AG21" s="102">
        <f t="shared" si="11"/>
        <v>85524.149169921875</v>
      </c>
      <c r="AH21" s="102">
        <f>'Daily Budget Data'!B22</f>
        <v>117135.68558793914</v>
      </c>
      <c r="AI21" s="96"/>
      <c r="AJ21" s="518">
        <f t="shared" si="21"/>
        <v>0</v>
      </c>
      <c r="AK21" s="518">
        <f t="shared" si="22"/>
        <v>0</v>
      </c>
      <c r="AL21" s="103"/>
      <c r="AM21" s="102">
        <f t="shared" si="12"/>
        <v>90493.1494140625</v>
      </c>
      <c r="AN21" s="102">
        <f>'Daily Budget Data'!H22+'Daily Budget Data'!I22+'Daily Budget Data'!J22</f>
        <v>122215.75912878796</v>
      </c>
      <c r="AO21" s="96"/>
      <c r="AP21" s="110">
        <v>18</v>
      </c>
      <c r="AQ21" s="334">
        <v>60620.539306640625</v>
      </c>
      <c r="AR21" s="336">
        <v>24903.60986328125</v>
      </c>
      <c r="AS21" s="423"/>
      <c r="AT21" s="336">
        <v>63982.53955078125</v>
      </c>
      <c r="AU21" s="336">
        <v>26510.60986328125</v>
      </c>
      <c r="AV21" s="353"/>
      <c r="AX21" s="518">
        <v>0</v>
      </c>
      <c r="AY21" s="519">
        <v>0</v>
      </c>
      <c r="AZ21" s="520">
        <v>0</v>
      </c>
      <c r="BA21" s="105"/>
      <c r="BB21" s="518">
        <v>936</v>
      </c>
      <c r="BC21" s="519">
        <v>452</v>
      </c>
      <c r="BD21" s="520">
        <v>0</v>
      </c>
      <c r="BE21" s="105"/>
      <c r="BF21" s="518">
        <v>4638</v>
      </c>
      <c r="BG21" s="519">
        <v>2160</v>
      </c>
      <c r="BH21" s="520">
        <v>0</v>
      </c>
      <c r="BI21" s="105"/>
      <c r="BJ21" s="518">
        <v>0</v>
      </c>
      <c r="BK21" s="519">
        <v>0</v>
      </c>
      <c r="BL21" s="520">
        <v>0</v>
      </c>
      <c r="BM21" s="105"/>
      <c r="BN21" s="518">
        <v>1377</v>
      </c>
      <c r="BO21" s="519">
        <v>464</v>
      </c>
      <c r="BP21" s="520">
        <v>0</v>
      </c>
      <c r="BQ21" s="96"/>
      <c r="BR21" s="518">
        <v>0</v>
      </c>
      <c r="BS21" s="519">
        <v>0</v>
      </c>
      <c r="BT21" s="520">
        <v>0</v>
      </c>
      <c r="BU21" s="129"/>
      <c r="BV21" s="518">
        <v>0</v>
      </c>
      <c r="BW21" s="519">
        <v>2</v>
      </c>
      <c r="BX21" s="519">
        <v>0</v>
      </c>
      <c r="BY21" s="520">
        <v>2</v>
      </c>
      <c r="BZ21" s="96"/>
      <c r="CA21" s="518">
        <v>0</v>
      </c>
      <c r="CB21" s="519">
        <v>0</v>
      </c>
      <c r="CC21" s="520">
        <v>0</v>
      </c>
      <c r="CD21" s="175"/>
      <c r="CE21" s="653">
        <f t="shared" si="23"/>
        <v>0</v>
      </c>
      <c r="CF21" s="654">
        <f t="shared" si="26"/>
        <v>0</v>
      </c>
      <c r="CG21" s="655">
        <f t="shared" si="27"/>
        <v>0</v>
      </c>
      <c r="CH21" s="316"/>
      <c r="CI21" s="518">
        <v>65.596527777777794</v>
      </c>
      <c r="CJ21" s="520">
        <v>65.8541666666667</v>
      </c>
      <c r="CK21" s="316"/>
    </row>
    <row r="22" spans="1:89" ht="14.25" customHeight="1">
      <c r="A22" s="166">
        <f t="shared" si="14"/>
        <v>41839</v>
      </c>
      <c r="B22" s="322">
        <v>0</v>
      </c>
      <c r="C22" s="259">
        <v>0</v>
      </c>
      <c r="D22" s="259">
        <v>54622.530000000013</v>
      </c>
      <c r="E22" s="259">
        <v>1879</v>
      </c>
      <c r="F22" s="320">
        <v>0</v>
      </c>
      <c r="G22" s="259">
        <v>54622.530000000013</v>
      </c>
      <c r="H22" s="259">
        <v>1879</v>
      </c>
      <c r="I22" s="263">
        <f t="shared" si="0"/>
        <v>0</v>
      </c>
      <c r="J22" s="328">
        <f t="shared" si="1"/>
        <v>0</v>
      </c>
      <c r="K22" s="328">
        <f t="shared" si="24"/>
        <v>54622.530000000013</v>
      </c>
      <c r="L22" s="325">
        <f t="shared" si="25"/>
        <v>1879</v>
      </c>
      <c r="M22" s="594">
        <v>0.20109099999999999</v>
      </c>
      <c r="N22" s="280">
        <v>0</v>
      </c>
      <c r="O22" s="280">
        <v>0</v>
      </c>
      <c r="P22" s="156">
        <f t="shared" si="15"/>
        <v>0</v>
      </c>
      <c r="Q22" s="280">
        <f t="shared" si="16"/>
        <v>0</v>
      </c>
      <c r="R22" s="372">
        <f t="shared" si="4"/>
        <v>0</v>
      </c>
      <c r="S22" s="263">
        <f t="shared" si="17"/>
        <v>0</v>
      </c>
      <c r="T22" s="125">
        <f t="shared" si="5"/>
        <v>0</v>
      </c>
      <c r="U22" s="125">
        <f t="shared" si="6"/>
        <v>0</v>
      </c>
      <c r="V22" s="125">
        <f t="shared" si="7"/>
        <v>0</v>
      </c>
      <c r="W22" s="125">
        <f t="shared" si="8"/>
        <v>0</v>
      </c>
      <c r="X22" s="125">
        <f t="shared" si="9"/>
        <v>0</v>
      </c>
      <c r="Y22" s="145">
        <f t="shared" si="10"/>
        <v>0</v>
      </c>
      <c r="Z22" s="269"/>
      <c r="AA22" s="167">
        <f t="shared" si="18"/>
        <v>0</v>
      </c>
      <c r="AB22" s="336"/>
      <c r="AC22" s="167">
        <f t="shared" si="19"/>
        <v>105437.06407324359</v>
      </c>
      <c r="AD22" s="525" t="str">
        <f t="shared" si="20"/>
        <v>-</v>
      </c>
      <c r="AE22" s="336"/>
      <c r="AF22" s="101">
        <v>19</v>
      </c>
      <c r="AG22" s="102">
        <f t="shared" si="11"/>
        <v>81962.553588867188</v>
      </c>
      <c r="AH22" s="102">
        <f>'Daily Budget Data'!B23</f>
        <v>107793.52319266519</v>
      </c>
      <c r="AI22" s="96"/>
      <c r="AJ22" s="518">
        <f t="shared" si="21"/>
        <v>0</v>
      </c>
      <c r="AK22" s="518">
        <f>AE22</f>
        <v>0</v>
      </c>
      <c r="AL22" s="103"/>
      <c r="AM22" s="102">
        <f t="shared" si="12"/>
        <v>84191.552856445313</v>
      </c>
      <c r="AN22" s="102">
        <f>'Daily Budget Data'!H23+'Daily Budget Data'!I23+'Daily Budget Data'!J23</f>
        <v>107604.7791666667</v>
      </c>
      <c r="AO22" s="96"/>
      <c r="AP22" s="110">
        <v>19</v>
      </c>
      <c r="AQ22" s="334"/>
      <c r="AR22" s="336">
        <v>24099.209838867188</v>
      </c>
      <c r="AS22" s="423">
        <v>57863.34375</v>
      </c>
      <c r="AT22" s="336"/>
      <c r="AU22" s="336">
        <v>25093.210083007813</v>
      </c>
      <c r="AV22" s="353">
        <v>59098.3427734375</v>
      </c>
      <c r="AX22" s="518">
        <v>0</v>
      </c>
      <c r="AY22" s="519">
        <v>0</v>
      </c>
      <c r="AZ22" s="520">
        <v>1011</v>
      </c>
      <c r="BA22" s="105"/>
      <c r="BB22" s="518">
        <v>0</v>
      </c>
      <c r="BC22" s="519">
        <v>472</v>
      </c>
      <c r="BD22" s="520">
        <v>931</v>
      </c>
      <c r="BE22" s="105"/>
      <c r="BF22" s="518">
        <v>0</v>
      </c>
      <c r="BG22" s="519">
        <v>1452</v>
      </c>
      <c r="BH22" s="520">
        <v>2930</v>
      </c>
      <c r="BI22" s="105"/>
      <c r="BJ22" s="518">
        <v>0</v>
      </c>
      <c r="BK22" s="519">
        <v>0</v>
      </c>
      <c r="BL22" s="520">
        <v>0</v>
      </c>
      <c r="BM22" s="105"/>
      <c r="BN22" s="518">
        <v>0</v>
      </c>
      <c r="BO22" s="519">
        <v>476</v>
      </c>
      <c r="BP22" s="520">
        <v>1403</v>
      </c>
      <c r="BQ22" s="96"/>
      <c r="BR22" s="518">
        <v>0</v>
      </c>
      <c r="BS22" s="519">
        <v>0</v>
      </c>
      <c r="BT22" s="520">
        <v>0</v>
      </c>
      <c r="BU22" s="129"/>
      <c r="BV22" s="518">
        <v>0</v>
      </c>
      <c r="BW22" s="519">
        <v>5</v>
      </c>
      <c r="BX22" s="519">
        <v>0</v>
      </c>
      <c r="BY22" s="520">
        <v>6</v>
      </c>
      <c r="BZ22" s="96"/>
      <c r="CA22" s="518">
        <v>0</v>
      </c>
      <c r="CB22" s="519">
        <v>0</v>
      </c>
      <c r="CC22" s="520">
        <v>0</v>
      </c>
      <c r="CD22" s="175"/>
      <c r="CE22" s="653">
        <f t="shared" si="23"/>
        <v>0</v>
      </c>
      <c r="CF22" s="654">
        <f t="shared" si="26"/>
        <v>0</v>
      </c>
      <c r="CG22" s="655">
        <f t="shared" si="27"/>
        <v>0</v>
      </c>
      <c r="CH22" s="316"/>
      <c r="CI22" s="518">
        <v>68.602777777777774</v>
      </c>
      <c r="CJ22" s="520">
        <v>70.073611111111134</v>
      </c>
      <c r="CK22" s="316"/>
    </row>
    <row r="23" spans="1:89" ht="14.25" customHeight="1">
      <c r="A23" s="166">
        <f t="shared" si="14"/>
        <v>41840</v>
      </c>
      <c r="B23" s="322">
        <v>7200</v>
      </c>
      <c r="C23" s="259">
        <v>72</v>
      </c>
      <c r="D23" s="259">
        <v>62029.079999999987</v>
      </c>
      <c r="E23" s="259">
        <v>2134</v>
      </c>
      <c r="F23" s="320">
        <v>0</v>
      </c>
      <c r="G23" s="259">
        <v>62029.079999999987</v>
      </c>
      <c r="H23" s="259">
        <v>2134</v>
      </c>
      <c r="I23" s="263">
        <f t="shared" si="0"/>
        <v>7200</v>
      </c>
      <c r="J23" s="328">
        <f t="shared" si="1"/>
        <v>72</v>
      </c>
      <c r="K23" s="328">
        <f t="shared" si="24"/>
        <v>62029.079999999987</v>
      </c>
      <c r="L23" s="325">
        <f t="shared" si="25"/>
        <v>2134</v>
      </c>
      <c r="M23" s="594">
        <v>1.1277440000000001</v>
      </c>
      <c r="N23" s="280">
        <v>0</v>
      </c>
      <c r="O23" s="280">
        <v>0</v>
      </c>
      <c r="P23" s="156">
        <f t="shared" si="15"/>
        <v>0</v>
      </c>
      <c r="Q23" s="280">
        <f t="shared" si="16"/>
        <v>0</v>
      </c>
      <c r="R23" s="372">
        <f t="shared" si="4"/>
        <v>0</v>
      </c>
      <c r="S23" s="263">
        <f t="shared" si="17"/>
        <v>36</v>
      </c>
      <c r="T23" s="125">
        <f t="shared" si="5"/>
        <v>0</v>
      </c>
      <c r="U23" s="125">
        <f t="shared" si="6"/>
        <v>0</v>
      </c>
      <c r="V23" s="125">
        <f t="shared" si="7"/>
        <v>0</v>
      </c>
      <c r="W23" s="125">
        <f t="shared" si="8"/>
        <v>0</v>
      </c>
      <c r="X23" s="125">
        <f t="shared" si="9"/>
        <v>72</v>
      </c>
      <c r="Y23" s="145">
        <f t="shared" si="10"/>
        <v>1882.08</v>
      </c>
      <c r="Z23" s="269">
        <v>26.14</v>
      </c>
      <c r="AA23" s="167">
        <f t="shared" si="18"/>
        <v>5281.92</v>
      </c>
      <c r="AB23" s="336"/>
      <c r="AC23" s="167">
        <f t="shared" si="19"/>
        <v>103611.61694081056</v>
      </c>
      <c r="AD23" s="525">
        <f t="shared" si="20"/>
        <v>99.98433688888889</v>
      </c>
      <c r="AE23" s="336"/>
      <c r="AF23" s="101">
        <v>20</v>
      </c>
      <c r="AG23" s="102">
        <f t="shared" si="11"/>
        <v>90233.19140625</v>
      </c>
      <c r="AH23" s="102">
        <f>'Daily Budget Data'!B24</f>
        <v>105927.27834284451</v>
      </c>
      <c r="AI23" s="96"/>
      <c r="AJ23" s="518">
        <f t="shared" si="21"/>
        <v>0</v>
      </c>
      <c r="AK23" s="518">
        <f t="shared" si="22"/>
        <v>0</v>
      </c>
      <c r="AL23" s="103"/>
      <c r="AM23" s="102">
        <f t="shared" si="12"/>
        <v>91739.192260742188</v>
      </c>
      <c r="AN23" s="102">
        <f>'Daily Budget Data'!H24+'Daily Budget Data'!I24+'Daily Budget Data'!J24</f>
        <v>107604.7791666667</v>
      </c>
      <c r="AO23" s="96"/>
      <c r="AP23" s="110">
        <v>20</v>
      </c>
      <c r="AQ23" s="334"/>
      <c r="AR23" s="336">
        <v>24987.189086914063</v>
      </c>
      <c r="AS23" s="423">
        <v>65246.002319335938</v>
      </c>
      <c r="AT23" s="336"/>
      <c r="AU23" s="336">
        <v>25444.189331054688</v>
      </c>
      <c r="AV23" s="353">
        <v>66295.0029296875</v>
      </c>
      <c r="AX23" s="518">
        <v>0</v>
      </c>
      <c r="AY23" s="519">
        <v>69</v>
      </c>
      <c r="AZ23" s="520">
        <v>2104</v>
      </c>
      <c r="BA23" s="105"/>
      <c r="BB23" s="518">
        <v>0</v>
      </c>
      <c r="BC23" s="519">
        <v>451</v>
      </c>
      <c r="BD23" s="520">
        <v>910</v>
      </c>
      <c r="BE23" s="105"/>
      <c r="BF23" s="518">
        <v>0</v>
      </c>
      <c r="BG23" s="519">
        <v>1007</v>
      </c>
      <c r="BH23" s="520">
        <v>2751</v>
      </c>
      <c r="BI23" s="105"/>
      <c r="BJ23" s="518">
        <v>0</v>
      </c>
      <c r="BK23" s="519">
        <v>0</v>
      </c>
      <c r="BL23" s="520">
        <v>0</v>
      </c>
      <c r="BM23" s="105"/>
      <c r="BN23" s="518">
        <v>0</v>
      </c>
      <c r="BO23" s="519">
        <v>556</v>
      </c>
      <c r="BP23" s="520">
        <v>1577</v>
      </c>
      <c r="BQ23" s="96"/>
      <c r="BR23" s="518">
        <v>0</v>
      </c>
      <c r="BS23" s="519">
        <v>1</v>
      </c>
      <c r="BT23" s="520">
        <v>0</v>
      </c>
      <c r="BU23" s="129"/>
      <c r="BV23" s="518">
        <v>0</v>
      </c>
      <c r="BW23" s="519">
        <v>12</v>
      </c>
      <c r="BX23" s="519">
        <v>0</v>
      </c>
      <c r="BY23" s="520">
        <v>12</v>
      </c>
      <c r="BZ23" s="96"/>
      <c r="CA23" s="518">
        <v>0</v>
      </c>
      <c r="CB23" s="519">
        <v>0</v>
      </c>
      <c r="CC23" s="520">
        <v>72</v>
      </c>
      <c r="CD23" s="175"/>
      <c r="CE23" s="653">
        <f t="shared" si="23"/>
        <v>0</v>
      </c>
      <c r="CF23" s="654">
        <f t="shared" si="26"/>
        <v>0</v>
      </c>
      <c r="CG23" s="655">
        <f t="shared" si="27"/>
        <v>72</v>
      </c>
      <c r="CH23" s="111"/>
      <c r="CI23" s="518">
        <v>74.066874999999996</v>
      </c>
      <c r="CJ23" s="520">
        <v>75.812152777777783</v>
      </c>
      <c r="CK23" s="111"/>
    </row>
    <row r="24" spans="1:89" ht="14.25" customHeight="1">
      <c r="A24" s="166">
        <f t="shared" si="14"/>
        <v>41841</v>
      </c>
      <c r="B24" s="322">
        <v>54892.279999999984</v>
      </c>
      <c r="C24" s="259">
        <v>967</v>
      </c>
      <c r="D24" s="259">
        <v>72197.279999999984</v>
      </c>
      <c r="E24" s="259">
        <v>2493</v>
      </c>
      <c r="F24" s="320">
        <v>3480.9399999999987</v>
      </c>
      <c r="G24" s="259">
        <v>72197.279999999984</v>
      </c>
      <c r="H24" s="259">
        <v>2493</v>
      </c>
      <c r="I24" s="263">
        <f t="shared" si="0"/>
        <v>54892.279999999984</v>
      </c>
      <c r="J24" s="328">
        <f t="shared" si="1"/>
        <v>967</v>
      </c>
      <c r="K24" s="328">
        <f t="shared" si="24"/>
        <v>72197.279999999984</v>
      </c>
      <c r="L24" s="325">
        <f t="shared" si="25"/>
        <v>2493</v>
      </c>
      <c r="M24" s="594">
        <v>1.1933750000000001</v>
      </c>
      <c r="N24" s="280">
        <v>75</v>
      </c>
      <c r="O24" s="280">
        <v>675</v>
      </c>
      <c r="P24" s="156">
        <f t="shared" si="15"/>
        <v>805.52812500000005</v>
      </c>
      <c r="Q24" s="280">
        <f t="shared" si="16"/>
        <v>75</v>
      </c>
      <c r="R24" s="372">
        <f t="shared" si="4"/>
        <v>880.52812500000005</v>
      </c>
      <c r="S24" s="263">
        <f t="shared" si="17"/>
        <v>483.5</v>
      </c>
      <c r="T24" s="125">
        <f t="shared" si="5"/>
        <v>0</v>
      </c>
      <c r="U24" s="125">
        <f t="shared" si="6"/>
        <v>0</v>
      </c>
      <c r="V24" s="125">
        <f t="shared" si="7"/>
        <v>0</v>
      </c>
      <c r="W24" s="125">
        <f t="shared" si="8"/>
        <v>0</v>
      </c>
      <c r="X24" s="125">
        <f t="shared" si="9"/>
        <v>967</v>
      </c>
      <c r="Y24" s="145">
        <f t="shared" si="10"/>
        <v>36775.01</v>
      </c>
      <c r="Z24" s="269">
        <v>38.03</v>
      </c>
      <c r="AA24" s="167">
        <f t="shared" si="18"/>
        <v>13272.301874999983</v>
      </c>
      <c r="AB24" s="336"/>
      <c r="AC24" s="167">
        <f t="shared" si="19"/>
        <v>115015.64227820268</v>
      </c>
      <c r="AD24" s="525">
        <f t="shared" si="20"/>
        <v>55.853731644260584</v>
      </c>
      <c r="AE24" s="336"/>
      <c r="AF24" s="101">
        <v>21</v>
      </c>
      <c r="AG24" s="102">
        <f t="shared" si="11"/>
        <v>111037.17980957031</v>
      </c>
      <c r="AH24" s="102">
        <f>'Daily Budget Data'!B25</f>
        <v>117586.17723670957</v>
      </c>
      <c r="AI24" s="96"/>
      <c r="AJ24" s="518">
        <f t="shared" si="21"/>
        <v>0</v>
      </c>
      <c r="AK24" s="518">
        <f t="shared" si="22"/>
        <v>0</v>
      </c>
      <c r="AL24" s="103"/>
      <c r="AM24" s="102">
        <f t="shared" si="12"/>
        <v>116093.17944335938</v>
      </c>
      <c r="AN24" s="102">
        <f>'Daily Budget Data'!H25+'Daily Budget Data'!I25+'Daily Budget Data'!J25</f>
        <v>122215.75912878796</v>
      </c>
      <c r="AO24" s="96"/>
      <c r="AP24" s="110">
        <v>21</v>
      </c>
      <c r="AQ24" s="334">
        <v>82906.352661132813</v>
      </c>
      <c r="AR24" s="336">
        <v>28130.8271484375</v>
      </c>
      <c r="AS24" s="423"/>
      <c r="AT24" s="336">
        <v>86615.3525390625</v>
      </c>
      <c r="AU24" s="336">
        <v>29477.826904296875</v>
      </c>
      <c r="AV24" s="353"/>
      <c r="AX24" s="518">
        <v>5087</v>
      </c>
      <c r="AY24" s="519">
        <v>0</v>
      </c>
      <c r="AZ24" s="520">
        <v>0</v>
      </c>
      <c r="BA24" s="105"/>
      <c r="BB24" s="518">
        <v>765</v>
      </c>
      <c r="BC24" s="519">
        <v>451</v>
      </c>
      <c r="BD24" s="520">
        <v>0</v>
      </c>
      <c r="BE24" s="105"/>
      <c r="BF24" s="518">
        <v>4696</v>
      </c>
      <c r="BG24" s="519">
        <v>1980</v>
      </c>
      <c r="BH24" s="520">
        <v>0</v>
      </c>
      <c r="BI24" s="105"/>
      <c r="BJ24" s="518">
        <v>66</v>
      </c>
      <c r="BK24" s="519">
        <v>1</v>
      </c>
      <c r="BL24" s="520">
        <v>0</v>
      </c>
      <c r="BM24" s="105"/>
      <c r="BN24" s="518">
        <v>1932</v>
      </c>
      <c r="BO24" s="519">
        <v>561</v>
      </c>
      <c r="BP24" s="520">
        <v>0</v>
      </c>
      <c r="BQ24" s="96"/>
      <c r="BR24" s="518">
        <v>0</v>
      </c>
      <c r="BS24" s="519">
        <v>0</v>
      </c>
      <c r="BT24" s="520">
        <v>0</v>
      </c>
      <c r="BU24" s="129"/>
      <c r="BV24" s="518">
        <v>0</v>
      </c>
      <c r="BW24" s="519">
        <v>13</v>
      </c>
      <c r="BX24" s="519">
        <v>0</v>
      </c>
      <c r="BY24" s="520">
        <v>13</v>
      </c>
      <c r="BZ24" s="96"/>
      <c r="CA24" s="518">
        <v>900</v>
      </c>
      <c r="CB24" s="519">
        <v>0</v>
      </c>
      <c r="CC24" s="520">
        <v>0</v>
      </c>
      <c r="CD24" s="175"/>
      <c r="CE24" s="653">
        <f t="shared" si="23"/>
        <v>966</v>
      </c>
      <c r="CF24" s="654">
        <f t="shared" si="26"/>
        <v>1</v>
      </c>
      <c r="CG24" s="655">
        <f t="shared" si="27"/>
        <v>0</v>
      </c>
      <c r="CH24" s="111"/>
      <c r="CI24" s="518">
        <v>77.607986111111117</v>
      </c>
      <c r="CJ24" s="520">
        <v>78.649999999999977</v>
      </c>
      <c r="CK24" s="111"/>
    </row>
    <row r="25" spans="1:89" ht="14.25" customHeight="1">
      <c r="A25" s="166">
        <f t="shared" si="14"/>
        <v>41842</v>
      </c>
      <c r="B25" s="322">
        <v>0</v>
      </c>
      <c r="C25" s="259">
        <v>0</v>
      </c>
      <c r="D25" s="259">
        <v>72081.440000000002</v>
      </c>
      <c r="E25" s="259">
        <v>2489</v>
      </c>
      <c r="F25" s="320">
        <v>0</v>
      </c>
      <c r="G25" s="259">
        <v>72081.440000000002</v>
      </c>
      <c r="H25" s="259">
        <v>2489</v>
      </c>
      <c r="I25" s="263">
        <f t="shared" si="0"/>
        <v>0</v>
      </c>
      <c r="J25" s="328">
        <f t="shared" si="1"/>
        <v>0</v>
      </c>
      <c r="K25" s="328">
        <f t="shared" si="24"/>
        <v>72081.440000000002</v>
      </c>
      <c r="L25" s="325">
        <f t="shared" si="25"/>
        <v>2489</v>
      </c>
      <c r="M25" s="594">
        <v>0.67455299999999996</v>
      </c>
      <c r="N25" s="280">
        <v>0</v>
      </c>
      <c r="O25" s="280">
        <v>0</v>
      </c>
      <c r="P25" s="156">
        <f t="shared" si="15"/>
        <v>0</v>
      </c>
      <c r="Q25" s="280">
        <f t="shared" si="16"/>
        <v>0</v>
      </c>
      <c r="R25" s="372">
        <f t="shared" si="4"/>
        <v>0</v>
      </c>
      <c r="S25" s="263">
        <f t="shared" si="17"/>
        <v>0</v>
      </c>
      <c r="T25" s="125">
        <f t="shared" si="5"/>
        <v>0</v>
      </c>
      <c r="U25" s="125">
        <f t="shared" si="6"/>
        <v>0</v>
      </c>
      <c r="V25" s="125">
        <f t="shared" si="7"/>
        <v>0</v>
      </c>
      <c r="W25" s="125">
        <f t="shared" si="8"/>
        <v>0</v>
      </c>
      <c r="X25" s="125">
        <f t="shared" si="9"/>
        <v>0</v>
      </c>
      <c r="Y25" s="145">
        <f t="shared" si="10"/>
        <v>0</v>
      </c>
      <c r="Z25" s="269"/>
      <c r="AA25" s="167">
        <f t="shared" si="18"/>
        <v>0</v>
      </c>
      <c r="AB25" s="336"/>
      <c r="AC25" s="167">
        <f t="shared" si="19"/>
        <v>117129.53873122038</v>
      </c>
      <c r="AD25" s="525" t="str">
        <f t="shared" si="20"/>
        <v>-</v>
      </c>
      <c r="AE25" s="336"/>
      <c r="AF25" s="101">
        <v>22</v>
      </c>
      <c r="AG25" s="102">
        <f t="shared" si="11"/>
        <v>121261.52514648437</v>
      </c>
      <c r="AH25" s="102">
        <f>'Daily Budget Data'!B26</f>
        <v>119747.31808730237</v>
      </c>
      <c r="AI25" s="96"/>
      <c r="AJ25" s="518">
        <f t="shared" si="21"/>
        <v>0</v>
      </c>
      <c r="AK25" s="518">
        <f t="shared" si="22"/>
        <v>0</v>
      </c>
      <c r="AL25" s="103"/>
      <c r="AM25" s="102">
        <f t="shared" si="12"/>
        <v>126030.52514648437</v>
      </c>
      <c r="AN25" s="102">
        <f>'Daily Budget Data'!H26+'Daily Budget Data'!I26+'Daily Budget Data'!J26</f>
        <v>122215.75912878796</v>
      </c>
      <c r="AO25" s="96"/>
      <c r="AP25" s="110">
        <v>22</v>
      </c>
      <c r="AQ25" s="334">
        <v>89832.4970703125</v>
      </c>
      <c r="AR25" s="336">
        <v>31429.028076171875</v>
      </c>
      <c r="AS25" s="423"/>
      <c r="AT25" s="336">
        <v>92783.4970703125</v>
      </c>
      <c r="AU25" s="336">
        <v>33247.028076171875</v>
      </c>
      <c r="AV25" s="353"/>
      <c r="AX25" s="518">
        <v>7806</v>
      </c>
      <c r="AY25" s="519">
        <v>0</v>
      </c>
      <c r="AZ25" s="520">
        <v>0</v>
      </c>
      <c r="BA25" s="105"/>
      <c r="BB25" s="518">
        <v>735</v>
      </c>
      <c r="BC25" s="519">
        <v>435</v>
      </c>
      <c r="BD25" s="520">
        <v>0</v>
      </c>
      <c r="BE25" s="105"/>
      <c r="BF25" s="518">
        <v>4971</v>
      </c>
      <c r="BG25" s="519">
        <v>2376</v>
      </c>
      <c r="BH25" s="520">
        <v>0</v>
      </c>
      <c r="BI25" s="105"/>
      <c r="BJ25" s="518">
        <v>0</v>
      </c>
      <c r="BK25" s="519">
        <v>0</v>
      </c>
      <c r="BL25" s="520">
        <v>0</v>
      </c>
      <c r="BM25" s="105"/>
      <c r="BN25" s="518">
        <v>1889</v>
      </c>
      <c r="BO25" s="519">
        <v>600</v>
      </c>
      <c r="BP25" s="520">
        <v>0</v>
      </c>
      <c r="BQ25" s="96"/>
      <c r="BR25" s="518">
        <v>0</v>
      </c>
      <c r="BS25" s="519">
        <v>0</v>
      </c>
      <c r="BT25" s="520">
        <v>0</v>
      </c>
      <c r="BU25" s="129"/>
      <c r="BV25" s="518">
        <v>0</v>
      </c>
      <c r="BW25" s="519">
        <v>15</v>
      </c>
      <c r="BX25" s="519">
        <v>0</v>
      </c>
      <c r="BY25" s="520">
        <v>16</v>
      </c>
      <c r="BZ25" s="96"/>
      <c r="CA25" s="518">
        <v>0</v>
      </c>
      <c r="CB25" s="519">
        <v>0</v>
      </c>
      <c r="CC25" s="520">
        <v>0</v>
      </c>
      <c r="CD25" s="175"/>
      <c r="CE25" s="653">
        <f t="shared" si="23"/>
        <v>0</v>
      </c>
      <c r="CF25" s="654">
        <f t="shared" si="26"/>
        <v>0</v>
      </c>
      <c r="CG25" s="655">
        <f t="shared" si="27"/>
        <v>0</v>
      </c>
      <c r="CI25" s="518">
        <v>80.691666666666663</v>
      </c>
      <c r="CJ25" s="520">
        <v>82.25833333333334</v>
      </c>
    </row>
    <row r="26" spans="1:89" ht="14.25" customHeight="1">
      <c r="A26" s="166">
        <f t="shared" si="14"/>
        <v>41843</v>
      </c>
      <c r="B26" s="322">
        <v>15600</v>
      </c>
      <c r="C26" s="259">
        <v>156</v>
      </c>
      <c r="D26" s="259">
        <v>108429.84000000004</v>
      </c>
      <c r="E26" s="259">
        <v>3034</v>
      </c>
      <c r="F26" s="320">
        <v>0</v>
      </c>
      <c r="G26" s="259">
        <v>97329.84</v>
      </c>
      <c r="H26" s="259">
        <v>2923</v>
      </c>
      <c r="I26" s="263">
        <f t="shared" si="0"/>
        <v>15600</v>
      </c>
      <c r="J26" s="328">
        <f t="shared" si="1"/>
        <v>156</v>
      </c>
      <c r="K26" s="328">
        <f t="shared" si="24"/>
        <v>108429.84000000004</v>
      </c>
      <c r="L26" s="325">
        <f t="shared" si="25"/>
        <v>3034</v>
      </c>
      <c r="M26" s="594">
        <v>1.5</v>
      </c>
      <c r="N26" s="280">
        <v>0</v>
      </c>
      <c r="O26" s="280">
        <v>0</v>
      </c>
      <c r="P26" s="156">
        <f t="shared" si="15"/>
        <v>0</v>
      </c>
      <c r="Q26" s="280">
        <f t="shared" si="16"/>
        <v>0</v>
      </c>
      <c r="R26" s="372">
        <f t="shared" si="4"/>
        <v>0</v>
      </c>
      <c r="S26" s="263">
        <f t="shared" si="17"/>
        <v>22.5</v>
      </c>
      <c r="T26" s="125">
        <f t="shared" si="5"/>
        <v>11100.000000000044</v>
      </c>
      <c r="U26" s="125">
        <f t="shared" si="6"/>
        <v>111</v>
      </c>
      <c r="V26" s="125">
        <f t="shared" si="7"/>
        <v>11100.000000000044</v>
      </c>
      <c r="W26" s="125">
        <f t="shared" si="8"/>
        <v>111</v>
      </c>
      <c r="X26" s="125">
        <f t="shared" si="9"/>
        <v>45</v>
      </c>
      <c r="Y26" s="145">
        <f t="shared" si="10"/>
        <v>2043</v>
      </c>
      <c r="Z26" s="269">
        <v>45.4</v>
      </c>
      <c r="AA26" s="167">
        <f t="shared" si="18"/>
        <v>2434.4999999999563</v>
      </c>
      <c r="AB26" s="336"/>
      <c r="AC26" s="167">
        <f t="shared" si="19"/>
        <v>117594.84089780519</v>
      </c>
      <c r="AD26" s="525">
        <f t="shared" si="20"/>
        <v>99.990384615384613</v>
      </c>
      <c r="AE26" s="336"/>
      <c r="AF26" s="101">
        <v>23</v>
      </c>
      <c r="AG26" s="102">
        <f t="shared" si="11"/>
        <v>115380.72412109375</v>
      </c>
      <c r="AH26" s="102">
        <f>'Daily Budget Data'!B27</f>
        <v>120223.01949577969</v>
      </c>
      <c r="AI26" s="96"/>
      <c r="AJ26" s="518">
        <f t="shared" si="21"/>
        <v>0</v>
      </c>
      <c r="AK26" s="518">
        <f t="shared" si="22"/>
        <v>0</v>
      </c>
      <c r="AL26" s="103"/>
      <c r="AM26" s="102">
        <f t="shared" si="12"/>
        <v>117565.72399902344</v>
      </c>
      <c r="AN26" s="102">
        <f>'Daily Budget Data'!H27+'Daily Budget Data'!I27+'Daily Budget Data'!J27</f>
        <v>122215.75912878796</v>
      </c>
      <c r="AO26" s="96"/>
      <c r="AP26" s="110">
        <v>23</v>
      </c>
      <c r="AQ26" s="334">
        <v>83291.591186523438</v>
      </c>
      <c r="AR26" s="336">
        <v>32089.132934570313</v>
      </c>
      <c r="AS26" s="423"/>
      <c r="AT26" s="336">
        <v>84003.59130859375</v>
      </c>
      <c r="AU26" s="336">
        <v>33562.132690429688</v>
      </c>
      <c r="AV26" s="353"/>
      <c r="AX26" s="518">
        <v>7399</v>
      </c>
      <c r="AY26" s="519">
        <v>0</v>
      </c>
      <c r="AZ26" s="520">
        <v>0</v>
      </c>
      <c r="BA26" s="105"/>
      <c r="BB26" s="518">
        <v>760</v>
      </c>
      <c r="BC26" s="519">
        <v>378</v>
      </c>
      <c r="BD26" s="520">
        <v>0</v>
      </c>
      <c r="BE26" s="105"/>
      <c r="BF26" s="518">
        <v>3211</v>
      </c>
      <c r="BG26" s="519">
        <v>2052</v>
      </c>
      <c r="BH26" s="520">
        <v>0</v>
      </c>
      <c r="BI26" s="105"/>
      <c r="BJ26" s="518">
        <v>0</v>
      </c>
      <c r="BK26" s="519">
        <v>0</v>
      </c>
      <c r="BL26" s="520">
        <v>0</v>
      </c>
      <c r="BM26" s="105"/>
      <c r="BN26" s="518">
        <v>2117</v>
      </c>
      <c r="BO26" s="519">
        <v>611</v>
      </c>
      <c r="BP26" s="520">
        <v>0</v>
      </c>
      <c r="BQ26" s="96"/>
      <c r="BR26" s="518">
        <v>306</v>
      </c>
      <c r="BS26" s="519">
        <v>0</v>
      </c>
      <c r="BT26" s="520">
        <v>0</v>
      </c>
      <c r="BU26" s="129"/>
      <c r="BV26" s="518">
        <v>0</v>
      </c>
      <c r="BW26" s="519">
        <v>15</v>
      </c>
      <c r="BX26" s="519">
        <v>0</v>
      </c>
      <c r="BY26" s="520">
        <v>15</v>
      </c>
      <c r="BZ26" s="96"/>
      <c r="CA26" s="518">
        <v>156</v>
      </c>
      <c r="CB26" s="519">
        <v>0</v>
      </c>
      <c r="CC26" s="520">
        <v>0</v>
      </c>
      <c r="CD26" s="175"/>
      <c r="CE26" s="653">
        <f t="shared" si="23"/>
        <v>156</v>
      </c>
      <c r="CF26" s="654">
        <f t="shared" si="26"/>
        <v>0</v>
      </c>
      <c r="CG26" s="655">
        <f t="shared" si="27"/>
        <v>0</v>
      </c>
      <c r="CI26" s="518">
        <v>79.297222222222231</v>
      </c>
      <c r="CJ26" s="520">
        <v>80.166666666666686</v>
      </c>
    </row>
    <row r="27" spans="1:89" ht="14.25" customHeight="1">
      <c r="A27" s="166">
        <f t="shared" si="14"/>
        <v>41844</v>
      </c>
      <c r="B27" s="322">
        <v>69200</v>
      </c>
      <c r="C27" s="259">
        <v>1650</v>
      </c>
      <c r="D27" s="259">
        <v>70495</v>
      </c>
      <c r="E27" s="259">
        <v>2452</v>
      </c>
      <c r="F27" s="320">
        <v>6530.3559999999979</v>
      </c>
      <c r="G27" s="259">
        <v>70495</v>
      </c>
      <c r="H27" s="259">
        <v>2452</v>
      </c>
      <c r="I27" s="263">
        <f t="shared" si="0"/>
        <v>69200</v>
      </c>
      <c r="J27" s="328">
        <f t="shared" si="1"/>
        <v>1650</v>
      </c>
      <c r="K27" s="328">
        <f t="shared" si="24"/>
        <v>70495</v>
      </c>
      <c r="L27" s="325">
        <f t="shared" si="25"/>
        <v>2452</v>
      </c>
      <c r="M27" s="594">
        <v>1.5</v>
      </c>
      <c r="N27" s="280">
        <v>0</v>
      </c>
      <c r="O27" s="280">
        <v>0</v>
      </c>
      <c r="P27" s="156">
        <f t="shared" si="15"/>
        <v>0</v>
      </c>
      <c r="Q27" s="280">
        <f t="shared" si="16"/>
        <v>0</v>
      </c>
      <c r="R27" s="372">
        <f t="shared" si="4"/>
        <v>0</v>
      </c>
      <c r="S27" s="263">
        <f t="shared" si="17"/>
        <v>825</v>
      </c>
      <c r="T27" s="125">
        <f t="shared" si="5"/>
        <v>0</v>
      </c>
      <c r="U27" s="125">
        <f t="shared" si="6"/>
        <v>0</v>
      </c>
      <c r="V27" s="125">
        <f t="shared" si="7"/>
        <v>0</v>
      </c>
      <c r="W27" s="125">
        <f t="shared" si="8"/>
        <v>0</v>
      </c>
      <c r="X27" s="125">
        <f t="shared" si="9"/>
        <v>1650</v>
      </c>
      <c r="Y27" s="145">
        <f t="shared" si="10"/>
        <v>55274.157200000001</v>
      </c>
      <c r="Z27" s="269">
        <v>33.499489212121212</v>
      </c>
      <c r="AA27" s="167">
        <f t="shared" si="18"/>
        <v>6570.4867999999988</v>
      </c>
      <c r="AB27" s="336"/>
      <c r="AC27" s="167">
        <f t="shared" si="19"/>
        <v>117651.61604624473</v>
      </c>
      <c r="AD27" s="525">
        <f t="shared" si="20"/>
        <v>41.938484848484848</v>
      </c>
      <c r="AE27" s="336"/>
      <c r="AF27" s="101">
        <v>24</v>
      </c>
      <c r="AG27" s="102">
        <f t="shared" si="11"/>
        <v>101087.27038574219</v>
      </c>
      <c r="AH27" s="102">
        <f>'Daily Budget Data'!B28</f>
        <v>120281.06353687547</v>
      </c>
      <c r="AI27" s="96"/>
      <c r="AJ27" s="518">
        <f t="shared" si="21"/>
        <v>0</v>
      </c>
      <c r="AK27" s="518">
        <f t="shared" si="22"/>
        <v>0</v>
      </c>
      <c r="AL27" s="103"/>
      <c r="AM27" s="102">
        <f t="shared" si="12"/>
        <v>103445.70617675781</v>
      </c>
      <c r="AN27" s="102">
        <f>'Daily Budget Data'!H28+'Daily Budget Data'!I28+'Daily Budget Data'!J28</f>
        <v>122215.75912878796</v>
      </c>
      <c r="AO27" s="96"/>
      <c r="AP27" s="110">
        <v>24</v>
      </c>
      <c r="AQ27" s="334">
        <v>72142.160400390625</v>
      </c>
      <c r="AR27" s="336">
        <v>28945.109985351563</v>
      </c>
      <c r="AS27" s="423"/>
      <c r="AT27" s="336">
        <v>74143.59619140625</v>
      </c>
      <c r="AU27" s="336">
        <v>29302.109985351563</v>
      </c>
      <c r="AV27" s="353"/>
      <c r="AX27" s="518">
        <v>964</v>
      </c>
      <c r="AY27" s="519">
        <v>0</v>
      </c>
      <c r="AZ27" s="520">
        <v>0</v>
      </c>
      <c r="BA27" s="105"/>
      <c r="BB27" s="518">
        <v>504</v>
      </c>
      <c r="BC27" s="519">
        <v>311</v>
      </c>
      <c r="BD27" s="520">
        <v>0</v>
      </c>
      <c r="BE27" s="105"/>
      <c r="BF27" s="518">
        <v>2036</v>
      </c>
      <c r="BG27" s="519">
        <v>863</v>
      </c>
      <c r="BH27" s="520">
        <v>0</v>
      </c>
      <c r="BI27" s="105"/>
      <c r="BJ27" s="518">
        <v>0</v>
      </c>
      <c r="BK27" s="519">
        <v>0</v>
      </c>
      <c r="BL27" s="520">
        <v>0</v>
      </c>
      <c r="BM27" s="105"/>
      <c r="BN27" s="518">
        <v>1935</v>
      </c>
      <c r="BO27" s="519">
        <v>517</v>
      </c>
      <c r="BP27" s="520">
        <v>0</v>
      </c>
      <c r="BQ27" s="96"/>
      <c r="BR27" s="518">
        <v>0</v>
      </c>
      <c r="BS27" s="519">
        <v>0</v>
      </c>
      <c r="BT27" s="520">
        <v>0</v>
      </c>
      <c r="BU27" s="129"/>
      <c r="BV27" s="518">
        <v>0</v>
      </c>
      <c r="BW27" s="519">
        <v>6</v>
      </c>
      <c r="BX27" s="519">
        <v>0</v>
      </c>
      <c r="BY27" s="520">
        <v>9</v>
      </c>
      <c r="BZ27" s="96"/>
      <c r="CA27" s="518">
        <v>1650</v>
      </c>
      <c r="CB27" s="519">
        <v>0</v>
      </c>
      <c r="CC27" s="520">
        <v>0</v>
      </c>
      <c r="CD27" s="175"/>
      <c r="CE27" s="653">
        <f t="shared" si="23"/>
        <v>1650</v>
      </c>
      <c r="CF27" s="654">
        <f t="shared" si="26"/>
        <v>0</v>
      </c>
      <c r="CG27" s="655">
        <f t="shared" si="27"/>
        <v>0</v>
      </c>
      <c r="CI27" s="518">
        <v>70.632638888888906</v>
      </c>
      <c r="CJ27" s="520">
        <v>72.995833333333337</v>
      </c>
    </row>
    <row r="28" spans="1:89" ht="14.25" customHeight="1">
      <c r="A28" s="166">
        <f t="shared" si="14"/>
        <v>41845</v>
      </c>
      <c r="B28" s="322">
        <v>5551.5</v>
      </c>
      <c r="C28" s="259">
        <v>110</v>
      </c>
      <c r="D28" s="259">
        <v>75115.900000000009</v>
      </c>
      <c r="E28" s="259">
        <v>2596</v>
      </c>
      <c r="F28" s="320">
        <v>315.51400000000001</v>
      </c>
      <c r="G28" s="259">
        <v>75115.900000000009</v>
      </c>
      <c r="H28" s="259">
        <v>2596</v>
      </c>
      <c r="I28" s="263">
        <f t="shared" si="0"/>
        <v>5551.5</v>
      </c>
      <c r="J28" s="328">
        <f t="shared" si="1"/>
        <v>110</v>
      </c>
      <c r="K28" s="328">
        <f t="shared" si="24"/>
        <v>75115.900000000009</v>
      </c>
      <c r="L28" s="325">
        <f t="shared" si="25"/>
        <v>2596</v>
      </c>
      <c r="M28" s="594">
        <v>1.5</v>
      </c>
      <c r="N28" s="280">
        <v>0</v>
      </c>
      <c r="O28" s="280">
        <v>50</v>
      </c>
      <c r="P28" s="156">
        <f t="shared" si="15"/>
        <v>75</v>
      </c>
      <c r="Q28" s="280">
        <f t="shared" si="16"/>
        <v>0</v>
      </c>
      <c r="R28" s="372">
        <f t="shared" si="4"/>
        <v>75</v>
      </c>
      <c r="S28" s="263">
        <f t="shared" si="17"/>
        <v>55</v>
      </c>
      <c r="T28" s="125">
        <f t="shared" si="5"/>
        <v>0</v>
      </c>
      <c r="U28" s="125">
        <f t="shared" si="6"/>
        <v>0</v>
      </c>
      <c r="V28" s="125">
        <f t="shared" si="7"/>
        <v>0</v>
      </c>
      <c r="W28" s="125">
        <f t="shared" si="8"/>
        <v>0</v>
      </c>
      <c r="X28" s="125">
        <f t="shared" si="9"/>
        <v>110</v>
      </c>
      <c r="Y28" s="145">
        <f t="shared" si="10"/>
        <v>5001.9444999999996</v>
      </c>
      <c r="Z28" s="269">
        <v>45.472222727272722</v>
      </c>
      <c r="AA28" s="167">
        <f t="shared" si="18"/>
        <v>104.04150000000027</v>
      </c>
      <c r="AB28" s="336"/>
      <c r="AC28" s="167">
        <f t="shared" si="19"/>
        <v>116014.48934216134</v>
      </c>
      <c r="AD28" s="525">
        <f t="shared" si="20"/>
        <v>49.772727272727273</v>
      </c>
      <c r="AE28" s="336"/>
      <c r="AF28" s="101">
        <v>25</v>
      </c>
      <c r="AG28" s="102">
        <f t="shared" si="11"/>
        <v>99177.0009765625</v>
      </c>
      <c r="AH28" s="102">
        <f>'Daily Budget Data'!B29</f>
        <v>118607.34797112948</v>
      </c>
      <c r="AI28" s="96"/>
      <c r="AJ28" s="518">
        <f t="shared" si="21"/>
        <v>0</v>
      </c>
      <c r="AK28" s="518">
        <f t="shared" si="22"/>
        <v>0</v>
      </c>
      <c r="AL28" s="103"/>
      <c r="AM28" s="102">
        <f t="shared" si="12"/>
        <v>100700.00109863281</v>
      </c>
      <c r="AN28" s="102">
        <f>'Daily Budget Data'!H29+'Daily Budget Data'!I29+'Daily Budget Data'!J29</f>
        <v>122215.75912878796</v>
      </c>
      <c r="AO28" s="96"/>
      <c r="AP28" s="110">
        <v>25</v>
      </c>
      <c r="AQ28" s="334">
        <v>72372.578735351563</v>
      </c>
      <c r="AR28" s="336">
        <v>26804.422241210938</v>
      </c>
      <c r="AS28" s="423"/>
      <c r="AT28" s="336">
        <v>73229.578979492188</v>
      </c>
      <c r="AU28" s="336">
        <v>27470.422119140625</v>
      </c>
      <c r="AV28" s="353"/>
      <c r="AX28" s="518">
        <v>2391</v>
      </c>
      <c r="AY28" s="519">
        <v>30</v>
      </c>
      <c r="AZ28" s="520">
        <v>0</v>
      </c>
      <c r="BA28" s="105"/>
      <c r="BB28" s="518">
        <v>457</v>
      </c>
      <c r="BC28" s="519">
        <v>226</v>
      </c>
      <c r="BD28" s="520">
        <v>0</v>
      </c>
      <c r="BE28" s="105"/>
      <c r="BF28" s="518">
        <v>2870</v>
      </c>
      <c r="BG28" s="519">
        <v>1222</v>
      </c>
      <c r="BH28" s="520">
        <v>0</v>
      </c>
      <c r="BI28" s="105"/>
      <c r="BJ28" s="518">
        <v>0</v>
      </c>
      <c r="BK28" s="519">
        <v>0</v>
      </c>
      <c r="BL28" s="520">
        <v>0</v>
      </c>
      <c r="BM28" s="105"/>
      <c r="BN28" s="518">
        <v>2094</v>
      </c>
      <c r="BO28" s="519">
        <v>500</v>
      </c>
      <c r="BP28" s="520">
        <v>0</v>
      </c>
      <c r="BQ28" s="96"/>
      <c r="BR28" s="518">
        <v>2</v>
      </c>
      <c r="BS28" s="519">
        <v>0</v>
      </c>
      <c r="BT28" s="520">
        <v>0</v>
      </c>
      <c r="BU28" s="129"/>
      <c r="BV28" s="518">
        <v>0</v>
      </c>
      <c r="BW28" s="519">
        <v>4</v>
      </c>
      <c r="BX28" s="519">
        <v>0</v>
      </c>
      <c r="BY28" s="520">
        <v>6</v>
      </c>
      <c r="BZ28" s="96"/>
      <c r="CA28" s="518">
        <v>110</v>
      </c>
      <c r="CB28" s="519">
        <v>0</v>
      </c>
      <c r="CC28" s="520">
        <v>0</v>
      </c>
      <c r="CD28" s="175"/>
      <c r="CE28" s="653">
        <f t="shared" si="23"/>
        <v>110</v>
      </c>
      <c r="CF28" s="654">
        <f t="shared" si="26"/>
        <v>0</v>
      </c>
      <c r="CG28" s="655">
        <f t="shared" si="27"/>
        <v>0</v>
      </c>
      <c r="CI28" s="518">
        <v>69.916666666666671</v>
      </c>
      <c r="CJ28" s="520">
        <v>72.354166666666671</v>
      </c>
    </row>
    <row r="29" spans="1:89" ht="14.25" customHeight="1">
      <c r="A29" s="166">
        <f t="shared" si="14"/>
        <v>41846</v>
      </c>
      <c r="B29" s="322">
        <v>49245.94</v>
      </c>
      <c r="C29" s="259">
        <v>1024</v>
      </c>
      <c r="D29" s="259">
        <v>67436.979999999967</v>
      </c>
      <c r="E29" s="259">
        <v>2353</v>
      </c>
      <c r="F29" s="320">
        <v>2108.1850000000004</v>
      </c>
      <c r="G29" s="259">
        <v>67436.979999999967</v>
      </c>
      <c r="H29" s="259">
        <v>2353</v>
      </c>
      <c r="I29" s="263">
        <f t="shared" si="0"/>
        <v>49245.94</v>
      </c>
      <c r="J29" s="328">
        <f t="shared" si="1"/>
        <v>1024</v>
      </c>
      <c r="K29" s="328">
        <f t="shared" si="24"/>
        <v>67436.979999999967</v>
      </c>
      <c r="L29" s="325">
        <f t="shared" si="25"/>
        <v>2353</v>
      </c>
      <c r="M29" s="594">
        <v>1.5</v>
      </c>
      <c r="N29" s="280">
        <v>50</v>
      </c>
      <c r="O29" s="280">
        <v>74</v>
      </c>
      <c r="P29" s="156">
        <f t="shared" si="15"/>
        <v>111</v>
      </c>
      <c r="Q29" s="280">
        <f t="shared" si="16"/>
        <v>50</v>
      </c>
      <c r="R29" s="372">
        <f t="shared" si="4"/>
        <v>161</v>
      </c>
      <c r="S29" s="263">
        <f t="shared" si="17"/>
        <v>512</v>
      </c>
      <c r="T29" s="125">
        <f t="shared" si="5"/>
        <v>0</v>
      </c>
      <c r="U29" s="125">
        <f t="shared" si="6"/>
        <v>0</v>
      </c>
      <c r="V29" s="125">
        <f t="shared" si="7"/>
        <v>0</v>
      </c>
      <c r="W29" s="125">
        <f t="shared" si="8"/>
        <v>0</v>
      </c>
      <c r="X29" s="125">
        <f t="shared" si="9"/>
        <v>1024</v>
      </c>
      <c r="Y29" s="145">
        <f t="shared" si="10"/>
        <v>43095.956200000001</v>
      </c>
      <c r="Z29" s="269">
        <v>42.085894726562501</v>
      </c>
      <c r="AA29" s="167">
        <f t="shared" si="18"/>
        <v>3368.7988000000041</v>
      </c>
      <c r="AB29" s="336"/>
      <c r="AC29" s="167">
        <f t="shared" si="19"/>
        <v>108179.3165273175</v>
      </c>
      <c r="AD29" s="525">
        <f t="shared" si="20"/>
        <v>47.933046875000002</v>
      </c>
      <c r="AE29" s="336"/>
      <c r="AF29" s="101">
        <v>26</v>
      </c>
      <c r="AG29" s="102">
        <f t="shared" si="11"/>
        <v>99668.9384765625</v>
      </c>
      <c r="AH29" s="102">
        <f>'Daily Budget Data'!B30</f>
        <v>110597.0634477601</v>
      </c>
      <c r="AI29" s="96"/>
      <c r="AJ29" s="518">
        <f t="shared" si="21"/>
        <v>0</v>
      </c>
      <c r="AK29" s="518">
        <f t="shared" si="22"/>
        <v>0</v>
      </c>
      <c r="AL29" s="103"/>
      <c r="AM29" s="102">
        <f t="shared" si="12"/>
        <v>105658.93798828125</v>
      </c>
      <c r="AN29" s="102">
        <f>'Daily Budget Data'!H30+'Daily Budget Data'!I30+'Daily Budget Data'!J30</f>
        <v>107604.7791666667</v>
      </c>
      <c r="AO29" s="96"/>
      <c r="AP29" s="110">
        <v>26</v>
      </c>
      <c r="AQ29" s="334"/>
      <c r="AR29" s="336">
        <v>27025.625</v>
      </c>
      <c r="AS29" s="423">
        <v>72643.3134765625</v>
      </c>
      <c r="AT29" s="336"/>
      <c r="AU29" s="336">
        <v>28751.624877929688</v>
      </c>
      <c r="AV29" s="353">
        <v>76907.313110351563</v>
      </c>
      <c r="AX29" s="518">
        <v>0</v>
      </c>
      <c r="AY29" s="519">
        <v>0</v>
      </c>
      <c r="AZ29" s="520">
        <v>2141</v>
      </c>
      <c r="BA29" s="105"/>
      <c r="BB29" s="518">
        <v>0</v>
      </c>
      <c r="BC29" s="519">
        <v>169</v>
      </c>
      <c r="BD29" s="520">
        <v>40</v>
      </c>
      <c r="BE29" s="105"/>
      <c r="BF29" s="518">
        <v>0</v>
      </c>
      <c r="BG29" s="519">
        <v>2338</v>
      </c>
      <c r="BH29" s="520">
        <v>4944</v>
      </c>
      <c r="BI29" s="105"/>
      <c r="BJ29" s="518">
        <v>0</v>
      </c>
      <c r="BK29" s="519">
        <v>0</v>
      </c>
      <c r="BL29" s="520">
        <v>0</v>
      </c>
      <c r="BM29" s="105"/>
      <c r="BN29" s="518">
        <v>0</v>
      </c>
      <c r="BO29" s="519">
        <v>488</v>
      </c>
      <c r="BP29" s="520">
        <v>1865</v>
      </c>
      <c r="BQ29" s="96"/>
      <c r="BR29" s="518">
        <v>0</v>
      </c>
      <c r="BS29" s="519">
        <v>0</v>
      </c>
      <c r="BT29" s="520">
        <v>0</v>
      </c>
      <c r="BU29" s="129"/>
      <c r="BV29" s="518">
        <v>0</v>
      </c>
      <c r="BW29" s="519">
        <v>10</v>
      </c>
      <c r="BX29" s="519">
        <v>0</v>
      </c>
      <c r="BY29" s="520">
        <v>15</v>
      </c>
      <c r="BZ29" s="96"/>
      <c r="CA29" s="518">
        <v>0</v>
      </c>
      <c r="CB29" s="519">
        <v>0</v>
      </c>
      <c r="CC29" s="520">
        <v>1024</v>
      </c>
      <c r="CD29" s="175"/>
      <c r="CE29" s="653">
        <f t="shared" si="23"/>
        <v>0</v>
      </c>
      <c r="CF29" s="654">
        <f t="shared" si="26"/>
        <v>0</v>
      </c>
      <c r="CG29" s="655">
        <f t="shared" si="27"/>
        <v>1024</v>
      </c>
      <c r="CI29" s="518">
        <v>75</v>
      </c>
      <c r="CJ29" s="520">
        <v>80</v>
      </c>
    </row>
    <row r="30" spans="1:89" ht="14.25" customHeight="1">
      <c r="A30" s="166">
        <f t="shared" si="14"/>
        <v>41847</v>
      </c>
      <c r="B30" s="322">
        <v>102090.75</v>
      </c>
      <c r="C30" s="259">
        <v>2300</v>
      </c>
      <c r="D30" s="259">
        <v>67413.45</v>
      </c>
      <c r="E30" s="259">
        <v>2353</v>
      </c>
      <c r="F30" s="320">
        <v>4735.1209999999992</v>
      </c>
      <c r="G30" s="259">
        <v>67413.45</v>
      </c>
      <c r="H30" s="259">
        <v>2353</v>
      </c>
      <c r="I30" s="263">
        <f t="shared" si="0"/>
        <v>102090.75</v>
      </c>
      <c r="J30" s="328">
        <f t="shared" si="1"/>
        <v>2300</v>
      </c>
      <c r="K30" s="328">
        <f t="shared" si="24"/>
        <v>67413.45</v>
      </c>
      <c r="L30" s="325">
        <f t="shared" si="25"/>
        <v>2353</v>
      </c>
      <c r="M30" s="594">
        <v>1.5</v>
      </c>
      <c r="N30" s="280">
        <v>225</v>
      </c>
      <c r="O30" s="280">
        <v>275</v>
      </c>
      <c r="P30" s="156">
        <f t="shared" si="15"/>
        <v>412.5</v>
      </c>
      <c r="Q30" s="280">
        <f t="shared" si="16"/>
        <v>225</v>
      </c>
      <c r="R30" s="372">
        <f t="shared" si="4"/>
        <v>637.5</v>
      </c>
      <c r="S30" s="263">
        <f t="shared" si="17"/>
        <v>1150</v>
      </c>
      <c r="T30" s="125">
        <f t="shared" si="5"/>
        <v>0</v>
      </c>
      <c r="U30" s="125">
        <f t="shared" si="6"/>
        <v>0</v>
      </c>
      <c r="V30" s="125">
        <f t="shared" si="7"/>
        <v>0</v>
      </c>
      <c r="W30" s="125">
        <f t="shared" si="8"/>
        <v>0</v>
      </c>
      <c r="X30" s="125">
        <f t="shared" si="9"/>
        <v>2300</v>
      </c>
      <c r="Y30" s="145">
        <f t="shared" si="10"/>
        <v>67692.064999999944</v>
      </c>
      <c r="Z30" s="269">
        <v>29.431332608695627</v>
      </c>
      <c r="AA30" s="167">
        <f t="shared" si="18"/>
        <v>27876.064000000057</v>
      </c>
      <c r="AB30" s="336"/>
      <c r="AC30" s="167">
        <f t="shared" si="19"/>
        <v>105640.19490001423</v>
      </c>
      <c r="AD30" s="525">
        <f t="shared" si="20"/>
        <v>44.109456521739133</v>
      </c>
      <c r="AE30" s="336"/>
      <c r="AF30" s="101">
        <v>27</v>
      </c>
      <c r="AG30" s="102">
        <f t="shared" si="11"/>
        <v>94515.02587890625</v>
      </c>
      <c r="AH30" s="102">
        <f>'Daily Budget Data'!B31</f>
        <v>108001.19387924118</v>
      </c>
      <c r="AI30" s="96"/>
      <c r="AJ30" s="518">
        <f t="shared" si="21"/>
        <v>0</v>
      </c>
      <c r="AK30" s="518">
        <f t="shared" si="22"/>
        <v>0</v>
      </c>
      <c r="AL30" s="103"/>
      <c r="AM30" s="102">
        <f t="shared" si="12"/>
        <v>101401.36840820312</v>
      </c>
      <c r="AN30" s="102">
        <f>'Daily Budget Data'!H31+'Daily Budget Data'!I31+'Daily Budget Data'!J31</f>
        <v>107604.7791666667</v>
      </c>
      <c r="AO30" s="96"/>
      <c r="AP30" s="110">
        <v>27</v>
      </c>
      <c r="AQ30" s="334"/>
      <c r="AR30" s="336">
        <v>27525.978149414063</v>
      </c>
      <c r="AS30" s="423">
        <v>66989.047729492188</v>
      </c>
      <c r="AT30" s="336"/>
      <c r="AU30" s="336">
        <v>29192.320922851563</v>
      </c>
      <c r="AV30" s="353">
        <v>72209.047485351563</v>
      </c>
      <c r="AX30" s="518">
        <v>0</v>
      </c>
      <c r="AY30" s="519">
        <v>0</v>
      </c>
      <c r="AZ30" s="520">
        <v>0</v>
      </c>
      <c r="BA30" s="105"/>
      <c r="BB30" s="518">
        <v>0</v>
      </c>
      <c r="BC30" s="519">
        <v>57</v>
      </c>
      <c r="BD30" s="520">
        <v>369</v>
      </c>
      <c r="BE30" s="105"/>
      <c r="BF30" s="518">
        <v>0</v>
      </c>
      <c r="BG30" s="519">
        <v>2327</v>
      </c>
      <c r="BH30" s="520">
        <v>4947</v>
      </c>
      <c r="BI30" s="105"/>
      <c r="BJ30" s="518">
        <v>0</v>
      </c>
      <c r="BK30" s="519">
        <v>0</v>
      </c>
      <c r="BL30" s="520">
        <v>0</v>
      </c>
      <c r="BM30" s="105"/>
      <c r="BN30" s="518">
        <v>0</v>
      </c>
      <c r="BO30" s="519">
        <v>548</v>
      </c>
      <c r="BP30" s="520">
        <v>1805</v>
      </c>
      <c r="BQ30" s="96"/>
      <c r="BR30" s="518">
        <v>0</v>
      </c>
      <c r="BS30" s="519">
        <v>0</v>
      </c>
      <c r="BT30" s="520">
        <v>0</v>
      </c>
      <c r="BU30" s="129"/>
      <c r="BV30" s="518">
        <v>0</v>
      </c>
      <c r="BW30" s="519">
        <v>13</v>
      </c>
      <c r="BX30" s="519">
        <v>0</v>
      </c>
      <c r="BY30" s="520">
        <v>15</v>
      </c>
      <c r="BZ30" s="96"/>
      <c r="CA30" s="518">
        <v>0</v>
      </c>
      <c r="CB30" s="519">
        <v>0</v>
      </c>
      <c r="CC30" s="520">
        <v>2300</v>
      </c>
      <c r="CD30" s="175"/>
      <c r="CE30" s="653">
        <f t="shared" si="23"/>
        <v>0</v>
      </c>
      <c r="CF30" s="654">
        <f t="shared" si="26"/>
        <v>0</v>
      </c>
      <c r="CG30" s="655">
        <f t="shared" si="27"/>
        <v>2300</v>
      </c>
      <c r="CI30" s="518">
        <v>74.838657407407396</v>
      </c>
      <c r="CJ30" s="520">
        <v>77.004999999999995</v>
      </c>
    </row>
    <row r="31" spans="1:89" ht="14.25" customHeight="1">
      <c r="A31" s="166">
        <f t="shared" si="14"/>
        <v>41848</v>
      </c>
      <c r="B31" s="322">
        <v>13266</v>
      </c>
      <c r="C31" s="259">
        <v>350</v>
      </c>
      <c r="D31" s="259">
        <v>64854.790000000023</v>
      </c>
      <c r="E31" s="259">
        <v>2299</v>
      </c>
      <c r="F31" s="320">
        <v>1316.1990000000001</v>
      </c>
      <c r="G31" s="259">
        <v>64854.790000000023</v>
      </c>
      <c r="H31" s="259">
        <v>2299</v>
      </c>
      <c r="I31" s="263">
        <f t="shared" si="0"/>
        <v>13266</v>
      </c>
      <c r="J31" s="328">
        <f t="shared" si="1"/>
        <v>350</v>
      </c>
      <c r="K31" s="328">
        <f t="shared" si="24"/>
        <v>64854.790000000023</v>
      </c>
      <c r="L31" s="325">
        <f t="shared" si="25"/>
        <v>2299</v>
      </c>
      <c r="M31" s="594">
        <v>1.5</v>
      </c>
      <c r="N31" s="280">
        <v>150</v>
      </c>
      <c r="O31" s="280">
        <v>0</v>
      </c>
      <c r="P31" s="156">
        <f t="shared" si="15"/>
        <v>0</v>
      </c>
      <c r="Q31" s="280">
        <f t="shared" si="16"/>
        <v>150</v>
      </c>
      <c r="R31" s="372">
        <f t="shared" si="4"/>
        <v>150</v>
      </c>
      <c r="S31" s="263">
        <f t="shared" si="17"/>
        <v>175</v>
      </c>
      <c r="T31" s="125">
        <f t="shared" si="5"/>
        <v>0</v>
      </c>
      <c r="U31" s="125">
        <f t="shared" si="6"/>
        <v>0</v>
      </c>
      <c r="V31" s="125">
        <f t="shared" si="7"/>
        <v>0</v>
      </c>
      <c r="W31" s="125">
        <f t="shared" si="8"/>
        <v>0</v>
      </c>
      <c r="X31" s="125">
        <f t="shared" si="9"/>
        <v>350</v>
      </c>
      <c r="Y31" s="145">
        <f t="shared" si="10"/>
        <v>9303</v>
      </c>
      <c r="Z31" s="269">
        <v>26.58</v>
      </c>
      <c r="AA31" s="167">
        <f t="shared" si="18"/>
        <v>2321.8009999999995</v>
      </c>
      <c r="AB31" s="336"/>
      <c r="AC31" s="167">
        <f t="shared" si="19"/>
        <v>116871.9337093342</v>
      </c>
      <c r="AD31" s="525">
        <f t="shared" si="20"/>
        <v>37.47</v>
      </c>
      <c r="AE31" s="336"/>
      <c r="AF31" s="101">
        <v>28</v>
      </c>
      <c r="AG31" s="102">
        <f t="shared" si="11"/>
        <v>94329.477294921875</v>
      </c>
      <c r="AH31" s="102">
        <f>'Daily Budget Data'!B32</f>
        <v>119483.95573796812</v>
      </c>
      <c r="AI31" s="96"/>
      <c r="AJ31" s="518">
        <f t="shared" si="21"/>
        <v>0</v>
      </c>
      <c r="AK31" s="518">
        <f t="shared" si="22"/>
        <v>0</v>
      </c>
      <c r="AL31" s="103"/>
      <c r="AM31" s="102">
        <f t="shared" si="12"/>
        <v>100096.2216796875</v>
      </c>
      <c r="AN31" s="102">
        <f>'Daily Budget Data'!H32+'Daily Budget Data'!I32+'Daily Budget Data'!J32</f>
        <v>122215.75912878796</v>
      </c>
      <c r="AO31" s="96"/>
      <c r="AP31" s="110">
        <v>28</v>
      </c>
      <c r="AQ31" s="334">
        <v>68218.379272460938</v>
      </c>
      <c r="AR31" s="336">
        <v>26111.098022460938</v>
      </c>
      <c r="AS31" s="423"/>
      <c r="AT31" s="336">
        <v>72076.162719726563</v>
      </c>
      <c r="AU31" s="336">
        <v>28020.058959960938</v>
      </c>
      <c r="AV31" s="353"/>
      <c r="AX31" s="518">
        <v>0</v>
      </c>
      <c r="AY31" s="519">
        <v>0</v>
      </c>
      <c r="AZ31" s="520">
        <v>0</v>
      </c>
      <c r="BA31" s="105"/>
      <c r="BB31" s="518">
        <v>737</v>
      </c>
      <c r="BC31" s="519">
        <v>276</v>
      </c>
      <c r="BD31" s="520">
        <v>0</v>
      </c>
      <c r="BE31" s="105"/>
      <c r="BF31" s="518">
        <v>4964</v>
      </c>
      <c r="BG31" s="519">
        <v>2329</v>
      </c>
      <c r="BH31" s="520">
        <v>0</v>
      </c>
      <c r="BI31" s="105"/>
      <c r="BJ31" s="518">
        <v>0</v>
      </c>
      <c r="BK31" s="519">
        <v>0</v>
      </c>
      <c r="BL31" s="520">
        <v>0</v>
      </c>
      <c r="BM31" s="105"/>
      <c r="BN31" s="518">
        <v>1773</v>
      </c>
      <c r="BO31" s="519">
        <v>526</v>
      </c>
      <c r="BP31" s="520">
        <v>0</v>
      </c>
      <c r="BQ31" s="96"/>
      <c r="BR31" s="518">
        <v>0</v>
      </c>
      <c r="BS31" s="519">
        <v>0</v>
      </c>
      <c r="BT31" s="520">
        <v>0</v>
      </c>
      <c r="BU31" s="129"/>
      <c r="BV31" s="518">
        <v>0</v>
      </c>
      <c r="BW31" s="519">
        <v>3</v>
      </c>
      <c r="BX31" s="519">
        <v>0</v>
      </c>
      <c r="BY31" s="520">
        <v>6</v>
      </c>
      <c r="BZ31" s="96"/>
      <c r="CA31" s="518">
        <v>350</v>
      </c>
      <c r="CB31" s="519">
        <v>0</v>
      </c>
      <c r="CC31" s="520">
        <v>0</v>
      </c>
      <c r="CD31" s="175"/>
      <c r="CE31" s="653">
        <f t="shared" si="23"/>
        <v>350</v>
      </c>
      <c r="CF31" s="654">
        <f t="shared" si="26"/>
        <v>0</v>
      </c>
      <c r="CG31" s="655">
        <f t="shared" si="27"/>
        <v>0</v>
      </c>
      <c r="CI31" s="518">
        <v>68.468055555555551</v>
      </c>
      <c r="CJ31" s="520">
        <v>71.295833333333334</v>
      </c>
    </row>
    <row r="32" spans="1:89" ht="14.25" customHeight="1">
      <c r="A32" s="166">
        <f t="shared" si="14"/>
        <v>41849</v>
      </c>
      <c r="B32" s="322">
        <v>0</v>
      </c>
      <c r="C32" s="259">
        <v>0</v>
      </c>
      <c r="D32" s="259">
        <v>83563.5</v>
      </c>
      <c r="E32" s="259">
        <v>2958</v>
      </c>
      <c r="F32" s="320">
        <v>0</v>
      </c>
      <c r="G32" s="259">
        <v>83563.5</v>
      </c>
      <c r="H32" s="259">
        <v>2958</v>
      </c>
      <c r="I32" s="263">
        <f t="shared" si="0"/>
        <v>0</v>
      </c>
      <c r="J32" s="328">
        <f t="shared" si="1"/>
        <v>0</v>
      </c>
      <c r="K32" s="328">
        <f t="shared" si="24"/>
        <v>83563.5</v>
      </c>
      <c r="L32" s="325">
        <f t="shared" si="25"/>
        <v>2958</v>
      </c>
      <c r="M32" s="594">
        <v>1.5</v>
      </c>
      <c r="N32" s="280">
        <v>0</v>
      </c>
      <c r="O32" s="280">
        <v>0</v>
      </c>
      <c r="P32" s="156">
        <f t="shared" si="15"/>
        <v>0</v>
      </c>
      <c r="Q32" s="280">
        <f t="shared" si="16"/>
        <v>0</v>
      </c>
      <c r="R32" s="372">
        <f t="shared" si="4"/>
        <v>0</v>
      </c>
      <c r="S32" s="263">
        <f t="shared" si="17"/>
        <v>0</v>
      </c>
      <c r="T32" s="125">
        <f t="shared" si="5"/>
        <v>0</v>
      </c>
      <c r="U32" s="125">
        <f t="shared" si="6"/>
        <v>0</v>
      </c>
      <c r="V32" s="125">
        <f t="shared" si="7"/>
        <v>0</v>
      </c>
      <c r="W32" s="125">
        <f t="shared" si="8"/>
        <v>0</v>
      </c>
      <c r="X32" s="125">
        <f t="shared" si="9"/>
        <v>0</v>
      </c>
      <c r="Y32" s="145">
        <f t="shared" si="10"/>
        <v>0</v>
      </c>
      <c r="Z32" s="269"/>
      <c r="AA32" s="167">
        <f t="shared" si="18"/>
        <v>0</v>
      </c>
      <c r="AB32" s="336"/>
      <c r="AC32" s="167">
        <f t="shared" si="19"/>
        <v>118748.24550654209</v>
      </c>
      <c r="AD32" s="525" t="str">
        <f t="shared" si="20"/>
        <v>-</v>
      </c>
      <c r="AE32" s="390"/>
      <c r="AF32" s="101">
        <v>29</v>
      </c>
      <c r="AG32" s="102">
        <f t="shared" si="11"/>
        <v>88847.529418945313</v>
      </c>
      <c r="AH32" s="102">
        <f>'Daily Budget Data'!B33</f>
        <v>121402.20204923207</v>
      </c>
      <c r="AI32" s="96"/>
      <c r="AJ32" s="518">
        <f t="shared" si="21"/>
        <v>0</v>
      </c>
      <c r="AK32" s="518">
        <f t="shared" si="22"/>
        <v>0</v>
      </c>
      <c r="AL32" s="103"/>
      <c r="AM32" s="102">
        <f t="shared" si="12"/>
        <v>93163.529296875</v>
      </c>
      <c r="AN32" s="102">
        <f>'Daily Budget Data'!H33+'Daily Budget Data'!I33+'Daily Budget Data'!J33</f>
        <v>122215.75912878796</v>
      </c>
      <c r="AO32" s="96"/>
      <c r="AP32" s="110">
        <v>29</v>
      </c>
      <c r="AQ32" s="334">
        <v>64238.258178710938</v>
      </c>
      <c r="AR32" s="336">
        <v>24609.271240234375</v>
      </c>
      <c r="AS32" s="423"/>
      <c r="AT32" s="336">
        <v>66753.258178710938</v>
      </c>
      <c r="AU32" s="336">
        <v>26410.271118164063</v>
      </c>
      <c r="AV32" s="353"/>
      <c r="AX32" s="518">
        <v>314</v>
      </c>
      <c r="AY32" s="519">
        <v>0</v>
      </c>
      <c r="AZ32" s="520">
        <v>0</v>
      </c>
      <c r="BA32" s="105"/>
      <c r="BB32" s="518">
        <v>541</v>
      </c>
      <c r="BC32" s="519">
        <v>243</v>
      </c>
      <c r="BD32" s="520">
        <v>0</v>
      </c>
      <c r="BE32" s="105"/>
      <c r="BF32" s="518">
        <v>4943</v>
      </c>
      <c r="BG32" s="519">
        <v>2331</v>
      </c>
      <c r="BH32" s="520">
        <v>0</v>
      </c>
      <c r="BI32" s="105"/>
      <c r="BJ32" s="518">
        <v>0</v>
      </c>
      <c r="BK32" s="519">
        <v>0</v>
      </c>
      <c r="BL32" s="520">
        <v>0</v>
      </c>
      <c r="BM32" s="105"/>
      <c r="BN32" s="518">
        <v>2331</v>
      </c>
      <c r="BO32" s="519">
        <v>627</v>
      </c>
      <c r="BP32" s="520">
        <v>0</v>
      </c>
      <c r="BQ32" s="96"/>
      <c r="BR32" s="518">
        <v>0</v>
      </c>
      <c r="BS32" s="519">
        <v>0</v>
      </c>
      <c r="BT32" s="520">
        <v>0</v>
      </c>
      <c r="BU32" s="129"/>
      <c r="BV32" s="518">
        <v>2</v>
      </c>
      <c r="BW32" s="519">
        <v>0</v>
      </c>
      <c r="BX32" s="519">
        <v>0</v>
      </c>
      <c r="BY32" s="520">
        <v>0</v>
      </c>
      <c r="BZ32" s="96"/>
      <c r="CA32" s="518">
        <v>0</v>
      </c>
      <c r="CB32" s="519">
        <v>0</v>
      </c>
      <c r="CC32" s="520">
        <v>0</v>
      </c>
      <c r="CD32" s="175"/>
      <c r="CE32" s="653">
        <f t="shared" si="23"/>
        <v>0</v>
      </c>
      <c r="CF32" s="654">
        <f t="shared" si="26"/>
        <v>0</v>
      </c>
      <c r="CG32" s="655">
        <f t="shared" si="27"/>
        <v>0</v>
      </c>
      <c r="CI32" s="518">
        <v>63.337499999999999</v>
      </c>
      <c r="CJ32" s="520">
        <v>66.808333333333337</v>
      </c>
    </row>
    <row r="33" spans="1:95" s="100" customFormat="1" ht="14.25" customHeight="1">
      <c r="A33" s="166">
        <f t="shared" si="14"/>
        <v>41850</v>
      </c>
      <c r="B33" s="322">
        <v>0</v>
      </c>
      <c r="C33" s="259">
        <v>0</v>
      </c>
      <c r="D33" s="259">
        <v>0</v>
      </c>
      <c r="E33" s="259">
        <v>0</v>
      </c>
      <c r="F33" s="320">
        <v>0</v>
      </c>
      <c r="G33" s="259">
        <v>0</v>
      </c>
      <c r="H33" s="259">
        <v>0</v>
      </c>
      <c r="I33" s="263">
        <f t="shared" si="0"/>
        <v>0</v>
      </c>
      <c r="J33" s="328">
        <f t="shared" si="1"/>
        <v>0</v>
      </c>
      <c r="K33" s="328">
        <f t="shared" si="24"/>
        <v>0</v>
      </c>
      <c r="L33" s="325">
        <f t="shared" si="25"/>
        <v>0</v>
      </c>
      <c r="M33" s="594">
        <v>1.5</v>
      </c>
      <c r="N33" s="280">
        <v>0</v>
      </c>
      <c r="O33" s="280">
        <v>0</v>
      </c>
      <c r="P33" s="156">
        <f t="shared" si="15"/>
        <v>0</v>
      </c>
      <c r="Q33" s="280">
        <f t="shared" si="16"/>
        <v>0</v>
      </c>
      <c r="R33" s="372">
        <f t="shared" si="4"/>
        <v>0</v>
      </c>
      <c r="S33" s="263">
        <f t="shared" si="17"/>
        <v>0</v>
      </c>
      <c r="T33" s="125">
        <f t="shared" si="5"/>
        <v>0</v>
      </c>
      <c r="U33" s="125">
        <f t="shared" si="6"/>
        <v>0</v>
      </c>
      <c r="V33" s="125">
        <f t="shared" si="7"/>
        <v>0</v>
      </c>
      <c r="W33" s="125">
        <f t="shared" si="8"/>
        <v>0</v>
      </c>
      <c r="X33" s="125">
        <f t="shared" si="9"/>
        <v>0</v>
      </c>
      <c r="Y33" s="145">
        <f t="shared" si="10"/>
        <v>0</v>
      </c>
      <c r="Z33" s="269"/>
      <c r="AA33" s="167">
        <f t="shared" si="18"/>
        <v>0</v>
      </c>
      <c r="AB33" s="336"/>
      <c r="AC33" s="167">
        <f t="shared" si="19"/>
        <v>0</v>
      </c>
      <c r="AD33" s="525" t="str">
        <f t="shared" si="20"/>
        <v>-</v>
      </c>
      <c r="AE33" s="390"/>
      <c r="AF33" s="101">
        <v>30</v>
      </c>
      <c r="AG33" s="102">
        <f t="shared" si="11"/>
        <v>0</v>
      </c>
      <c r="AH33" s="102">
        <f>'Daily Budget Data'!B34</f>
        <v>0</v>
      </c>
      <c r="AI33" s="105"/>
      <c r="AJ33" s="518">
        <f t="shared" si="21"/>
        <v>0</v>
      </c>
      <c r="AK33" s="518">
        <f t="shared" si="22"/>
        <v>0</v>
      </c>
      <c r="AL33" s="109"/>
      <c r="AM33" s="102">
        <f t="shared" si="12"/>
        <v>0</v>
      </c>
      <c r="AN33" s="102">
        <f>'Daily Budget Data'!H34+'Daily Budget Data'!I34+'Daily Budget Data'!J34</f>
        <v>0</v>
      </c>
      <c r="AO33" s="105"/>
      <c r="AP33" s="110">
        <v>30</v>
      </c>
      <c r="AQ33" s="334"/>
      <c r="AR33" s="336"/>
      <c r="AS33" s="423"/>
      <c r="AT33" s="336"/>
      <c r="AU33" s="336"/>
      <c r="AV33" s="353"/>
      <c r="AX33" s="518">
        <v>0</v>
      </c>
      <c r="AY33" s="519">
        <v>0</v>
      </c>
      <c r="AZ33" s="520">
        <v>0</v>
      </c>
      <c r="BA33" s="105"/>
      <c r="BB33" s="518">
        <v>0</v>
      </c>
      <c r="BC33" s="519">
        <v>0</v>
      </c>
      <c r="BD33" s="520">
        <v>0</v>
      </c>
      <c r="BE33" s="105"/>
      <c r="BF33" s="518">
        <v>0</v>
      </c>
      <c r="BG33" s="519">
        <v>0</v>
      </c>
      <c r="BH33" s="520">
        <v>0</v>
      </c>
      <c r="BI33" s="105"/>
      <c r="BJ33" s="518">
        <v>0</v>
      </c>
      <c r="BK33" s="519">
        <v>0</v>
      </c>
      <c r="BL33" s="520">
        <v>0</v>
      </c>
      <c r="BM33" s="105"/>
      <c r="BN33" s="518">
        <v>0</v>
      </c>
      <c r="BO33" s="519">
        <v>0</v>
      </c>
      <c r="BP33" s="520">
        <v>0</v>
      </c>
      <c r="BQ33" s="105"/>
      <c r="BR33" s="518">
        <v>0</v>
      </c>
      <c r="BS33" s="519">
        <v>0</v>
      </c>
      <c r="BT33" s="520">
        <v>0</v>
      </c>
      <c r="BU33" s="129"/>
      <c r="BV33" s="518" t="s">
        <v>407</v>
      </c>
      <c r="BW33" s="519" t="s">
        <v>407</v>
      </c>
      <c r="BX33" s="519" t="s">
        <v>407</v>
      </c>
      <c r="BY33" s="520" t="s">
        <v>407</v>
      </c>
      <c r="BZ33" s="105"/>
      <c r="CA33" s="518">
        <v>0</v>
      </c>
      <c r="CB33" s="519">
        <v>0</v>
      </c>
      <c r="CC33" s="520">
        <v>0</v>
      </c>
      <c r="CD33" s="175"/>
      <c r="CE33" s="653">
        <f t="shared" si="23"/>
        <v>0</v>
      </c>
      <c r="CF33" s="654">
        <f t="shared" si="26"/>
        <v>0</v>
      </c>
      <c r="CG33" s="655">
        <f t="shared" si="27"/>
        <v>0</v>
      </c>
      <c r="CI33" s="518" t="s">
        <v>407</v>
      </c>
      <c r="CJ33" s="520" t="s">
        <v>407</v>
      </c>
    </row>
    <row r="34" spans="1:95" s="327" customFormat="1" ht="14.25" customHeight="1">
      <c r="A34" s="649">
        <f t="shared" si="14"/>
        <v>41851</v>
      </c>
      <c r="B34" s="567">
        <v>0</v>
      </c>
      <c r="C34" s="568">
        <v>0</v>
      </c>
      <c r="D34" s="568">
        <v>0</v>
      </c>
      <c r="E34" s="568">
        <v>0</v>
      </c>
      <c r="F34" s="569">
        <v>0</v>
      </c>
      <c r="G34" s="568">
        <v>0</v>
      </c>
      <c r="H34" s="568">
        <v>0</v>
      </c>
      <c r="I34" s="344">
        <f t="shared" si="0"/>
        <v>0</v>
      </c>
      <c r="J34" s="338">
        <f t="shared" si="1"/>
        <v>0</v>
      </c>
      <c r="K34" s="338">
        <f t="shared" si="24"/>
        <v>0</v>
      </c>
      <c r="L34" s="394">
        <f t="shared" si="25"/>
        <v>0</v>
      </c>
      <c r="M34" s="595">
        <v>1.5</v>
      </c>
      <c r="N34" s="339">
        <v>0</v>
      </c>
      <c r="O34" s="339">
        <v>0</v>
      </c>
      <c r="P34" s="339">
        <f t="shared" si="15"/>
        <v>0</v>
      </c>
      <c r="Q34" s="339">
        <f t="shared" si="16"/>
        <v>0</v>
      </c>
      <c r="R34" s="388">
        <f t="shared" si="4"/>
        <v>0</v>
      </c>
      <c r="S34" s="344">
        <f t="shared" si="17"/>
        <v>0</v>
      </c>
      <c r="T34" s="337">
        <f t="shared" si="5"/>
        <v>0</v>
      </c>
      <c r="U34" s="337">
        <f t="shared" si="6"/>
        <v>0</v>
      </c>
      <c r="V34" s="337">
        <f t="shared" si="7"/>
        <v>0</v>
      </c>
      <c r="W34" s="337">
        <f t="shared" si="8"/>
        <v>0</v>
      </c>
      <c r="X34" s="337">
        <f t="shared" si="9"/>
        <v>0</v>
      </c>
      <c r="Y34" s="323">
        <f t="shared" si="10"/>
        <v>0</v>
      </c>
      <c r="Z34" s="381"/>
      <c r="AA34" s="337">
        <f t="shared" si="18"/>
        <v>0</v>
      </c>
      <c r="AB34" s="332"/>
      <c r="AC34" s="337">
        <f t="shared" si="19"/>
        <v>0</v>
      </c>
      <c r="AD34" s="560" t="str">
        <f t="shared" si="20"/>
        <v>-</v>
      </c>
      <c r="AE34" s="126"/>
      <c r="AF34" s="348">
        <v>31</v>
      </c>
      <c r="AG34" s="333">
        <f t="shared" si="11"/>
        <v>0</v>
      </c>
      <c r="AH34" s="333">
        <f>'Daily Budget Data'!B35</f>
        <v>0</v>
      </c>
      <c r="AI34" s="130"/>
      <c r="AJ34" s="665">
        <f t="shared" si="21"/>
        <v>0</v>
      </c>
      <c r="AK34" s="521">
        <f t="shared" si="22"/>
        <v>0</v>
      </c>
      <c r="AL34" s="237"/>
      <c r="AM34" s="333">
        <f t="shared" si="12"/>
        <v>0</v>
      </c>
      <c r="AN34" s="333">
        <f>'Daily Budget Data'!H35+'Daily Budget Data'!I35+'Daily Budget Data'!J35</f>
        <v>0</v>
      </c>
      <c r="AO34" s="130"/>
      <c r="AP34" s="326">
        <v>31</v>
      </c>
      <c r="AQ34" s="335"/>
      <c r="AR34" s="332"/>
      <c r="AS34" s="424"/>
      <c r="AT34" s="332"/>
      <c r="AU34" s="332"/>
      <c r="AV34" s="354"/>
      <c r="AX34" s="521">
        <v>0</v>
      </c>
      <c r="AY34" s="522">
        <v>0</v>
      </c>
      <c r="AZ34" s="523">
        <v>0</v>
      </c>
      <c r="BA34" s="130"/>
      <c r="BB34" s="521">
        <v>0</v>
      </c>
      <c r="BC34" s="522">
        <v>0</v>
      </c>
      <c r="BD34" s="523">
        <v>0</v>
      </c>
      <c r="BE34" s="130"/>
      <c r="BF34" s="521">
        <v>0</v>
      </c>
      <c r="BG34" s="522">
        <v>0</v>
      </c>
      <c r="BH34" s="523">
        <v>0</v>
      </c>
      <c r="BI34" s="130"/>
      <c r="BJ34" s="521">
        <v>0</v>
      </c>
      <c r="BK34" s="522">
        <v>0</v>
      </c>
      <c r="BL34" s="523">
        <v>0</v>
      </c>
      <c r="BM34" s="130"/>
      <c r="BN34" s="521">
        <v>0</v>
      </c>
      <c r="BO34" s="522">
        <v>0</v>
      </c>
      <c r="BP34" s="523">
        <v>0</v>
      </c>
      <c r="BQ34" s="130"/>
      <c r="BR34" s="521">
        <v>0</v>
      </c>
      <c r="BS34" s="522">
        <v>0</v>
      </c>
      <c r="BT34" s="523">
        <v>0</v>
      </c>
      <c r="BU34" s="130"/>
      <c r="BV34" s="521" t="s">
        <v>407</v>
      </c>
      <c r="BW34" s="522" t="s">
        <v>407</v>
      </c>
      <c r="BX34" s="522" t="s">
        <v>407</v>
      </c>
      <c r="BY34" s="523" t="s">
        <v>407</v>
      </c>
      <c r="BZ34" s="130"/>
      <c r="CA34" s="521">
        <v>0</v>
      </c>
      <c r="CB34" s="522">
        <v>0</v>
      </c>
      <c r="CC34" s="523">
        <v>0</v>
      </c>
      <c r="CD34" s="343"/>
      <c r="CE34" s="656">
        <f t="shared" si="23"/>
        <v>0</v>
      </c>
      <c r="CF34" s="544">
        <f t="shared" si="26"/>
        <v>0</v>
      </c>
      <c r="CG34" s="657">
        <f t="shared" si="27"/>
        <v>0</v>
      </c>
      <c r="CI34" s="521" t="s">
        <v>407</v>
      </c>
      <c r="CJ34" s="523" t="s">
        <v>407</v>
      </c>
    </row>
    <row r="35" spans="1:95">
      <c r="B35" s="512"/>
      <c r="C35" s="512"/>
      <c r="D35" s="512"/>
      <c r="E35" s="512"/>
      <c r="F35" s="512"/>
      <c r="G35" s="512"/>
      <c r="N35" s="23"/>
      <c r="O35" s="23"/>
      <c r="AF35" s="108"/>
      <c r="AG35" s="105"/>
      <c r="AH35" s="105"/>
      <c r="AI35" s="105"/>
      <c r="AJ35" s="105"/>
      <c r="AK35" s="105"/>
      <c r="AL35" s="109"/>
      <c r="AM35" s="105"/>
      <c r="AN35" s="105"/>
      <c r="AO35" s="105"/>
      <c r="AP35" s="110"/>
      <c r="AQ35" s="105"/>
      <c r="AR35" s="105"/>
      <c r="AS35" s="105"/>
      <c r="AT35" s="105"/>
      <c r="AU35" s="105"/>
      <c r="AV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96"/>
      <c r="BO35" s="96"/>
      <c r="BP35" s="96"/>
      <c r="BQ35" s="96"/>
      <c r="BR35" s="96"/>
      <c r="BS35" s="96"/>
      <c r="BT35" s="96"/>
      <c r="BU35" s="391"/>
      <c r="BV35" s="105"/>
      <c r="BW35" s="105"/>
      <c r="BX35" s="105"/>
      <c r="BY35" s="105"/>
      <c r="BZ35" s="96"/>
      <c r="CA35" s="171"/>
      <c r="CB35" s="171"/>
      <c r="CC35" s="171"/>
      <c r="CD35" s="175"/>
      <c r="CE35"/>
      <c r="CF35"/>
      <c r="CG35"/>
      <c r="CI35" s="171"/>
      <c r="CJ35" s="171"/>
    </row>
    <row r="36" spans="1:95">
      <c r="B36" s="24">
        <f t="shared" ref="B36:Y36" si="28">SUM(B4:B35)</f>
        <v>639707.04</v>
      </c>
      <c r="C36" s="24">
        <f t="shared" ref="C36:H36" si="29">SUM(C4:C35)</f>
        <v>12888</v>
      </c>
      <c r="D36" s="24">
        <f t="shared" si="29"/>
        <v>2322756.9919699999</v>
      </c>
      <c r="E36" s="24">
        <f t="shared" si="29"/>
        <v>80400</v>
      </c>
      <c r="F36" s="24">
        <f t="shared" si="29"/>
        <v>40527.207000000002</v>
      </c>
      <c r="G36" s="24">
        <f t="shared" si="29"/>
        <v>2311656.9919699999</v>
      </c>
      <c r="H36" s="24">
        <f t="shared" si="29"/>
        <v>80289</v>
      </c>
      <c r="I36" s="24">
        <f t="shared" si="28"/>
        <v>639707.04</v>
      </c>
      <c r="J36" s="24">
        <f t="shared" si="28"/>
        <v>12888</v>
      </c>
      <c r="K36" s="24">
        <f t="shared" si="28"/>
        <v>2322756.9919699999</v>
      </c>
      <c r="L36" s="24">
        <f t="shared" si="28"/>
        <v>80400</v>
      </c>
      <c r="M36" s="24"/>
      <c r="N36" s="24">
        <f>SUM(N4:N35)</f>
        <v>1125</v>
      </c>
      <c r="O36" s="24">
        <f>SUM(O4:O35)</f>
        <v>1874</v>
      </c>
      <c r="P36" s="24">
        <f t="shared" si="28"/>
        <v>2254.9279750000001</v>
      </c>
      <c r="Q36" s="24">
        <f t="shared" si="28"/>
        <v>1125</v>
      </c>
      <c r="R36" s="24">
        <f t="shared" si="28"/>
        <v>3379.9279750000005</v>
      </c>
      <c r="S36" s="24">
        <f t="shared" si="28"/>
        <v>6388.5</v>
      </c>
      <c r="T36" s="24">
        <f t="shared" si="28"/>
        <v>11100.000000000044</v>
      </c>
      <c r="U36" s="24">
        <f t="shared" si="28"/>
        <v>111</v>
      </c>
      <c r="V36" s="24">
        <f t="shared" si="28"/>
        <v>11100.000000000044</v>
      </c>
      <c r="W36" s="24">
        <f t="shared" si="28"/>
        <v>111</v>
      </c>
      <c r="X36" s="24">
        <f t="shared" si="28"/>
        <v>12777</v>
      </c>
      <c r="Y36" s="24">
        <f t="shared" si="28"/>
        <v>455343.98289999994</v>
      </c>
      <c r="Z36" s="264">
        <f>Y36/X36</f>
        <v>35.637785309540575</v>
      </c>
      <c r="AA36" s="24">
        <f>SUM(AA4:AA35)</f>
        <v>122967.42212500001</v>
      </c>
      <c r="AB36" s="24">
        <f>SUM(AB4:AB35)</f>
        <v>3786.6632258064533</v>
      </c>
      <c r="AC36" s="24">
        <f>SUM(AC4:AC35)</f>
        <v>3227911.717432545</v>
      </c>
      <c r="AD36" s="182">
        <f>(I36-M36-R36)/(W36+X36)</f>
        <v>49.373612044149603</v>
      </c>
      <c r="AE36" s="24">
        <f>SUM(AE4:AE35)</f>
        <v>2051134.9574874768</v>
      </c>
      <c r="AF36"/>
      <c r="AG36" s="96">
        <f>SUM(AG4:AG34)</f>
        <v>2924170.7372436523</v>
      </c>
      <c r="AH36" s="96">
        <f>SUM(AH4:AH34)</f>
        <v>3300053.7300169226</v>
      </c>
      <c r="AI36" s="96"/>
      <c r="AJ36" s="96">
        <f>SUM(AJ4:AJ34)</f>
        <v>2051134.9574874768</v>
      </c>
      <c r="AK36" s="96">
        <f>SUM(AK4:AK34)</f>
        <v>1893262.7339814128</v>
      </c>
      <c r="AL36" s="96"/>
      <c r="AM36" s="96">
        <f>SUM(AM4:AM34)</f>
        <v>2993810.2584228516</v>
      </c>
      <c r="AN36" s="96">
        <f>SUM(AN4:AN34)</f>
        <v>3412758.1950757611</v>
      </c>
      <c r="AO36" s="96"/>
      <c r="AP36" s="96"/>
      <c r="AQ36" s="96">
        <f t="shared" ref="AQ36:AV36" si="30">SUM(AQ4:AQ34)</f>
        <v>1580833.5695800781</v>
      </c>
      <c r="AR36" s="96">
        <f t="shared" si="30"/>
        <v>799445.86859130859</v>
      </c>
      <c r="AS36" s="96">
        <f t="shared" si="30"/>
        <v>543891.29907226563</v>
      </c>
      <c r="AT36" s="96">
        <f t="shared" si="30"/>
        <v>1611082.7884521484</v>
      </c>
      <c r="AU36" s="96">
        <f t="shared" si="30"/>
        <v>824245.171875</v>
      </c>
      <c r="AV36" s="96">
        <f t="shared" si="30"/>
        <v>558482.29809570313</v>
      </c>
      <c r="AX36" s="96">
        <f>SUM(AX4:AX34)</f>
        <v>73277</v>
      </c>
      <c r="AY36" s="96">
        <f>SUM(AY4:AY34)</f>
        <v>504</v>
      </c>
      <c r="AZ36" s="96">
        <f>SUM(AZ4:AZ34)</f>
        <v>12069</v>
      </c>
      <c r="BA36" s="96"/>
      <c r="BB36" s="391">
        <f>SUM(BB4:BB34)</f>
        <v>16284</v>
      </c>
      <c r="BC36" s="391">
        <f>SUM(BC4:BC34)</f>
        <v>10834</v>
      </c>
      <c r="BD36" s="391">
        <f>SUM(BD4:BD34)</f>
        <v>5264</v>
      </c>
      <c r="BE36" s="391"/>
      <c r="BF36" s="391">
        <f>SUM(BF4:BF34)</f>
        <v>69406</v>
      </c>
      <c r="BG36" s="391">
        <f>SUM(BG4:BG34)</f>
        <v>43005</v>
      </c>
      <c r="BH36" s="391">
        <f>SUM(BH4:BH34)</f>
        <v>24794</v>
      </c>
      <c r="BI36" s="391"/>
      <c r="BJ36" s="391">
        <f>SUM(BJ4:BJ34)</f>
        <v>121</v>
      </c>
      <c r="BK36" s="391">
        <f>SUM(BK4:BK34)</f>
        <v>237</v>
      </c>
      <c r="BL36" s="391">
        <f>SUM(BL4:BL34)</f>
        <v>0</v>
      </c>
      <c r="BM36" s="391"/>
      <c r="BN36" s="123">
        <f>SUM(BN4:BN34)</f>
        <v>46805</v>
      </c>
      <c r="BO36" s="123">
        <f>SUM(BO4:BO34)</f>
        <v>18587</v>
      </c>
      <c r="BP36" s="123">
        <f>SUM(BP4:BP34)</f>
        <v>14439</v>
      </c>
      <c r="BQ36" s="105"/>
      <c r="BR36" s="123">
        <f>SUM(BR4:BR34)</f>
        <v>450</v>
      </c>
      <c r="BS36" s="123">
        <f>SUM(BS4:BS34)</f>
        <v>20</v>
      </c>
      <c r="BT36" s="123">
        <f>SUM(BT4:BT34)</f>
        <v>99</v>
      </c>
      <c r="BU36" s="105"/>
      <c r="BV36" s="96">
        <f>SUM(BV4:BV34)</f>
        <v>2</v>
      </c>
      <c r="BW36" s="391">
        <f t="shared" ref="BW36:BY36" si="31">SUM(BW4:BW34)</f>
        <v>259</v>
      </c>
      <c r="BX36" s="391">
        <f t="shared" si="31"/>
        <v>0</v>
      </c>
      <c r="BY36" s="391">
        <f t="shared" si="31"/>
        <v>291</v>
      </c>
      <c r="BZ36" s="96"/>
      <c r="CA36" s="123">
        <f>SUM(CA4:CA34)</f>
        <v>7321</v>
      </c>
      <c r="CB36" s="123">
        <f>SUM(CB4:CB35)</f>
        <v>15</v>
      </c>
      <c r="CC36" s="123">
        <f>SUM(CC4:CC35)</f>
        <v>5194</v>
      </c>
      <c r="CD36" s="175"/>
      <c r="CE36"/>
      <c r="CF36"/>
      <c r="CG36"/>
      <c r="CI36" s="123">
        <f>AVERAGE(CI4:CI34)</f>
        <v>73.671695124659905</v>
      </c>
      <c r="CJ36" s="123">
        <f>AVERAGE(CJ4:CJ34)</f>
        <v>75.127987881059482</v>
      </c>
    </row>
    <row r="37" spans="1:95">
      <c r="B37" s="512"/>
      <c r="C37" s="512"/>
      <c r="D37" s="512"/>
      <c r="E37" s="512"/>
      <c r="F37" s="512"/>
      <c r="G37" s="512"/>
      <c r="N37" s="23"/>
      <c r="O37" s="23"/>
      <c r="AC37" s="528"/>
      <c r="AE37" s="587"/>
      <c r="AF37"/>
      <c r="AG37"/>
      <c r="AH37"/>
      <c r="AI37"/>
      <c r="AJ37"/>
      <c r="AK37"/>
      <c r="AL37"/>
      <c r="AM37"/>
      <c r="AN37"/>
      <c r="AO37" s="93"/>
      <c r="AP37"/>
      <c r="AQ37" s="96"/>
      <c r="AR37"/>
      <c r="BR37" s="122"/>
      <c r="BS37" s="122"/>
      <c r="BT37" s="122"/>
      <c r="BU37" s="122"/>
      <c r="BZ37" s="122"/>
      <c r="CA37" s="119"/>
      <c r="CB37" s="119"/>
      <c r="CI37" s="119"/>
      <c r="CJ37" s="119"/>
    </row>
    <row r="38" spans="1:95">
      <c r="B38" s="512"/>
      <c r="C38" s="512"/>
      <c r="D38" s="512"/>
      <c r="E38" s="512"/>
      <c r="F38" s="512"/>
      <c r="G38" s="512"/>
      <c r="N38" s="23"/>
      <c r="O38" s="23"/>
      <c r="AC38" s="528"/>
      <c r="AE38" s="587"/>
      <c r="AF38"/>
      <c r="AG38" s="96"/>
      <c r="AH38"/>
      <c r="AI38" s="96"/>
      <c r="AJ38"/>
      <c r="AK38" s="96"/>
      <c r="AL38"/>
      <c r="AM38"/>
      <c r="AN38"/>
      <c r="AO38" s="93"/>
      <c r="AP38"/>
      <c r="AQ38" s="96"/>
      <c r="AR38" s="276"/>
      <c r="AZ38" s="4">
        <f>SUM(AX4:AZ34)</f>
        <v>85850</v>
      </c>
      <c r="BD38" s="4">
        <f>SUM(BB4:BD34)</f>
        <v>32382</v>
      </c>
      <c r="BH38" s="4">
        <f>SUM(BF4:BH34)</f>
        <v>137205</v>
      </c>
      <c r="BL38" s="4">
        <f>SUM(BJ4:BL34)</f>
        <v>358</v>
      </c>
      <c r="BP38" s="123">
        <f>BN36+BO36+BP36</f>
        <v>79831</v>
      </c>
      <c r="BT38" s="123">
        <f>BR36+BS36+BT36</f>
        <v>569</v>
      </c>
      <c r="BU38" s="105"/>
      <c r="BV38" s="276"/>
      <c r="BY38" s="276"/>
      <c r="BZ38" s="120"/>
      <c r="CA38" s="1"/>
      <c r="CB38" s="1"/>
      <c r="CC38" s="123">
        <f>SUM(CA36:CC36)</f>
        <v>12530</v>
      </c>
      <c r="CD38" s="172"/>
      <c r="CE38" s="524"/>
      <c r="CI38" s="600" t="s">
        <v>334</v>
      </c>
      <c r="CJ38" s="600" t="s">
        <v>335</v>
      </c>
    </row>
    <row r="39" spans="1:95" s="184" customFormat="1">
      <c r="A39" s="182" t="s">
        <v>113</v>
      </c>
      <c r="B39" s="182">
        <f t="shared" ref="B39:AB39" ca="1" si="32">OFFSET(B3,$A$1,)</f>
        <v>0</v>
      </c>
      <c r="C39" s="182">
        <f t="shared" ref="C39:H39" ca="1" si="33">OFFSET(C3,$A$1,)</f>
        <v>0</v>
      </c>
      <c r="D39" s="182">
        <f t="shared" ca="1" si="33"/>
        <v>83563.5</v>
      </c>
      <c r="E39" s="182">
        <f t="shared" ca="1" si="33"/>
        <v>2958</v>
      </c>
      <c r="F39" s="182">
        <f t="shared" ca="1" si="33"/>
        <v>0</v>
      </c>
      <c r="G39" s="182">
        <f t="shared" ca="1" si="33"/>
        <v>83563.5</v>
      </c>
      <c r="H39" s="182">
        <f t="shared" ca="1" si="33"/>
        <v>2958</v>
      </c>
      <c r="I39" s="182">
        <f t="shared" ca="1" si="32"/>
        <v>0</v>
      </c>
      <c r="J39" s="182">
        <f t="shared" ca="1" si="32"/>
        <v>0</v>
      </c>
      <c r="K39" s="182">
        <f t="shared" ca="1" si="32"/>
        <v>83563.5</v>
      </c>
      <c r="L39" s="182">
        <f t="shared" ca="1" si="32"/>
        <v>2958</v>
      </c>
      <c r="M39" s="182">
        <f ca="1">OFFSET(M3,$A$1,)</f>
        <v>1.5</v>
      </c>
      <c r="N39" s="182">
        <f ca="1">OFFSET(N3,$A$1,)</f>
        <v>0</v>
      </c>
      <c r="O39" s="281">
        <f ca="1">OFFSET(O3,$A$1,)</f>
        <v>0</v>
      </c>
      <c r="P39" s="182">
        <f t="shared" ca="1" si="32"/>
        <v>0</v>
      </c>
      <c r="Q39" s="182">
        <f t="shared" ca="1" si="32"/>
        <v>0</v>
      </c>
      <c r="R39" s="182">
        <f t="shared" ca="1" si="32"/>
        <v>0</v>
      </c>
      <c r="S39" s="182">
        <f t="shared" ca="1" si="32"/>
        <v>0</v>
      </c>
      <c r="T39" s="182">
        <f t="shared" ca="1" si="32"/>
        <v>0</v>
      </c>
      <c r="U39" s="182">
        <f t="shared" ca="1" si="32"/>
        <v>0</v>
      </c>
      <c r="V39" s="182">
        <f t="shared" ca="1" si="32"/>
        <v>0</v>
      </c>
      <c r="W39" s="182">
        <f t="shared" ca="1" si="32"/>
        <v>0</v>
      </c>
      <c r="X39" s="182">
        <f t="shared" ca="1" si="32"/>
        <v>0</v>
      </c>
      <c r="Y39" s="182">
        <f t="shared" ca="1" si="32"/>
        <v>0</v>
      </c>
      <c r="Z39" s="182">
        <f t="shared" ca="1" si="32"/>
        <v>0</v>
      </c>
      <c r="AA39" s="182">
        <f t="shared" ca="1" si="32"/>
        <v>0</v>
      </c>
      <c r="AB39" s="182">
        <f t="shared" ca="1" si="32"/>
        <v>0</v>
      </c>
      <c r="AC39" s="182">
        <f ca="1">OFFSET(AC3,$A$1,)</f>
        <v>118748.24550654209</v>
      </c>
      <c r="AD39" s="182" t="str">
        <f ca="1">OFFSET(AD3,$A$1,)</f>
        <v>-</v>
      </c>
      <c r="AE39" s="182">
        <f ca="1">OFFSET(AE3,$A$1,)</f>
        <v>0</v>
      </c>
      <c r="AF39" s="183"/>
      <c r="AG39" s="281">
        <f ca="1">OFFSET(AG3,$A$1,)</f>
        <v>88847.529418945313</v>
      </c>
      <c r="AH39" s="281">
        <f ca="1">OFFSET(AH3,$A$1,)</f>
        <v>121402.20204923207</v>
      </c>
      <c r="AI39" s="281"/>
      <c r="AJ39" s="281">
        <f ca="1">OFFSET(AJ3,$A$1,)</f>
        <v>0</v>
      </c>
      <c r="AK39" s="281">
        <f ca="1">OFFSET(AK3,$A$1,)</f>
        <v>0</v>
      </c>
      <c r="AL39" s="183"/>
      <c r="AM39" s="183"/>
      <c r="AN39" s="183"/>
      <c r="AO39" s="183"/>
      <c r="AP39" s="183"/>
      <c r="AQ39" s="183"/>
      <c r="AR39" s="183"/>
      <c r="AS39" s="425"/>
      <c r="BV39" s="281">
        <f ca="1">OFFSET(BV3,$A$1,)</f>
        <v>2</v>
      </c>
      <c r="BW39" s="281">
        <f ca="1">OFFSET(BW3,$A$1,)</f>
        <v>0</v>
      </c>
      <c r="BX39" s="281">
        <f ca="1">OFFSET(BX3,$A$1,)</f>
        <v>0</v>
      </c>
      <c r="BY39" s="281">
        <f ca="1">OFFSET(BY3,$A$1,)</f>
        <v>0</v>
      </c>
      <c r="CC39" s="185"/>
      <c r="CD39" s="186"/>
      <c r="CE39" s="186"/>
      <c r="CF39" s="186"/>
      <c r="CG39" s="186"/>
      <c r="CI39" s="184">
        <f>MONTH('OSS Summary'!C6)</f>
        <v>7</v>
      </c>
      <c r="CP39" s="276"/>
      <c r="CQ39" s="276"/>
    </row>
    <row r="40" spans="1:95">
      <c r="B40" s="512"/>
      <c r="C40" s="512"/>
      <c r="D40" s="512"/>
      <c r="E40" s="512"/>
      <c r="F40" s="512"/>
      <c r="G40" s="512"/>
      <c r="CA40" s="276">
        <f>8416-BJ36</f>
        <v>8295</v>
      </c>
      <c r="CB40" s="276">
        <f>748-BK36</f>
        <v>511</v>
      </c>
      <c r="CC40" s="276">
        <f>2012-BL36</f>
        <v>2012</v>
      </c>
      <c r="CD40" s="170"/>
      <c r="CF40" s="277"/>
      <c r="CI40" s="276"/>
      <c r="CJ40" s="276"/>
      <c r="CP40" s="276"/>
      <c r="CQ40" s="276"/>
    </row>
    <row r="41" spans="1:95" ht="12.7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6"/>
      <c r="L41" s="96"/>
      <c r="M41" s="95"/>
      <c r="N41" s="95"/>
      <c r="O41" s="95"/>
      <c r="P41" s="96"/>
      <c r="Q41" s="96"/>
      <c r="R41" s="96"/>
      <c r="S41" s="96"/>
      <c r="T41" s="98"/>
      <c r="U41" s="98"/>
      <c r="V41" s="98"/>
      <c r="W41" s="98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 s="93"/>
      <c r="AP41" s="100"/>
      <c r="AQ41"/>
      <c r="AR41"/>
      <c r="AT41" s="330"/>
      <c r="AU41" s="330"/>
      <c r="AV41" s="330"/>
      <c r="AX41" s="1"/>
      <c r="AY41" s="1"/>
      <c r="AZ41" s="1"/>
      <c r="CP41" s="276"/>
      <c r="CQ41" s="276"/>
    </row>
    <row r="42" spans="1:95" ht="14.25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6"/>
      <c r="L42" s="96"/>
      <c r="M42" s="95"/>
      <c r="N42" s="95"/>
      <c r="O42" s="95"/>
      <c r="P42" s="115"/>
      <c r="Q42" s="115"/>
      <c r="R42" s="115"/>
      <c r="S42" s="115"/>
      <c r="X42"/>
      <c r="Y42"/>
      <c r="Z42"/>
      <c r="AA42"/>
      <c r="AB42"/>
      <c r="AC42"/>
      <c r="AD42"/>
      <c r="AE42"/>
      <c r="AF42"/>
      <c r="AG42" s="276"/>
      <c r="AH42"/>
      <c r="AI42"/>
      <c r="AJ42"/>
      <c r="AK42"/>
      <c r="AL42" s="116"/>
      <c r="AM42"/>
      <c r="AN42"/>
      <c r="AO42"/>
      <c r="AP42" s="100"/>
      <c r="AQ42"/>
      <c r="AR42"/>
      <c r="AT42" s="330"/>
      <c r="AU42" s="330"/>
      <c r="AV42" s="330"/>
      <c r="AX42" s="1"/>
      <c r="AY42" s="1"/>
      <c r="AZ42" s="1"/>
      <c r="CP42" s="276"/>
      <c r="CQ42" s="276"/>
    </row>
    <row r="43" spans="1:95" ht="12.75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5"/>
      <c r="N43" s="95"/>
      <c r="O43" s="95"/>
      <c r="P43" s="96"/>
      <c r="Q43" s="96"/>
      <c r="R43" s="96"/>
      <c r="S43" s="96"/>
      <c r="T43" s="98"/>
      <c r="U43" s="98"/>
      <c r="V43" s="98"/>
      <c r="W43" s="98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T43" s="330"/>
      <c r="AU43" s="330"/>
      <c r="AV43" s="330"/>
      <c r="AX43" s="1"/>
      <c r="AY43" s="1"/>
      <c r="AZ43" s="1"/>
    </row>
    <row r="44" spans="1:95" ht="15.7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6"/>
      <c r="L44" s="96"/>
      <c r="M44" s="95"/>
      <c r="N44" s="95"/>
      <c r="O44" s="95"/>
      <c r="P44" s="97"/>
      <c r="Q44" s="97"/>
      <c r="R44" s="97"/>
      <c r="S44" s="97"/>
      <c r="T44" s="98"/>
      <c r="U44" s="98"/>
      <c r="V44" s="98"/>
      <c r="W44" s="98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T44" s="330"/>
      <c r="AU44" s="330"/>
      <c r="AV44" s="330"/>
      <c r="CQ44" s="276"/>
    </row>
    <row r="47" spans="1:95">
      <c r="B47" s="512"/>
      <c r="C47" s="512"/>
      <c r="D47" s="512"/>
      <c r="E47" s="512"/>
      <c r="F47" s="512"/>
      <c r="G47" s="512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</row>
    <row r="48" spans="1:95">
      <c r="B48" s="512"/>
      <c r="C48" s="512"/>
      <c r="D48" s="512"/>
      <c r="E48" s="512"/>
      <c r="F48" s="512"/>
      <c r="G48" s="512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</row>
    <row r="49" spans="53:65"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</row>
    <row r="50" spans="53:65"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</row>
    <row r="51" spans="53:65"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</row>
    <row r="52" spans="53:65"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</row>
    <row r="53" spans="53:65"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</row>
    <row r="54" spans="53:65"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</row>
    <row r="55" spans="53:65"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</row>
    <row r="56" spans="53:65"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</row>
    <row r="57" spans="53:65"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</row>
    <row r="58" spans="53:65"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</row>
    <row r="59" spans="53:65"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</row>
    <row r="60" spans="53:65"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</row>
    <row r="61" spans="53:65"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</row>
    <row r="62" spans="53:65"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</row>
    <row r="63" spans="53:65"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</row>
    <row r="64" spans="53:65"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</row>
    <row r="65" spans="53:85"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</row>
    <row r="66" spans="53:85"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</row>
    <row r="67" spans="53:85"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</row>
    <row r="68" spans="53:85"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</row>
    <row r="69" spans="53:85"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</row>
    <row r="70" spans="53:85"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</row>
    <row r="71" spans="53:85"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</row>
    <row r="72" spans="53:85"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</row>
    <row r="73" spans="53:85"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</row>
    <row r="74" spans="53:85"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</row>
    <row r="75" spans="53:85"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</row>
    <row r="76" spans="53:85"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</row>
    <row r="77" spans="53:85"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</row>
    <row r="78" spans="53:85"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</row>
    <row r="79" spans="53:85" s="111" customFormat="1" ht="12.75"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CC79" s="173"/>
      <c r="CD79" s="174"/>
      <c r="CE79" s="174"/>
      <c r="CF79" s="174"/>
      <c r="CG79" s="174"/>
    </row>
    <row r="80" spans="53:85"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</row>
    <row r="81" spans="1:65">
      <c r="B81" s="512"/>
      <c r="C81" s="512"/>
      <c r="D81" s="512"/>
      <c r="E81" s="512"/>
      <c r="F81" s="512"/>
      <c r="G81" s="512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</row>
    <row r="83" spans="1:65" ht="12.75">
      <c r="A83"/>
      <c r="B83"/>
      <c r="C83"/>
      <c r="D83"/>
      <c r="E83"/>
      <c r="F83"/>
      <c r="G83"/>
      <c r="H83"/>
      <c r="I83" s="100"/>
      <c r="J83" s="100"/>
      <c r="K83" s="100"/>
      <c r="L83" s="100"/>
      <c r="M83"/>
      <c r="N83"/>
      <c r="O83"/>
      <c r="P83" s="96"/>
      <c r="Q83" s="96"/>
      <c r="R83" s="96"/>
      <c r="S83" s="96"/>
      <c r="T83"/>
      <c r="U83"/>
      <c r="V83"/>
      <c r="W83"/>
      <c r="X83" s="96" t="e">
        <f>#REF!/(8*28)</f>
        <v>#REF!</v>
      </c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T83" s="330"/>
      <c r="AU83" s="330"/>
      <c r="AV83" s="330"/>
      <c r="AX83" s="1"/>
      <c r="AY83" s="1"/>
      <c r="AZ83" s="1"/>
    </row>
    <row r="84" spans="1:65">
      <c r="B84" s="512"/>
      <c r="C84" s="512"/>
      <c r="D84" s="512"/>
      <c r="E84" s="512"/>
      <c r="F84" s="512"/>
      <c r="G84" s="512"/>
      <c r="I84" s="128"/>
      <c r="J84" s="128"/>
      <c r="K84" s="128"/>
      <c r="L84" s="128"/>
    </row>
  </sheetData>
  <mergeCells count="23">
    <mergeCell ref="B1:C1"/>
    <mergeCell ref="I1:J1"/>
    <mergeCell ref="P1:Q1"/>
    <mergeCell ref="AE1:AH1"/>
    <mergeCell ref="BN1:BP1"/>
    <mergeCell ref="D1:E1"/>
    <mergeCell ref="G1:H1"/>
    <mergeCell ref="K1:L1"/>
    <mergeCell ref="AJ1:AK1"/>
    <mergeCell ref="AM1:AN1"/>
    <mergeCell ref="AQ1:AS1"/>
    <mergeCell ref="AT1:AV1"/>
    <mergeCell ref="AX1:AZ1"/>
    <mergeCell ref="BB1:BD1"/>
    <mergeCell ref="BF1:BH1"/>
    <mergeCell ref="BJ1:BL1"/>
    <mergeCell ref="CI2:CJ2"/>
    <mergeCell ref="CC2:CD2"/>
    <mergeCell ref="BR2:BT2"/>
    <mergeCell ref="BN2:BP2"/>
    <mergeCell ref="CA1:CC1"/>
    <mergeCell ref="BR1:BT1"/>
    <mergeCell ref="BV1:BY1"/>
  </mergeCells>
  <phoneticPr fontId="0" type="noConversion"/>
  <pageMargins left="0.75" right="0.75" top="1" bottom="1" header="0.5" footer="0.5"/>
  <pageSetup scale="90" orientation="landscape" horizontalDpi="300" verticalDpi="300" r:id="rId1"/>
  <headerFooter alignWithMargins="0"/>
  <colBreaks count="2" manualBreakCount="2">
    <brk id="28" max="36" man="1"/>
    <brk id="41" max="36" man="1"/>
  </colBreaks>
  <ignoredErrors>
    <ignoredError sqref="K10 I4 I5:I3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"/>
  <sheetViews>
    <sheetView showGridLines="0" zoomScale="84" zoomScaleNormal="84" workbookViewId="0">
      <selection sqref="A1:XFD1048576"/>
    </sheetView>
  </sheetViews>
  <sheetFormatPr defaultRowHeight="12.75"/>
  <cols>
    <col min="26" max="26" width="3.5703125" customWidth="1"/>
  </cols>
  <sheetData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Spinner 1">
              <controlPr defaultSize="0" autoPict="0">
                <anchor moveWithCells="1" sizeWithCells="1">
                  <from>
                    <xdr:col>10</xdr:col>
                    <xdr:colOff>285750</xdr:colOff>
                    <xdr:row>0</xdr:row>
                    <xdr:rowOff>133350</xdr:rowOff>
                  </from>
                  <to>
                    <xdr:col>11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CZ100"/>
  <sheetViews>
    <sheetView workbookViewId="0">
      <pane xSplit="3" ySplit="4" topLeftCell="D5" activePane="bottomRight" state="frozen"/>
      <selection activeCell="M28" sqref="M28"/>
      <selection pane="topRight" activeCell="M28" sqref="M28"/>
      <selection pane="bottomLeft" activeCell="M28" sqref="M28"/>
      <selection pane="bottomRight" activeCell="D5" sqref="D5"/>
    </sheetView>
  </sheetViews>
  <sheetFormatPr defaultRowHeight="12.75"/>
  <cols>
    <col min="1" max="1" width="9.140625" style="601"/>
    <col min="2" max="2" width="9.42578125" style="601" bestFit="1" customWidth="1"/>
    <col min="3" max="3" width="10" style="627" bestFit="1" customWidth="1"/>
    <col min="4" max="4" width="12.42578125" style="627" bestFit="1" customWidth="1"/>
    <col min="5" max="5" width="13.28515625" style="627" bestFit="1" customWidth="1"/>
    <col min="6" max="6" width="12.42578125" style="627" customWidth="1"/>
    <col min="7" max="7" width="13.28515625" style="601" customWidth="1"/>
    <col min="8" max="8" width="13.5703125" style="601" customWidth="1"/>
    <col min="9" max="9" width="14" style="601" customWidth="1"/>
    <col min="10" max="11" width="12" style="601" customWidth="1"/>
    <col min="12" max="13" width="12.28515625" style="601" customWidth="1"/>
    <col min="14" max="15" width="11.85546875" style="601" customWidth="1"/>
    <col min="16" max="17" width="11.5703125" style="601" customWidth="1"/>
    <col min="18" max="26" width="7.140625" style="601" bestFit="1" customWidth="1"/>
    <col min="27" max="27" width="4.140625" style="601" customWidth="1"/>
    <col min="28" max="28" width="9.42578125" style="601" bestFit="1" customWidth="1"/>
    <col min="29" max="52" width="4.7109375" style="601" bestFit="1" customWidth="1"/>
    <col min="53" max="53" width="9.140625" style="601"/>
    <col min="54" max="54" width="9.42578125" style="601" bestFit="1" customWidth="1"/>
    <col min="55" max="78" width="6.5703125" style="601" bestFit="1" customWidth="1"/>
    <col min="79" max="79" width="6.5703125" style="601" customWidth="1"/>
    <col min="80" max="80" width="9.42578125" style="601" bestFit="1" customWidth="1"/>
    <col min="81" max="83" width="6.5703125" style="601" bestFit="1" customWidth="1"/>
    <col min="84" max="84" width="8.140625" style="601" bestFit="1" customWidth="1"/>
    <col min="85" max="104" width="6.5703125" style="601" bestFit="1" customWidth="1"/>
    <col min="105" max="16384" width="9.140625" style="601"/>
  </cols>
  <sheetData>
    <row r="2" spans="1:104">
      <c r="C2" s="749" t="s">
        <v>339</v>
      </c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605"/>
      <c r="AC2" s="749" t="s">
        <v>340</v>
      </c>
      <c r="AD2" s="749"/>
      <c r="AE2" s="749"/>
      <c r="AF2" s="749"/>
      <c r="AG2" s="749"/>
      <c r="AH2" s="749"/>
      <c r="AI2" s="749"/>
      <c r="AJ2" s="749"/>
      <c r="AK2" s="749"/>
      <c r="AL2" s="749"/>
      <c r="AM2" s="749"/>
      <c r="AN2" s="749"/>
      <c r="AO2" s="749"/>
      <c r="AP2" s="749"/>
      <c r="AQ2" s="749"/>
      <c r="AR2" s="749"/>
      <c r="AS2" s="749"/>
      <c r="AT2" s="749"/>
      <c r="AU2" s="749"/>
      <c r="AV2" s="749"/>
      <c r="AW2" s="749"/>
      <c r="AX2" s="749"/>
      <c r="AY2" s="749"/>
      <c r="AZ2" s="749"/>
      <c r="BC2" s="749" t="s">
        <v>337</v>
      </c>
      <c r="BD2" s="749"/>
      <c r="BE2" s="749"/>
      <c r="BF2" s="749"/>
      <c r="BG2" s="749"/>
      <c r="BH2" s="749"/>
      <c r="BI2" s="749"/>
      <c r="BJ2" s="749"/>
      <c r="BK2" s="749"/>
      <c r="BL2" s="749"/>
      <c r="BM2" s="749"/>
      <c r="BN2" s="749"/>
      <c r="BO2" s="749"/>
      <c r="BP2" s="749"/>
      <c r="BQ2" s="749"/>
      <c r="BR2" s="749"/>
      <c r="BS2" s="749"/>
      <c r="BT2" s="749"/>
      <c r="BU2" s="749"/>
      <c r="BV2" s="749"/>
      <c r="BW2" s="749"/>
      <c r="BX2" s="749"/>
      <c r="BY2" s="749"/>
      <c r="BZ2" s="749"/>
      <c r="CA2" s="605"/>
      <c r="CC2" s="749" t="s">
        <v>338</v>
      </c>
      <c r="CD2" s="749"/>
      <c r="CE2" s="749"/>
      <c r="CF2" s="749"/>
      <c r="CG2" s="749"/>
      <c r="CH2" s="749"/>
      <c r="CI2" s="749"/>
      <c r="CJ2" s="749"/>
      <c r="CK2" s="749"/>
      <c r="CL2" s="749"/>
      <c r="CM2" s="749"/>
      <c r="CN2" s="749"/>
      <c r="CO2" s="749"/>
      <c r="CP2" s="749"/>
      <c r="CQ2" s="749"/>
      <c r="CR2" s="749"/>
      <c r="CS2" s="749"/>
      <c r="CT2" s="749"/>
      <c r="CU2" s="749"/>
      <c r="CV2" s="749"/>
      <c r="CW2" s="749"/>
      <c r="CX2" s="749"/>
      <c r="CY2" s="749"/>
      <c r="CZ2" s="749"/>
    </row>
    <row r="3" spans="1:104" s="604" customFormat="1">
      <c r="C3" s="625">
        <v>1</v>
      </c>
      <c r="D3" s="625">
        <f>C3+1</f>
        <v>2</v>
      </c>
      <c r="E3" s="625">
        <f t="shared" ref="E3:Y3" si="0">D3+1</f>
        <v>3</v>
      </c>
      <c r="F3" s="625">
        <f t="shared" si="0"/>
        <v>4</v>
      </c>
      <c r="G3" s="604">
        <f t="shared" si="0"/>
        <v>5</v>
      </c>
      <c r="H3" s="604">
        <f t="shared" si="0"/>
        <v>6</v>
      </c>
      <c r="I3" s="604">
        <f t="shared" si="0"/>
        <v>7</v>
      </c>
      <c r="J3" s="604">
        <f t="shared" si="0"/>
        <v>8</v>
      </c>
      <c r="K3" s="604">
        <f t="shared" si="0"/>
        <v>9</v>
      </c>
      <c r="L3" s="604">
        <f t="shared" si="0"/>
        <v>10</v>
      </c>
      <c r="M3" s="604">
        <f t="shared" si="0"/>
        <v>11</v>
      </c>
      <c r="N3" s="604">
        <f t="shared" si="0"/>
        <v>12</v>
      </c>
      <c r="O3" s="604">
        <f t="shared" si="0"/>
        <v>13</v>
      </c>
      <c r="P3" s="604">
        <f t="shared" si="0"/>
        <v>14</v>
      </c>
      <c r="Q3" s="604">
        <f t="shared" si="0"/>
        <v>15</v>
      </c>
      <c r="R3" s="604">
        <f t="shared" si="0"/>
        <v>16</v>
      </c>
      <c r="S3" s="604">
        <f t="shared" si="0"/>
        <v>17</v>
      </c>
      <c r="T3" s="604">
        <f t="shared" si="0"/>
        <v>18</v>
      </c>
      <c r="U3" s="604">
        <f>T3+1</f>
        <v>19</v>
      </c>
      <c r="V3" s="604">
        <f t="shared" si="0"/>
        <v>20</v>
      </c>
      <c r="W3" s="604">
        <f t="shared" si="0"/>
        <v>21</v>
      </c>
      <c r="X3" s="604">
        <f t="shared" si="0"/>
        <v>22</v>
      </c>
      <c r="Y3" s="604">
        <f t="shared" si="0"/>
        <v>23</v>
      </c>
      <c r="Z3" s="604">
        <f>Y3+1</f>
        <v>24</v>
      </c>
      <c r="AC3" s="604">
        <v>1</v>
      </c>
      <c r="AD3" s="604">
        <f>AC3+1</f>
        <v>2</v>
      </c>
      <c r="AE3" s="604">
        <f t="shared" ref="AE3:AT3" si="1">AD3+1</f>
        <v>3</v>
      </c>
      <c r="AF3" s="604">
        <f t="shared" si="1"/>
        <v>4</v>
      </c>
      <c r="AG3" s="604">
        <f t="shared" si="1"/>
        <v>5</v>
      </c>
      <c r="AH3" s="604">
        <f t="shared" si="1"/>
        <v>6</v>
      </c>
      <c r="AI3" s="604">
        <f t="shared" si="1"/>
        <v>7</v>
      </c>
      <c r="AJ3" s="604">
        <f t="shared" si="1"/>
        <v>8</v>
      </c>
      <c r="AK3" s="604">
        <f t="shared" si="1"/>
        <v>9</v>
      </c>
      <c r="AL3" s="604">
        <f t="shared" si="1"/>
        <v>10</v>
      </c>
      <c r="AM3" s="604">
        <f t="shared" si="1"/>
        <v>11</v>
      </c>
      <c r="AN3" s="604">
        <f t="shared" si="1"/>
        <v>12</v>
      </c>
      <c r="AO3" s="604">
        <f t="shared" si="1"/>
        <v>13</v>
      </c>
      <c r="AP3" s="604">
        <f t="shared" si="1"/>
        <v>14</v>
      </c>
      <c r="AQ3" s="604">
        <f t="shared" si="1"/>
        <v>15</v>
      </c>
      <c r="AR3" s="604">
        <f t="shared" si="1"/>
        <v>16</v>
      </c>
      <c r="AS3" s="604">
        <f t="shared" si="1"/>
        <v>17</v>
      </c>
      <c r="AT3" s="604">
        <f t="shared" si="1"/>
        <v>18</v>
      </c>
      <c r="AU3" s="604">
        <f t="shared" ref="AU3:AZ3" si="2">AT3+1</f>
        <v>19</v>
      </c>
      <c r="AV3" s="604">
        <f t="shared" si="2"/>
        <v>20</v>
      </c>
      <c r="AW3" s="604">
        <f t="shared" si="2"/>
        <v>21</v>
      </c>
      <c r="AX3" s="604">
        <f t="shared" si="2"/>
        <v>22</v>
      </c>
      <c r="AY3" s="604">
        <f t="shared" si="2"/>
        <v>23</v>
      </c>
      <c r="AZ3" s="604">
        <f t="shared" si="2"/>
        <v>24</v>
      </c>
      <c r="BC3" s="604">
        <v>1</v>
      </c>
      <c r="BD3" s="604">
        <f>BC3+1</f>
        <v>2</v>
      </c>
      <c r="BE3" s="604">
        <f t="shared" ref="BE3:BT3" si="3">BD3+1</f>
        <v>3</v>
      </c>
      <c r="BF3" s="604">
        <f t="shared" si="3"/>
        <v>4</v>
      </c>
      <c r="BG3" s="604">
        <f t="shared" si="3"/>
        <v>5</v>
      </c>
      <c r="BH3" s="604">
        <f t="shared" si="3"/>
        <v>6</v>
      </c>
      <c r="BI3" s="604">
        <f t="shared" si="3"/>
        <v>7</v>
      </c>
      <c r="BJ3" s="604">
        <f t="shared" si="3"/>
        <v>8</v>
      </c>
      <c r="BK3" s="604">
        <f t="shared" si="3"/>
        <v>9</v>
      </c>
      <c r="BL3" s="604">
        <f t="shared" si="3"/>
        <v>10</v>
      </c>
      <c r="BM3" s="604">
        <f t="shared" si="3"/>
        <v>11</v>
      </c>
      <c r="BN3" s="604">
        <f t="shared" si="3"/>
        <v>12</v>
      </c>
      <c r="BO3" s="604">
        <f t="shared" si="3"/>
        <v>13</v>
      </c>
      <c r="BP3" s="604">
        <f t="shared" si="3"/>
        <v>14</v>
      </c>
      <c r="BQ3" s="604">
        <f t="shared" si="3"/>
        <v>15</v>
      </c>
      <c r="BR3" s="604">
        <f t="shared" si="3"/>
        <v>16</v>
      </c>
      <c r="BS3" s="604">
        <f t="shared" si="3"/>
        <v>17</v>
      </c>
      <c r="BT3" s="604">
        <f t="shared" si="3"/>
        <v>18</v>
      </c>
      <c r="BU3" s="604">
        <f t="shared" ref="BU3:BZ3" si="4">BT3+1</f>
        <v>19</v>
      </c>
      <c r="BV3" s="604">
        <f t="shared" si="4"/>
        <v>20</v>
      </c>
      <c r="BW3" s="604">
        <f t="shared" si="4"/>
        <v>21</v>
      </c>
      <c r="BX3" s="604">
        <f t="shared" si="4"/>
        <v>22</v>
      </c>
      <c r="BY3" s="604">
        <f t="shared" si="4"/>
        <v>23</v>
      </c>
      <c r="BZ3" s="604">
        <f t="shared" si="4"/>
        <v>24</v>
      </c>
      <c r="CC3" s="604">
        <v>1</v>
      </c>
      <c r="CD3" s="604">
        <f t="shared" ref="CD3:CZ3" si="5">CC3+1</f>
        <v>2</v>
      </c>
      <c r="CE3" s="604">
        <f t="shared" si="5"/>
        <v>3</v>
      </c>
      <c r="CF3" s="604">
        <f t="shared" si="5"/>
        <v>4</v>
      </c>
      <c r="CG3" s="604">
        <f t="shared" si="5"/>
        <v>5</v>
      </c>
      <c r="CH3" s="604">
        <f t="shared" si="5"/>
        <v>6</v>
      </c>
      <c r="CI3" s="604">
        <f t="shared" si="5"/>
        <v>7</v>
      </c>
      <c r="CJ3" s="604">
        <f t="shared" si="5"/>
        <v>8</v>
      </c>
      <c r="CK3" s="604">
        <f t="shared" si="5"/>
        <v>9</v>
      </c>
      <c r="CL3" s="604">
        <f t="shared" si="5"/>
        <v>10</v>
      </c>
      <c r="CM3" s="604">
        <f t="shared" si="5"/>
        <v>11</v>
      </c>
      <c r="CN3" s="604">
        <f t="shared" si="5"/>
        <v>12</v>
      </c>
      <c r="CO3" s="604">
        <f t="shared" si="5"/>
        <v>13</v>
      </c>
      <c r="CP3" s="604">
        <f t="shared" si="5"/>
        <v>14</v>
      </c>
      <c r="CQ3" s="604">
        <f t="shared" si="5"/>
        <v>15</v>
      </c>
      <c r="CR3" s="604">
        <f t="shared" si="5"/>
        <v>16</v>
      </c>
      <c r="CS3" s="604">
        <f t="shared" si="5"/>
        <v>17</v>
      </c>
      <c r="CT3" s="604">
        <f t="shared" si="5"/>
        <v>18</v>
      </c>
      <c r="CU3" s="604">
        <f t="shared" si="5"/>
        <v>19</v>
      </c>
      <c r="CV3" s="604">
        <f t="shared" si="5"/>
        <v>20</v>
      </c>
      <c r="CW3" s="604">
        <f t="shared" si="5"/>
        <v>21</v>
      </c>
      <c r="CX3" s="604">
        <f t="shared" si="5"/>
        <v>22</v>
      </c>
      <c r="CY3" s="604">
        <f t="shared" si="5"/>
        <v>23</v>
      </c>
      <c r="CZ3" s="604">
        <f t="shared" si="5"/>
        <v>24</v>
      </c>
    </row>
    <row r="4" spans="1:104">
      <c r="A4" s="601">
        <v>1</v>
      </c>
      <c r="B4" s="602">
        <f>'Input Data'!A4</f>
        <v>41821</v>
      </c>
      <c r="C4" s="626">
        <v>78.8</v>
      </c>
      <c r="D4" s="626">
        <v>77</v>
      </c>
      <c r="E4" s="626">
        <v>77</v>
      </c>
      <c r="F4" s="626">
        <v>75.900000000000006</v>
      </c>
      <c r="G4" s="626">
        <v>75.900000000000006</v>
      </c>
      <c r="H4" s="626">
        <v>75</v>
      </c>
      <c r="I4" s="626">
        <v>75.900000000000006</v>
      </c>
      <c r="J4" s="626">
        <v>77</v>
      </c>
      <c r="K4" s="626">
        <v>80.099999999999994</v>
      </c>
      <c r="L4" s="626">
        <v>80.7</v>
      </c>
      <c r="M4" s="626">
        <v>81</v>
      </c>
      <c r="N4" s="626">
        <v>81</v>
      </c>
      <c r="O4" s="626">
        <v>83.275000000000006</v>
      </c>
      <c r="P4" s="626">
        <v>86</v>
      </c>
      <c r="Q4" s="626">
        <v>87.55</v>
      </c>
      <c r="R4" s="626">
        <v>89.1</v>
      </c>
      <c r="S4" s="626">
        <v>90</v>
      </c>
      <c r="T4" s="626">
        <v>89.1</v>
      </c>
      <c r="U4" s="626">
        <v>89.1</v>
      </c>
      <c r="V4" s="626">
        <v>86</v>
      </c>
      <c r="W4" s="626">
        <v>84.9</v>
      </c>
      <c r="X4" s="626">
        <v>82.266666666666666</v>
      </c>
      <c r="Y4" s="626">
        <v>70.224999999999994</v>
      </c>
      <c r="Z4" s="626">
        <v>71.099999999999994</v>
      </c>
      <c r="AA4" s="603"/>
      <c r="AB4" s="602">
        <f>B4</f>
        <v>41821</v>
      </c>
      <c r="AC4" s="606">
        <v>80.599999999999994</v>
      </c>
      <c r="AD4" s="606">
        <v>82</v>
      </c>
      <c r="AE4" s="606">
        <v>81</v>
      </c>
      <c r="AF4" s="606">
        <v>81</v>
      </c>
      <c r="AG4" s="606">
        <v>80.8</v>
      </c>
      <c r="AH4" s="606">
        <v>80.099999999999994</v>
      </c>
      <c r="AI4" s="606">
        <v>79</v>
      </c>
      <c r="AJ4" s="606">
        <v>79</v>
      </c>
      <c r="AK4" s="606">
        <v>80.099999999999994</v>
      </c>
      <c r="AL4" s="606">
        <v>80.099999999999994</v>
      </c>
      <c r="AM4" s="606">
        <v>82.9</v>
      </c>
      <c r="AN4" s="606">
        <v>84.5</v>
      </c>
      <c r="AO4" s="606">
        <v>88</v>
      </c>
      <c r="AP4" s="606">
        <v>90</v>
      </c>
      <c r="AQ4" s="606">
        <v>89.1</v>
      </c>
      <c r="AR4" s="606">
        <v>91.9</v>
      </c>
      <c r="AS4" s="606">
        <v>90</v>
      </c>
      <c r="AT4" s="606">
        <v>90</v>
      </c>
      <c r="AU4" s="606">
        <v>91</v>
      </c>
      <c r="AV4" s="606">
        <v>89.1</v>
      </c>
      <c r="AW4" s="606">
        <v>76.36666666666666</v>
      </c>
      <c r="AX4" s="606">
        <v>72</v>
      </c>
      <c r="AY4" s="606">
        <v>71.099999999999994</v>
      </c>
      <c r="AZ4" s="606">
        <v>71.099999999999994</v>
      </c>
      <c r="BB4" s="602">
        <f>AB4</f>
        <v>41821</v>
      </c>
      <c r="BC4" s="606">
        <v>2529</v>
      </c>
      <c r="BD4" s="606">
        <v>2377</v>
      </c>
      <c r="BE4" s="606">
        <v>2318</v>
      </c>
      <c r="BF4" s="606">
        <v>2306</v>
      </c>
      <c r="BG4" s="606">
        <v>2354</v>
      </c>
      <c r="BH4" s="606">
        <v>2482</v>
      </c>
      <c r="BI4" s="606">
        <v>2621</v>
      </c>
      <c r="BJ4" s="606">
        <v>2853</v>
      </c>
      <c r="BK4" s="606">
        <v>3053</v>
      </c>
      <c r="BL4" s="606">
        <v>3167</v>
      </c>
      <c r="BM4" s="606">
        <v>3371</v>
      </c>
      <c r="BN4" s="606">
        <v>3452</v>
      </c>
      <c r="BO4" s="606">
        <v>3611</v>
      </c>
      <c r="BP4" s="606">
        <v>3637</v>
      </c>
      <c r="BQ4" s="606">
        <v>3692</v>
      </c>
      <c r="BR4" s="606">
        <v>3737</v>
      </c>
      <c r="BS4" s="606">
        <v>3763</v>
      </c>
      <c r="BT4" s="606">
        <v>3706</v>
      </c>
      <c r="BU4" s="606">
        <v>3561</v>
      </c>
      <c r="BV4" s="606">
        <v>3465</v>
      </c>
      <c r="BW4" s="606">
        <v>3361</v>
      </c>
      <c r="BX4" s="606">
        <v>3083</v>
      </c>
      <c r="BY4" s="606">
        <v>2805</v>
      </c>
      <c r="BZ4" s="606">
        <v>2555</v>
      </c>
      <c r="CA4" s="603"/>
      <c r="CB4" s="602">
        <f>BB4</f>
        <v>41821</v>
      </c>
      <c r="CC4" s="606">
        <v>1694.2779541015625</v>
      </c>
      <c r="CD4" s="606">
        <v>1617.7779541015625</v>
      </c>
      <c r="CE4" s="606">
        <v>1564.47802734375</v>
      </c>
      <c r="CF4" s="606">
        <v>1541.6778564453125</v>
      </c>
      <c r="CG4" s="606">
        <v>1570.2769775390625</v>
      </c>
      <c r="CH4" s="606">
        <v>1641.376953125</v>
      </c>
      <c r="CI4" s="606">
        <v>1704.675048828125</v>
      </c>
      <c r="CJ4" s="606">
        <v>1826.5770263671875</v>
      </c>
      <c r="CK4" s="606">
        <v>1884.677978515625</v>
      </c>
      <c r="CL4" s="606">
        <v>1955.3790283203125</v>
      </c>
      <c r="CM4" s="606">
        <v>2094.280029296875</v>
      </c>
      <c r="CN4" s="606">
        <v>2240.47900390625</v>
      </c>
      <c r="CO4" s="606">
        <v>2354.980224609375</v>
      </c>
      <c r="CP4" s="606">
        <v>2380.0810546875</v>
      </c>
      <c r="CQ4" s="606">
        <v>2407.97900390625</v>
      </c>
      <c r="CR4" s="606">
        <v>2401.47998046875</v>
      </c>
      <c r="CS4" s="606">
        <v>2387.580078125</v>
      </c>
      <c r="CT4" s="606">
        <v>2401.3798828125</v>
      </c>
      <c r="CU4" s="606">
        <v>2350.080078125</v>
      </c>
      <c r="CV4" s="606">
        <v>2190.8779296875</v>
      </c>
      <c r="CW4" s="606">
        <v>2009.677001953125</v>
      </c>
      <c r="CX4" s="606">
        <v>1859.075927734375</v>
      </c>
      <c r="CY4" s="606">
        <v>1695.5731201171875</v>
      </c>
      <c r="CZ4" s="606">
        <v>1568.4739990234375</v>
      </c>
    </row>
    <row r="5" spans="1:104">
      <c r="A5" s="601">
        <v>2</v>
      </c>
      <c r="B5" s="602">
        <f>'Input Data'!A5</f>
        <v>41822</v>
      </c>
      <c r="C5" s="626">
        <v>70</v>
      </c>
      <c r="D5" s="626">
        <v>70</v>
      </c>
      <c r="E5" s="626">
        <v>70</v>
      </c>
      <c r="F5" s="626">
        <v>69.55</v>
      </c>
      <c r="G5" s="626">
        <v>69.099999999999994</v>
      </c>
      <c r="H5" s="626">
        <v>69.099999999999994</v>
      </c>
      <c r="I5" s="626">
        <v>69.275000000000006</v>
      </c>
      <c r="J5" s="626">
        <v>70</v>
      </c>
      <c r="K5" s="626">
        <v>71.099999999999994</v>
      </c>
      <c r="L5" s="626">
        <v>73</v>
      </c>
      <c r="M5" s="626">
        <v>74.933333333333337</v>
      </c>
      <c r="N5" s="626">
        <v>78.099999999999994</v>
      </c>
      <c r="O5" s="626">
        <v>80.174999999999997</v>
      </c>
      <c r="P5" s="626">
        <v>81</v>
      </c>
      <c r="Q5" s="626">
        <v>84</v>
      </c>
      <c r="R5" s="626">
        <v>84.9</v>
      </c>
      <c r="S5" s="626">
        <v>84.2</v>
      </c>
      <c r="T5" s="626">
        <v>84</v>
      </c>
      <c r="U5" s="626">
        <v>84</v>
      </c>
      <c r="V5" s="626">
        <v>77</v>
      </c>
      <c r="W5" s="626">
        <v>73.900000000000006</v>
      </c>
      <c r="X5" s="626">
        <v>73</v>
      </c>
      <c r="Y5" s="626">
        <v>71.099999999999994</v>
      </c>
      <c r="Z5" s="626">
        <v>72</v>
      </c>
      <c r="AA5" s="603"/>
      <c r="AB5" s="602">
        <f t="shared" ref="AB5:AB34" si="6">B5</f>
        <v>41822</v>
      </c>
      <c r="AC5" s="606">
        <v>71.099999999999994</v>
      </c>
      <c r="AD5" s="606">
        <v>70</v>
      </c>
      <c r="AE5" s="606">
        <v>70</v>
      </c>
      <c r="AF5" s="606">
        <v>70</v>
      </c>
      <c r="AG5" s="606">
        <v>69.099999999999994</v>
      </c>
      <c r="AH5" s="606">
        <v>69.099999999999994</v>
      </c>
      <c r="AI5" s="606">
        <v>69.099999999999994</v>
      </c>
      <c r="AJ5" s="606">
        <v>69.099999999999994</v>
      </c>
      <c r="AK5" s="606">
        <v>70.55</v>
      </c>
      <c r="AL5" s="606">
        <v>72.5</v>
      </c>
      <c r="AM5" s="606">
        <v>75.900000000000006</v>
      </c>
      <c r="AN5" s="606">
        <v>77.55</v>
      </c>
      <c r="AO5" s="606">
        <v>81</v>
      </c>
      <c r="AP5" s="606">
        <v>82.9</v>
      </c>
      <c r="AQ5" s="606">
        <v>84.9</v>
      </c>
      <c r="AR5" s="606">
        <v>84.9</v>
      </c>
      <c r="AS5" s="606">
        <v>82.65</v>
      </c>
      <c r="AT5" s="606">
        <v>72.039999999999992</v>
      </c>
      <c r="AU5" s="606">
        <v>78.099999999999994</v>
      </c>
      <c r="AV5" s="606">
        <v>79</v>
      </c>
      <c r="AW5" s="606">
        <v>78.099999999999994</v>
      </c>
      <c r="AX5" s="606">
        <v>75.900000000000006</v>
      </c>
      <c r="AY5" s="606">
        <v>75</v>
      </c>
      <c r="AZ5" s="606">
        <v>73</v>
      </c>
      <c r="BB5" s="602">
        <f t="shared" ref="BB5:BB34" si="7">AB5</f>
        <v>41822</v>
      </c>
      <c r="BC5" s="606">
        <v>2373</v>
      </c>
      <c r="BD5" s="606">
        <v>2283</v>
      </c>
      <c r="BE5" s="606">
        <v>2195</v>
      </c>
      <c r="BF5" s="606">
        <v>2122</v>
      </c>
      <c r="BG5" s="606">
        <v>2174</v>
      </c>
      <c r="BH5" s="606">
        <v>2312</v>
      </c>
      <c r="BI5" s="606">
        <v>2422</v>
      </c>
      <c r="BJ5" s="606">
        <v>2623</v>
      </c>
      <c r="BK5" s="606">
        <v>2760</v>
      </c>
      <c r="BL5" s="606">
        <v>2879</v>
      </c>
      <c r="BM5" s="606">
        <v>3054</v>
      </c>
      <c r="BN5" s="606">
        <v>3187</v>
      </c>
      <c r="BO5" s="606">
        <v>3315</v>
      </c>
      <c r="BP5" s="606">
        <v>3427</v>
      </c>
      <c r="BQ5" s="606">
        <v>3515</v>
      </c>
      <c r="BR5" s="606">
        <v>3501</v>
      </c>
      <c r="BS5" s="606">
        <v>3483</v>
      </c>
      <c r="BT5" s="606">
        <v>3418</v>
      </c>
      <c r="BU5" s="606">
        <v>3200</v>
      </c>
      <c r="BV5" s="606">
        <v>3083</v>
      </c>
      <c r="BW5" s="606">
        <v>3014</v>
      </c>
      <c r="BX5" s="606">
        <v>2868</v>
      </c>
      <c r="BY5" s="606">
        <v>2615</v>
      </c>
      <c r="BZ5" s="606">
        <v>2380</v>
      </c>
      <c r="CA5" s="603"/>
      <c r="CB5" s="602">
        <f t="shared" ref="CB5:CB34" si="8">BB5</f>
        <v>41822</v>
      </c>
      <c r="CC5" s="606">
        <v>1475.77294921875</v>
      </c>
      <c r="CD5" s="606">
        <v>1392.573974609375</v>
      </c>
      <c r="CE5" s="606">
        <v>1337.673095703125</v>
      </c>
      <c r="CF5" s="606">
        <v>1316.2740478515625</v>
      </c>
      <c r="CG5" s="606">
        <v>1336.373046875</v>
      </c>
      <c r="CH5" s="606">
        <v>1398.211181640625</v>
      </c>
      <c r="CI5" s="606">
        <v>1465.0738525390625</v>
      </c>
      <c r="CJ5" s="606">
        <v>1530.8741455078125</v>
      </c>
      <c r="CK5" s="606">
        <v>1606.473876953125</v>
      </c>
      <c r="CL5" s="606">
        <v>1702.77490234375</v>
      </c>
      <c r="CM5" s="606">
        <v>1821.178955078125</v>
      </c>
      <c r="CN5" s="606">
        <v>1936.679931640625</v>
      </c>
      <c r="CO5" s="606">
        <v>2054.880126953125</v>
      </c>
      <c r="CP5" s="606">
        <v>2104.080078125</v>
      </c>
      <c r="CQ5" s="606">
        <v>2155.080078125</v>
      </c>
      <c r="CR5" s="606">
        <v>2100.68017578125</v>
      </c>
      <c r="CS5" s="606">
        <v>1939.9788818359375</v>
      </c>
      <c r="CT5" s="606">
        <v>1913.8790283203125</v>
      </c>
      <c r="CU5" s="606">
        <v>1892.0799560546875</v>
      </c>
      <c r="CV5" s="606">
        <v>1858.078125</v>
      </c>
      <c r="CW5" s="606">
        <v>1811.2769775390625</v>
      </c>
      <c r="CX5" s="606">
        <v>1732.6729736328125</v>
      </c>
      <c r="CY5" s="606">
        <v>1595.873046875</v>
      </c>
      <c r="CZ5" s="606">
        <v>1469.1728515625</v>
      </c>
    </row>
    <row r="6" spans="1:104">
      <c r="A6" s="601">
        <v>3</v>
      </c>
      <c r="B6" s="602">
        <f>'Input Data'!A6</f>
        <v>41823</v>
      </c>
      <c r="C6" s="626">
        <v>72.5</v>
      </c>
      <c r="D6" s="626">
        <v>71.099999999999994</v>
      </c>
      <c r="E6" s="626">
        <v>69.099999999999994</v>
      </c>
      <c r="F6" s="626">
        <v>68</v>
      </c>
      <c r="G6" s="626">
        <v>66</v>
      </c>
      <c r="H6" s="626">
        <v>66</v>
      </c>
      <c r="I6" s="626">
        <v>64</v>
      </c>
      <c r="J6" s="626">
        <v>66</v>
      </c>
      <c r="K6" s="626">
        <v>68</v>
      </c>
      <c r="L6" s="626">
        <v>70</v>
      </c>
      <c r="M6" s="626">
        <v>71.099999999999994</v>
      </c>
      <c r="N6" s="626">
        <v>73</v>
      </c>
      <c r="O6" s="626">
        <v>73</v>
      </c>
      <c r="P6" s="626">
        <v>73.900000000000006</v>
      </c>
      <c r="Q6" s="626">
        <v>75</v>
      </c>
      <c r="R6" s="626">
        <v>73</v>
      </c>
      <c r="S6" s="626">
        <v>73.900000000000006</v>
      </c>
      <c r="T6" s="626">
        <v>75</v>
      </c>
      <c r="U6" s="626">
        <v>72</v>
      </c>
      <c r="V6" s="626">
        <v>71.099999999999994</v>
      </c>
      <c r="W6" s="626">
        <v>68</v>
      </c>
      <c r="X6" s="626">
        <v>66.900000000000006</v>
      </c>
      <c r="Y6" s="626">
        <v>64</v>
      </c>
      <c r="Z6" s="626">
        <v>63</v>
      </c>
      <c r="AA6" s="603"/>
      <c r="AB6" s="602">
        <f t="shared" si="6"/>
        <v>41823</v>
      </c>
      <c r="AC6" s="606">
        <v>71.099999999999994</v>
      </c>
      <c r="AD6" s="606">
        <v>70</v>
      </c>
      <c r="AE6" s="606">
        <v>68</v>
      </c>
      <c r="AF6" s="606">
        <v>66.900000000000006</v>
      </c>
      <c r="AG6" s="606">
        <v>64</v>
      </c>
      <c r="AH6" s="606">
        <v>63</v>
      </c>
      <c r="AI6" s="606">
        <v>63</v>
      </c>
      <c r="AJ6" s="606">
        <v>64</v>
      </c>
      <c r="AK6" s="606">
        <v>66</v>
      </c>
      <c r="AL6" s="606" t="e">
        <v>#N/A</v>
      </c>
      <c r="AM6" s="606">
        <v>70</v>
      </c>
      <c r="AN6" s="606">
        <v>70</v>
      </c>
      <c r="AO6" s="606">
        <v>72</v>
      </c>
      <c r="AP6" s="606">
        <v>73</v>
      </c>
      <c r="AQ6" s="606">
        <v>73.400000000000006</v>
      </c>
      <c r="AR6" s="606">
        <v>73.900000000000006</v>
      </c>
      <c r="AS6" s="606">
        <v>73.900000000000006</v>
      </c>
      <c r="AT6" s="606">
        <v>75</v>
      </c>
      <c r="AU6" s="606">
        <v>73.900000000000006</v>
      </c>
      <c r="AV6" s="606">
        <v>73</v>
      </c>
      <c r="AW6" s="606">
        <v>72</v>
      </c>
      <c r="AX6" s="606">
        <v>70</v>
      </c>
      <c r="AY6" s="606">
        <v>69.099999999999994</v>
      </c>
      <c r="AZ6" s="606">
        <v>68</v>
      </c>
      <c r="BB6" s="602">
        <f t="shared" si="7"/>
        <v>41823</v>
      </c>
      <c r="BC6" s="606">
        <v>2258</v>
      </c>
      <c r="BD6" s="606">
        <v>2145</v>
      </c>
      <c r="BE6" s="606">
        <v>2028</v>
      </c>
      <c r="BF6" s="606">
        <v>2024</v>
      </c>
      <c r="BG6" s="606">
        <v>2013</v>
      </c>
      <c r="BH6" s="606">
        <v>2135</v>
      </c>
      <c r="BI6" s="606">
        <v>2255</v>
      </c>
      <c r="BJ6" s="606">
        <v>2401</v>
      </c>
      <c r="BK6" s="606">
        <v>2495</v>
      </c>
      <c r="BL6" s="606">
        <v>2633</v>
      </c>
      <c r="BM6" s="606">
        <v>2644</v>
      </c>
      <c r="BN6" s="606">
        <v>2725</v>
      </c>
      <c r="BO6" s="606">
        <v>2763</v>
      </c>
      <c r="BP6" s="606">
        <v>2826</v>
      </c>
      <c r="BQ6" s="606">
        <v>2833</v>
      </c>
      <c r="BR6" s="606">
        <v>2861</v>
      </c>
      <c r="BS6" s="606">
        <v>2736</v>
      </c>
      <c r="BT6" s="606">
        <v>2713</v>
      </c>
      <c r="BU6" s="606">
        <v>2544</v>
      </c>
      <c r="BV6" s="606">
        <v>2411</v>
      </c>
      <c r="BW6" s="606">
        <v>2416</v>
      </c>
      <c r="BX6" s="606">
        <v>2322</v>
      </c>
      <c r="BY6" s="606">
        <v>2166</v>
      </c>
      <c r="BZ6" s="606">
        <v>1960</v>
      </c>
      <c r="CA6" s="603"/>
      <c r="CB6" s="602">
        <f t="shared" si="8"/>
        <v>41823</v>
      </c>
      <c r="CC6" s="606">
        <v>1375.4613037109375</v>
      </c>
      <c r="CD6" s="606">
        <v>1295.072021484375</v>
      </c>
      <c r="CE6" s="606">
        <v>1240.171875</v>
      </c>
      <c r="CF6" s="606">
        <v>1208.2718505859375</v>
      </c>
      <c r="CG6" s="606">
        <v>1220.469970703125</v>
      </c>
      <c r="CH6" s="606">
        <v>1263.6700439453125</v>
      </c>
      <c r="CI6" s="606">
        <v>1329.7740478515625</v>
      </c>
      <c r="CJ6" s="606">
        <v>1407.573974609375</v>
      </c>
      <c r="CK6" s="606">
        <v>1485.473876953125</v>
      </c>
      <c r="CL6" s="606">
        <v>1531.3741455078125</v>
      </c>
      <c r="CM6" s="606">
        <v>1577.8751220703125</v>
      </c>
      <c r="CN6" s="606">
        <v>1627.8748779296875</v>
      </c>
      <c r="CO6" s="606">
        <v>1662.47900390625</v>
      </c>
      <c r="CP6" s="606">
        <v>1643.97705078125</v>
      </c>
      <c r="CQ6" s="606">
        <v>1633.5770263671875</v>
      </c>
      <c r="CR6" s="606">
        <v>1615.8760986328125</v>
      </c>
      <c r="CS6" s="606">
        <v>1624.77685546875</v>
      </c>
      <c r="CT6" s="606">
        <v>1599.676025390625</v>
      </c>
      <c r="CU6" s="606">
        <v>1542.574951171875</v>
      </c>
      <c r="CV6" s="606">
        <v>1493.275146484375</v>
      </c>
      <c r="CW6" s="606">
        <v>1464.5731201171875</v>
      </c>
      <c r="CX6" s="606">
        <v>1424.5721435546875</v>
      </c>
      <c r="CY6" s="606">
        <v>1328.3719482421875</v>
      </c>
      <c r="CZ6" s="606">
        <v>1244.4720458984375</v>
      </c>
    </row>
    <row r="7" spans="1:104">
      <c r="A7" s="601">
        <v>4</v>
      </c>
      <c r="B7" s="602">
        <f>'Input Data'!A7</f>
        <v>41824</v>
      </c>
      <c r="C7" s="626">
        <v>62.1</v>
      </c>
      <c r="D7" s="626">
        <v>60.1</v>
      </c>
      <c r="E7" s="626">
        <v>60.1</v>
      </c>
      <c r="F7" s="626">
        <v>59</v>
      </c>
      <c r="G7" s="626">
        <v>57.9</v>
      </c>
      <c r="H7" s="626">
        <v>55</v>
      </c>
      <c r="I7" s="626">
        <v>57</v>
      </c>
      <c r="J7" s="626">
        <v>60.1</v>
      </c>
      <c r="K7" s="626">
        <v>64.900000000000006</v>
      </c>
      <c r="L7" s="626">
        <v>69.099999999999994</v>
      </c>
      <c r="M7" s="626">
        <v>72</v>
      </c>
      <c r="N7" s="626">
        <v>73</v>
      </c>
      <c r="O7" s="626">
        <v>75</v>
      </c>
      <c r="P7" s="626">
        <v>77</v>
      </c>
      <c r="Q7" s="626">
        <v>77</v>
      </c>
      <c r="R7" s="626">
        <v>78.099999999999994</v>
      </c>
      <c r="S7" s="626">
        <v>79</v>
      </c>
      <c r="T7" s="626">
        <v>79</v>
      </c>
      <c r="U7" s="626">
        <v>78.099999999999994</v>
      </c>
      <c r="V7" s="626">
        <v>75.900000000000006</v>
      </c>
      <c r="W7" s="626">
        <v>71.099999999999994</v>
      </c>
      <c r="X7" s="626">
        <v>68</v>
      </c>
      <c r="Y7" s="626">
        <v>66</v>
      </c>
      <c r="Z7" s="626">
        <v>63</v>
      </c>
      <c r="AA7" s="603"/>
      <c r="AB7" s="602">
        <f t="shared" si="6"/>
        <v>41824</v>
      </c>
      <c r="AC7" s="606">
        <v>64.900000000000006</v>
      </c>
      <c r="AD7" s="606">
        <v>64</v>
      </c>
      <c r="AE7" s="606">
        <v>61</v>
      </c>
      <c r="AF7" s="606">
        <v>60.1</v>
      </c>
      <c r="AG7" s="606">
        <v>57</v>
      </c>
      <c r="AH7" s="606">
        <v>57</v>
      </c>
      <c r="AI7" s="606">
        <v>59</v>
      </c>
      <c r="AJ7" s="606">
        <v>63</v>
      </c>
      <c r="AK7" s="606">
        <v>66.900000000000006</v>
      </c>
      <c r="AL7" s="606">
        <v>70</v>
      </c>
      <c r="AM7" s="606">
        <v>72</v>
      </c>
      <c r="AN7" s="606">
        <v>73</v>
      </c>
      <c r="AO7" s="606">
        <v>75</v>
      </c>
      <c r="AP7" s="606">
        <v>78.099999999999994</v>
      </c>
      <c r="AQ7" s="606">
        <v>78.099999999999994</v>
      </c>
      <c r="AR7" s="606">
        <v>79</v>
      </c>
      <c r="AS7" s="606">
        <v>80.099999999999994</v>
      </c>
      <c r="AT7" s="606">
        <v>80.099999999999994</v>
      </c>
      <c r="AU7" s="606">
        <v>80.099999999999994</v>
      </c>
      <c r="AV7" s="606">
        <v>79</v>
      </c>
      <c r="AW7" s="606">
        <v>75.900000000000006</v>
      </c>
      <c r="AX7" s="606">
        <v>73</v>
      </c>
      <c r="AY7" s="606">
        <v>71.099999999999994</v>
      </c>
      <c r="AZ7" s="606">
        <v>69.099999999999994</v>
      </c>
      <c r="BB7" s="602">
        <f t="shared" si="7"/>
        <v>41824</v>
      </c>
      <c r="BC7" s="606">
        <v>1837</v>
      </c>
      <c r="BD7" s="606">
        <v>1723</v>
      </c>
      <c r="BE7" s="606">
        <v>1665</v>
      </c>
      <c r="BF7" s="606">
        <v>1642</v>
      </c>
      <c r="BG7" s="606">
        <v>1654</v>
      </c>
      <c r="BH7" s="606">
        <v>1635</v>
      </c>
      <c r="BI7" s="606">
        <v>1584</v>
      </c>
      <c r="BJ7" s="606">
        <v>1706</v>
      </c>
      <c r="BK7" s="606">
        <v>1866</v>
      </c>
      <c r="BL7" s="606">
        <v>2013</v>
      </c>
      <c r="BM7" s="606">
        <v>2053</v>
      </c>
      <c r="BN7" s="606">
        <v>2192</v>
      </c>
      <c r="BO7" s="606">
        <v>2220</v>
      </c>
      <c r="BP7" s="606">
        <v>2318</v>
      </c>
      <c r="BQ7" s="606">
        <v>2341</v>
      </c>
      <c r="BR7" s="606">
        <v>2438</v>
      </c>
      <c r="BS7" s="606">
        <v>2450</v>
      </c>
      <c r="BT7" s="606">
        <v>2421</v>
      </c>
      <c r="BU7" s="606">
        <v>2367</v>
      </c>
      <c r="BV7" s="606">
        <v>2209</v>
      </c>
      <c r="BW7" s="606">
        <v>2126</v>
      </c>
      <c r="BX7" s="606">
        <v>1978</v>
      </c>
      <c r="BY7" s="606">
        <v>1897</v>
      </c>
      <c r="BZ7" s="606">
        <v>1757</v>
      </c>
      <c r="CA7" s="603"/>
      <c r="CB7" s="602">
        <f t="shared" si="8"/>
        <v>41824</v>
      </c>
      <c r="CC7" s="606">
        <v>1169.3690185546875</v>
      </c>
      <c r="CD7" s="606">
        <v>1118.1710205078125</v>
      </c>
      <c r="CE7" s="606">
        <v>1075.66796875</v>
      </c>
      <c r="CF7" s="606">
        <v>1042.366943359375</v>
      </c>
      <c r="CG7" s="606">
        <v>1041.5670166015625</v>
      </c>
      <c r="CH7" s="606">
        <v>1019.7509765625</v>
      </c>
      <c r="CI7" s="606">
        <v>1028.9639892578125</v>
      </c>
      <c r="CJ7" s="606">
        <v>1093.471923828125</v>
      </c>
      <c r="CK7" s="606">
        <v>1178.27392578125</v>
      </c>
      <c r="CL7" s="606">
        <v>1251.3729248046875</v>
      </c>
      <c r="CM7" s="606">
        <v>1316.3741455078125</v>
      </c>
      <c r="CN7" s="606">
        <v>1372.3740234375</v>
      </c>
      <c r="CO7" s="606">
        <v>1424.5740966796875</v>
      </c>
      <c r="CP7" s="606">
        <v>1448.6739501953125</v>
      </c>
      <c r="CQ7" s="606">
        <v>1519.2750244140625</v>
      </c>
      <c r="CR7" s="606">
        <v>1579.0770263671875</v>
      </c>
      <c r="CS7" s="606">
        <v>1612.47705078125</v>
      </c>
      <c r="CT7" s="606">
        <v>1606.177001953125</v>
      </c>
      <c r="CU7" s="606">
        <v>1557.3759765625</v>
      </c>
      <c r="CV7" s="606">
        <v>1476.4749755859375</v>
      </c>
      <c r="CW7" s="606">
        <v>1412.873046875</v>
      </c>
      <c r="CX7" s="606">
        <v>1361.9730224609375</v>
      </c>
      <c r="CY7" s="606">
        <v>1296.9730224609375</v>
      </c>
      <c r="CZ7" s="606">
        <v>1217.77197265625</v>
      </c>
    </row>
    <row r="8" spans="1:104">
      <c r="A8" s="601">
        <v>5</v>
      </c>
      <c r="B8" s="602">
        <f>'Input Data'!A8</f>
        <v>41825</v>
      </c>
      <c r="C8" s="626">
        <v>61</v>
      </c>
      <c r="D8" s="626">
        <v>61</v>
      </c>
      <c r="E8" s="626">
        <v>63</v>
      </c>
      <c r="F8" s="626">
        <v>62.1</v>
      </c>
      <c r="G8" s="626">
        <v>62.1</v>
      </c>
      <c r="H8" s="626">
        <v>63</v>
      </c>
      <c r="I8" s="626">
        <v>62.1</v>
      </c>
      <c r="J8" s="626">
        <v>66</v>
      </c>
      <c r="K8" s="626">
        <v>70</v>
      </c>
      <c r="L8" s="626">
        <v>73</v>
      </c>
      <c r="M8" s="626">
        <v>75</v>
      </c>
      <c r="N8" s="626">
        <v>77</v>
      </c>
      <c r="O8" s="626">
        <v>78.099999999999994</v>
      </c>
      <c r="P8" s="626">
        <v>79</v>
      </c>
      <c r="Q8" s="626">
        <v>81</v>
      </c>
      <c r="R8" s="626">
        <v>82.4</v>
      </c>
      <c r="S8" s="626">
        <v>81</v>
      </c>
      <c r="T8" s="626">
        <v>82</v>
      </c>
      <c r="U8" s="626">
        <v>81</v>
      </c>
      <c r="V8" s="626">
        <v>79</v>
      </c>
      <c r="W8" s="626">
        <v>73.900000000000006</v>
      </c>
      <c r="X8" s="626">
        <v>71.099999999999994</v>
      </c>
      <c r="Y8" s="626">
        <v>64.900000000000006</v>
      </c>
      <c r="Z8" s="626">
        <v>64</v>
      </c>
      <c r="AA8" s="603"/>
      <c r="AB8" s="602">
        <f t="shared" si="6"/>
        <v>41825</v>
      </c>
      <c r="AC8" s="606">
        <v>66.900000000000006</v>
      </c>
      <c r="AD8" s="606">
        <v>66</v>
      </c>
      <c r="AE8" s="606">
        <v>64</v>
      </c>
      <c r="AF8" s="606">
        <v>64</v>
      </c>
      <c r="AG8" s="606">
        <v>62.1</v>
      </c>
      <c r="AH8" s="606">
        <v>57.9</v>
      </c>
      <c r="AI8" s="606">
        <v>59</v>
      </c>
      <c r="AJ8" s="606">
        <v>64</v>
      </c>
      <c r="AK8" s="606">
        <v>70</v>
      </c>
      <c r="AL8" s="606">
        <v>73</v>
      </c>
      <c r="AM8" s="606">
        <v>75</v>
      </c>
      <c r="AN8" s="606">
        <v>77</v>
      </c>
      <c r="AO8" s="606">
        <v>78.099999999999994</v>
      </c>
      <c r="AP8" s="606">
        <v>79</v>
      </c>
      <c r="AQ8" s="606">
        <v>81</v>
      </c>
      <c r="AR8" s="606">
        <v>81</v>
      </c>
      <c r="AS8" s="606">
        <v>82.9</v>
      </c>
      <c r="AT8" s="606">
        <v>82</v>
      </c>
      <c r="AU8" s="606">
        <v>81</v>
      </c>
      <c r="AV8" s="606">
        <v>80.099999999999994</v>
      </c>
      <c r="AW8" s="606">
        <v>79</v>
      </c>
      <c r="AX8" s="606">
        <v>75.900000000000006</v>
      </c>
      <c r="AY8" s="606">
        <v>73</v>
      </c>
      <c r="AZ8" s="606">
        <v>72</v>
      </c>
      <c r="BB8" s="602">
        <f t="shared" si="7"/>
        <v>41825</v>
      </c>
      <c r="BC8" s="606">
        <v>1632</v>
      </c>
      <c r="BD8" s="606">
        <v>1585</v>
      </c>
      <c r="BE8" s="606">
        <v>1493</v>
      </c>
      <c r="BF8" s="606">
        <v>1486</v>
      </c>
      <c r="BG8" s="606">
        <v>1506</v>
      </c>
      <c r="BH8" s="606">
        <v>1507</v>
      </c>
      <c r="BI8" s="606">
        <v>1600</v>
      </c>
      <c r="BJ8" s="606">
        <v>1716</v>
      </c>
      <c r="BK8" s="606">
        <v>1812</v>
      </c>
      <c r="BL8" s="606">
        <v>1990</v>
      </c>
      <c r="BM8" s="606">
        <v>2114</v>
      </c>
      <c r="BN8" s="606">
        <v>2171</v>
      </c>
      <c r="BO8" s="606">
        <v>2315</v>
      </c>
      <c r="BP8" s="606">
        <v>2378</v>
      </c>
      <c r="BQ8" s="606">
        <v>2486</v>
      </c>
      <c r="BR8" s="606">
        <v>2595</v>
      </c>
      <c r="BS8" s="606">
        <v>2617</v>
      </c>
      <c r="BT8" s="606">
        <v>2666</v>
      </c>
      <c r="BU8" s="606">
        <v>2539</v>
      </c>
      <c r="BV8" s="606">
        <v>2405</v>
      </c>
      <c r="BW8" s="606">
        <v>2342</v>
      </c>
      <c r="BX8" s="606">
        <v>2197</v>
      </c>
      <c r="BY8" s="606">
        <v>2036</v>
      </c>
      <c r="BZ8" s="606">
        <v>1907</v>
      </c>
      <c r="CA8" s="603"/>
      <c r="CB8" s="602">
        <f t="shared" si="8"/>
        <v>41825</v>
      </c>
      <c r="CC8" s="606">
        <v>1136.4720458984375</v>
      </c>
      <c r="CD8" s="606">
        <v>1083.571044921875</v>
      </c>
      <c r="CE8" s="606">
        <v>1044.071044921875</v>
      </c>
      <c r="CF8" s="606">
        <v>1012.7689819335937</v>
      </c>
      <c r="CG8" s="606">
        <v>1011.1671142578125</v>
      </c>
      <c r="CH8" s="606">
        <v>997.5689697265625</v>
      </c>
      <c r="CI8" s="606">
        <v>1009.6719970703125</v>
      </c>
      <c r="CJ8" s="606">
        <v>1056.873046875</v>
      </c>
      <c r="CK8" s="606">
        <v>1139.974853515625</v>
      </c>
      <c r="CL8" s="606">
        <v>1240.1739501953125</v>
      </c>
      <c r="CM8" s="606">
        <v>1322.8790283203125</v>
      </c>
      <c r="CN8" s="606">
        <v>1415.3790283203125</v>
      </c>
      <c r="CO8" s="606">
        <v>1509.280029296875</v>
      </c>
      <c r="CP8" s="606">
        <v>1606.9068603515625</v>
      </c>
      <c r="CQ8" s="606">
        <v>1668.4801025390625</v>
      </c>
      <c r="CR8" s="606">
        <v>1748.5185546875</v>
      </c>
      <c r="CS8" s="606">
        <v>1780.0799560546875</v>
      </c>
      <c r="CT8" s="606">
        <v>1771.0799560546875</v>
      </c>
      <c r="CU8" s="606">
        <v>1720.8790283203125</v>
      </c>
      <c r="CV8" s="606">
        <v>1625.0799560546875</v>
      </c>
      <c r="CW8" s="606">
        <v>1579.177001953125</v>
      </c>
      <c r="CX8" s="606">
        <v>1502.3740234375</v>
      </c>
      <c r="CY8" s="606">
        <v>1383.973876953125</v>
      </c>
      <c r="CZ8" s="606">
        <v>1274.572998046875</v>
      </c>
    </row>
    <row r="9" spans="1:104">
      <c r="A9" s="601">
        <v>6</v>
      </c>
      <c r="B9" s="602">
        <f>'Input Data'!A9</f>
        <v>41826</v>
      </c>
      <c r="C9" s="626">
        <v>66</v>
      </c>
      <c r="D9" s="626">
        <v>66.900000000000006</v>
      </c>
      <c r="E9" s="626">
        <v>66</v>
      </c>
      <c r="F9" s="626">
        <v>64.900000000000006</v>
      </c>
      <c r="G9" s="626">
        <v>64.900000000000006</v>
      </c>
      <c r="H9" s="626">
        <v>64</v>
      </c>
      <c r="I9" s="626">
        <v>64.900000000000006</v>
      </c>
      <c r="J9" s="626">
        <v>68</v>
      </c>
      <c r="K9" s="626">
        <v>73</v>
      </c>
      <c r="L9" s="626">
        <v>75.900000000000006</v>
      </c>
      <c r="M9" s="626">
        <v>80.099999999999994</v>
      </c>
      <c r="N9" s="626">
        <v>82</v>
      </c>
      <c r="O9" s="626">
        <v>84</v>
      </c>
      <c r="P9" s="626">
        <v>84</v>
      </c>
      <c r="Q9" s="626">
        <v>86</v>
      </c>
      <c r="R9" s="626">
        <v>84.9</v>
      </c>
      <c r="S9" s="626">
        <v>86</v>
      </c>
      <c r="T9" s="626">
        <v>84.9</v>
      </c>
      <c r="U9" s="626">
        <v>84.9</v>
      </c>
      <c r="V9" s="626">
        <v>82</v>
      </c>
      <c r="W9" s="626">
        <v>79</v>
      </c>
      <c r="X9" s="626">
        <v>77</v>
      </c>
      <c r="Y9" s="626">
        <v>75</v>
      </c>
      <c r="Z9" s="626">
        <v>72</v>
      </c>
      <c r="AA9" s="603"/>
      <c r="AB9" s="602">
        <f t="shared" si="6"/>
        <v>41826</v>
      </c>
      <c r="AC9" s="606">
        <v>70</v>
      </c>
      <c r="AD9" s="606">
        <v>70</v>
      </c>
      <c r="AE9" s="606">
        <v>68</v>
      </c>
      <c r="AF9" s="606">
        <v>66</v>
      </c>
      <c r="AG9" s="606">
        <v>64.900000000000006</v>
      </c>
      <c r="AH9" s="606">
        <v>66</v>
      </c>
      <c r="AI9" s="606">
        <v>64.900000000000006</v>
      </c>
      <c r="AJ9" s="606">
        <v>68</v>
      </c>
      <c r="AK9" s="606">
        <v>71.099999999999994</v>
      </c>
      <c r="AL9" s="606">
        <v>75</v>
      </c>
      <c r="AM9" s="606">
        <v>80.099999999999994</v>
      </c>
      <c r="AN9" s="606">
        <v>82</v>
      </c>
      <c r="AO9" s="606">
        <v>82</v>
      </c>
      <c r="AP9" s="606">
        <v>84</v>
      </c>
      <c r="AQ9" s="606">
        <v>86</v>
      </c>
      <c r="AR9" s="606">
        <v>86</v>
      </c>
      <c r="AS9" s="606">
        <v>84.9</v>
      </c>
      <c r="AT9" s="606">
        <v>84.9</v>
      </c>
      <c r="AU9" s="606">
        <v>84.9</v>
      </c>
      <c r="AV9" s="606">
        <v>84</v>
      </c>
      <c r="AW9" s="606">
        <v>82</v>
      </c>
      <c r="AX9" s="606">
        <v>80.099999999999994</v>
      </c>
      <c r="AY9" s="606">
        <v>79</v>
      </c>
      <c r="AZ9" s="606">
        <v>78.099999999999994</v>
      </c>
      <c r="BB9" s="602">
        <f t="shared" si="7"/>
        <v>41826</v>
      </c>
      <c r="BC9" s="606">
        <v>1793</v>
      </c>
      <c r="BD9" s="606">
        <v>1695</v>
      </c>
      <c r="BE9" s="606">
        <v>1621</v>
      </c>
      <c r="BF9" s="606">
        <v>1624</v>
      </c>
      <c r="BG9" s="606">
        <v>1604</v>
      </c>
      <c r="BH9" s="606">
        <v>1621</v>
      </c>
      <c r="BI9" s="606">
        <v>1630</v>
      </c>
      <c r="BJ9" s="606">
        <v>1806</v>
      </c>
      <c r="BK9" s="606">
        <v>1959</v>
      </c>
      <c r="BL9" s="606">
        <v>2223</v>
      </c>
      <c r="BM9" s="606">
        <v>2350</v>
      </c>
      <c r="BN9" s="606">
        <v>2493</v>
      </c>
      <c r="BO9" s="606">
        <v>2629</v>
      </c>
      <c r="BP9" s="606">
        <v>2722</v>
      </c>
      <c r="BQ9" s="606">
        <v>2833</v>
      </c>
      <c r="BR9" s="606">
        <v>2872</v>
      </c>
      <c r="BS9" s="606">
        <v>2945</v>
      </c>
      <c r="BT9" s="606">
        <v>2887</v>
      </c>
      <c r="BU9" s="606">
        <v>2824</v>
      </c>
      <c r="BV9" s="606">
        <v>2711</v>
      </c>
      <c r="BW9" s="606">
        <v>2714</v>
      </c>
      <c r="BX9" s="606">
        <v>2567</v>
      </c>
      <c r="BY9" s="606">
        <v>2389</v>
      </c>
      <c r="BZ9" s="606">
        <v>2228</v>
      </c>
      <c r="CA9" s="603"/>
      <c r="CB9" s="602">
        <f t="shared" si="8"/>
        <v>41826</v>
      </c>
      <c r="CC9" s="606">
        <v>1196.072998046875</v>
      </c>
      <c r="CD9" s="606">
        <v>1135.6729736328125</v>
      </c>
      <c r="CE9" s="606">
        <v>1068.27294921875</v>
      </c>
      <c r="CF9" s="606">
        <v>1058.6710205078125</v>
      </c>
      <c r="CG9" s="606">
        <v>1064.6729736328125</v>
      </c>
      <c r="CH9" s="606">
        <v>1049.9720458984375</v>
      </c>
      <c r="CI9" s="606">
        <v>1067.572998046875</v>
      </c>
      <c r="CJ9" s="606">
        <v>1154.0740966796875</v>
      </c>
      <c r="CK9" s="606">
        <v>1235.4739990234375</v>
      </c>
      <c r="CL9" s="606">
        <v>1382.675048828125</v>
      </c>
      <c r="CM9" s="606">
        <v>1504.178955078125</v>
      </c>
      <c r="CN9" s="606">
        <v>1608.779052734375</v>
      </c>
      <c r="CO9" s="606">
        <v>1694.2799072265625</v>
      </c>
      <c r="CP9" s="606">
        <v>1786.678955078125</v>
      </c>
      <c r="CQ9" s="606">
        <v>1852.9798583984375</v>
      </c>
      <c r="CR9" s="606">
        <v>1909.580078125</v>
      </c>
      <c r="CS9" s="606">
        <v>1953.2801513671875</v>
      </c>
      <c r="CT9" s="606">
        <v>1928.8797607421875</v>
      </c>
      <c r="CU9" s="606">
        <v>1895.5791015625</v>
      </c>
      <c r="CV9" s="606">
        <v>1819.97900390625</v>
      </c>
      <c r="CW9" s="606">
        <v>1779.678955078125</v>
      </c>
      <c r="CX9" s="606">
        <v>1719.2760009765625</v>
      </c>
      <c r="CY9" s="606">
        <v>1596.573974609375</v>
      </c>
      <c r="CZ9" s="606">
        <v>1479.6729736328125</v>
      </c>
    </row>
    <row r="10" spans="1:104">
      <c r="A10" s="601">
        <v>7</v>
      </c>
      <c r="B10" s="602">
        <f>'Input Data'!A10</f>
        <v>41827</v>
      </c>
      <c r="C10" s="626">
        <v>73</v>
      </c>
      <c r="D10" s="626">
        <v>71.099999999999994</v>
      </c>
      <c r="E10" s="626">
        <v>70</v>
      </c>
      <c r="F10" s="626">
        <v>69.099999999999994</v>
      </c>
      <c r="G10" s="626">
        <v>70</v>
      </c>
      <c r="H10" s="626">
        <v>69.099999999999994</v>
      </c>
      <c r="I10" s="626">
        <v>69.099999999999994</v>
      </c>
      <c r="J10" s="626">
        <v>72</v>
      </c>
      <c r="K10" s="626">
        <v>75</v>
      </c>
      <c r="L10" s="626">
        <v>79</v>
      </c>
      <c r="M10" s="626">
        <v>81</v>
      </c>
      <c r="N10" s="626">
        <v>84</v>
      </c>
      <c r="O10" s="626">
        <v>84.9</v>
      </c>
      <c r="P10" s="626">
        <v>88</v>
      </c>
      <c r="Q10" s="626">
        <v>88</v>
      </c>
      <c r="R10" s="626">
        <v>86</v>
      </c>
      <c r="S10" s="626">
        <v>89.1</v>
      </c>
      <c r="T10" s="626">
        <v>88</v>
      </c>
      <c r="U10" s="626">
        <v>84.9</v>
      </c>
      <c r="V10" s="626">
        <v>84</v>
      </c>
      <c r="W10" s="626">
        <v>82.9</v>
      </c>
      <c r="X10" s="626">
        <v>82.600000000000009</v>
      </c>
      <c r="Y10" s="626">
        <v>80.533333333333331</v>
      </c>
      <c r="Z10" s="626">
        <v>75</v>
      </c>
      <c r="AA10" s="603"/>
      <c r="AB10" s="602">
        <f t="shared" si="6"/>
        <v>41827</v>
      </c>
      <c r="AC10" s="606">
        <v>77</v>
      </c>
      <c r="AD10" s="606">
        <v>75.900000000000006</v>
      </c>
      <c r="AE10" s="606">
        <v>75</v>
      </c>
      <c r="AF10" s="606">
        <v>73.900000000000006</v>
      </c>
      <c r="AG10" s="606">
        <v>73.900000000000006</v>
      </c>
      <c r="AH10" s="606">
        <v>73</v>
      </c>
      <c r="AI10" s="606">
        <v>72</v>
      </c>
      <c r="AJ10" s="606">
        <v>73</v>
      </c>
      <c r="AK10" s="606">
        <v>75.900000000000006</v>
      </c>
      <c r="AL10" s="606">
        <v>79</v>
      </c>
      <c r="AM10" s="606">
        <v>81</v>
      </c>
      <c r="AN10" s="606">
        <v>82.9</v>
      </c>
      <c r="AO10" s="606">
        <v>84.9</v>
      </c>
      <c r="AP10" s="606">
        <v>86</v>
      </c>
      <c r="AQ10" s="606">
        <v>88</v>
      </c>
      <c r="AR10" s="606">
        <v>87.1</v>
      </c>
      <c r="AS10" s="606">
        <v>88</v>
      </c>
      <c r="AT10" s="606">
        <v>87.1</v>
      </c>
      <c r="AU10" s="606">
        <v>87.1</v>
      </c>
      <c r="AV10" s="606">
        <v>86</v>
      </c>
      <c r="AW10" s="606">
        <v>79.149999999999991</v>
      </c>
      <c r="AX10" s="606">
        <v>76.63333333333334</v>
      </c>
      <c r="AY10" s="606">
        <v>72</v>
      </c>
      <c r="AZ10" s="606">
        <v>75</v>
      </c>
      <c r="BB10" s="602">
        <f t="shared" si="7"/>
        <v>41827</v>
      </c>
      <c r="BC10" s="606">
        <v>2094</v>
      </c>
      <c r="BD10" s="606">
        <v>1978</v>
      </c>
      <c r="BE10" s="606">
        <v>1860</v>
      </c>
      <c r="BF10" s="606">
        <v>1895</v>
      </c>
      <c r="BG10" s="606">
        <v>1953</v>
      </c>
      <c r="BH10" s="606">
        <v>2120</v>
      </c>
      <c r="BI10" s="606">
        <v>2290</v>
      </c>
      <c r="BJ10" s="606">
        <v>2568</v>
      </c>
      <c r="BK10" s="606">
        <v>2805</v>
      </c>
      <c r="BL10" s="606">
        <v>2993</v>
      </c>
      <c r="BM10" s="606">
        <v>3141</v>
      </c>
      <c r="BN10" s="606">
        <v>3301</v>
      </c>
      <c r="BO10" s="606">
        <v>3389</v>
      </c>
      <c r="BP10" s="606">
        <v>3463</v>
      </c>
      <c r="BQ10" s="606">
        <v>3531</v>
      </c>
      <c r="BR10" s="606">
        <v>3567</v>
      </c>
      <c r="BS10" s="606">
        <v>3552</v>
      </c>
      <c r="BT10" s="606">
        <v>3531</v>
      </c>
      <c r="BU10" s="606">
        <v>3350</v>
      </c>
      <c r="BV10" s="606">
        <v>3270</v>
      </c>
      <c r="BW10" s="606">
        <v>3192</v>
      </c>
      <c r="BX10" s="606">
        <v>2999</v>
      </c>
      <c r="BY10" s="606">
        <v>2758</v>
      </c>
      <c r="BZ10" s="606">
        <v>2586</v>
      </c>
      <c r="CA10" s="603"/>
      <c r="CB10" s="602">
        <f t="shared" si="8"/>
        <v>41827</v>
      </c>
      <c r="CC10" s="606">
        <v>1388.1728515625</v>
      </c>
      <c r="CD10" s="606">
        <v>1315.77392578125</v>
      </c>
      <c r="CE10" s="606">
        <v>1290.1729736328125</v>
      </c>
      <c r="CF10" s="606">
        <v>1281.1719970703125</v>
      </c>
      <c r="CG10" s="606">
        <v>1327.072021484375</v>
      </c>
      <c r="CH10" s="606">
        <v>1383.9730224609375</v>
      </c>
      <c r="CI10" s="606">
        <v>1461.4739990234375</v>
      </c>
      <c r="CJ10" s="606">
        <v>1578.3740234375</v>
      </c>
      <c r="CK10" s="606">
        <v>1709.1739501953125</v>
      </c>
      <c r="CL10" s="606">
        <v>1850.0799560546875</v>
      </c>
      <c r="CM10" s="606">
        <v>1981.779052734375</v>
      </c>
      <c r="CN10" s="606">
        <v>2097.97900390625</v>
      </c>
      <c r="CO10" s="606">
        <v>2194.3798828125</v>
      </c>
      <c r="CP10" s="606">
        <v>2231.97900390625</v>
      </c>
      <c r="CQ10" s="606">
        <v>2291.578857421875</v>
      </c>
      <c r="CR10" s="606">
        <v>2306.47998046875</v>
      </c>
      <c r="CS10" s="606">
        <v>2260.87890625</v>
      </c>
      <c r="CT10" s="606">
        <v>2201.780029296875</v>
      </c>
      <c r="CU10" s="606">
        <v>2144.47900390625</v>
      </c>
      <c r="CV10" s="606">
        <v>2049.67919921875</v>
      </c>
      <c r="CW10" s="606">
        <v>1941.4749755859375</v>
      </c>
      <c r="CX10" s="606">
        <v>1824.875</v>
      </c>
      <c r="CY10" s="606">
        <v>1681.572998046875</v>
      </c>
      <c r="CZ10" s="606">
        <v>1550.673095703125</v>
      </c>
    </row>
    <row r="11" spans="1:104">
      <c r="A11" s="601">
        <v>8</v>
      </c>
      <c r="B11" s="602">
        <f>'Input Data'!A11</f>
        <v>41828</v>
      </c>
      <c r="C11" s="626">
        <v>73.900000000000006</v>
      </c>
      <c r="D11" s="626">
        <v>71.099999999999994</v>
      </c>
      <c r="E11" s="626">
        <v>71.099999999999994</v>
      </c>
      <c r="F11" s="626">
        <v>72</v>
      </c>
      <c r="G11" s="626">
        <v>71.099999999999994</v>
      </c>
      <c r="H11" s="626">
        <v>72</v>
      </c>
      <c r="I11" s="626">
        <v>73</v>
      </c>
      <c r="J11" s="626">
        <v>75</v>
      </c>
      <c r="K11" s="626">
        <v>77.55</v>
      </c>
      <c r="L11" s="626">
        <v>78.099999999999994</v>
      </c>
      <c r="M11" s="626">
        <v>81.05</v>
      </c>
      <c r="N11" s="626">
        <v>81.5</v>
      </c>
      <c r="O11" s="626">
        <v>84.9</v>
      </c>
      <c r="P11" s="626">
        <v>84.9</v>
      </c>
      <c r="Q11" s="626">
        <v>87.1</v>
      </c>
      <c r="R11" s="626">
        <v>86</v>
      </c>
      <c r="S11" s="626">
        <v>87.8</v>
      </c>
      <c r="T11" s="626">
        <v>86</v>
      </c>
      <c r="U11" s="626">
        <v>84.9</v>
      </c>
      <c r="V11" s="626">
        <v>82</v>
      </c>
      <c r="W11" s="626">
        <v>80.099999999999994</v>
      </c>
      <c r="X11" s="626">
        <v>77</v>
      </c>
      <c r="Y11" s="626">
        <v>75</v>
      </c>
      <c r="Z11" s="626">
        <v>75</v>
      </c>
      <c r="AA11" s="603"/>
      <c r="AB11" s="602">
        <f t="shared" si="6"/>
        <v>41828</v>
      </c>
      <c r="AC11" s="606">
        <v>73</v>
      </c>
      <c r="AD11" s="606">
        <v>73</v>
      </c>
      <c r="AE11" s="606">
        <v>72</v>
      </c>
      <c r="AF11" s="606">
        <v>75</v>
      </c>
      <c r="AG11" s="606">
        <v>75</v>
      </c>
      <c r="AH11" s="606">
        <v>75</v>
      </c>
      <c r="AI11" s="606">
        <v>75.900000000000006</v>
      </c>
      <c r="AJ11" s="606">
        <v>76.266666666666666</v>
      </c>
      <c r="AK11" s="606">
        <v>74.63333333333334</v>
      </c>
      <c r="AL11" s="606">
        <v>78.099999999999994</v>
      </c>
      <c r="AM11" s="606">
        <v>80</v>
      </c>
      <c r="AN11" s="606">
        <v>82</v>
      </c>
      <c r="AO11" s="606">
        <v>82.9</v>
      </c>
      <c r="AP11" s="606">
        <v>84</v>
      </c>
      <c r="AQ11" s="606">
        <v>86</v>
      </c>
      <c r="AR11" s="606">
        <v>84</v>
      </c>
      <c r="AS11" s="606">
        <v>84.2</v>
      </c>
      <c r="AT11" s="606">
        <v>86</v>
      </c>
      <c r="AU11" s="606">
        <v>84</v>
      </c>
      <c r="AV11" s="606">
        <v>82.9</v>
      </c>
      <c r="AW11" s="606">
        <v>82</v>
      </c>
      <c r="AX11" s="606">
        <v>81</v>
      </c>
      <c r="AY11" s="606">
        <v>79</v>
      </c>
      <c r="AZ11" s="606">
        <v>75.900000000000006</v>
      </c>
      <c r="BB11" s="602">
        <f t="shared" si="7"/>
        <v>41828</v>
      </c>
      <c r="BC11" s="606">
        <v>2360</v>
      </c>
      <c r="BD11" s="606">
        <v>2291</v>
      </c>
      <c r="BE11" s="606">
        <v>2174</v>
      </c>
      <c r="BF11" s="606">
        <v>2188</v>
      </c>
      <c r="BG11" s="606">
        <v>2232</v>
      </c>
      <c r="BH11" s="606">
        <v>2403</v>
      </c>
      <c r="BI11" s="606">
        <v>2530</v>
      </c>
      <c r="BJ11" s="606">
        <v>2677</v>
      </c>
      <c r="BK11" s="606">
        <v>2919</v>
      </c>
      <c r="BL11" s="606">
        <v>3077</v>
      </c>
      <c r="BM11" s="606">
        <v>3177</v>
      </c>
      <c r="BN11" s="606">
        <v>3295</v>
      </c>
      <c r="BO11" s="606">
        <v>3455</v>
      </c>
      <c r="BP11" s="606">
        <v>3526</v>
      </c>
      <c r="BQ11" s="606">
        <v>3580</v>
      </c>
      <c r="BR11" s="606">
        <v>3541</v>
      </c>
      <c r="BS11" s="606">
        <v>3516</v>
      </c>
      <c r="BT11" s="606">
        <v>3498</v>
      </c>
      <c r="BU11" s="606">
        <v>3385</v>
      </c>
      <c r="BV11" s="606">
        <v>3259</v>
      </c>
      <c r="BW11" s="606">
        <v>3199</v>
      </c>
      <c r="BX11" s="606">
        <v>3004</v>
      </c>
      <c r="BY11" s="606">
        <v>2782</v>
      </c>
      <c r="BZ11" s="606">
        <v>2556</v>
      </c>
      <c r="CA11" s="603"/>
      <c r="CB11" s="602">
        <f t="shared" si="8"/>
        <v>41828</v>
      </c>
      <c r="CC11" s="606">
        <v>1464.4730224609375</v>
      </c>
      <c r="CD11" s="606">
        <v>1412.4720458984375</v>
      </c>
      <c r="CE11" s="606">
        <v>1381.77197265625</v>
      </c>
      <c r="CF11" s="606">
        <v>1376.873046875</v>
      </c>
      <c r="CG11" s="606">
        <v>1419.072998046875</v>
      </c>
      <c r="CH11" s="606">
        <v>1514.5731201171875</v>
      </c>
      <c r="CI11" s="606">
        <v>1609.3729248046875</v>
      </c>
      <c r="CJ11" s="606">
        <v>1627.0740966796875</v>
      </c>
      <c r="CK11" s="606">
        <v>1718.1728515625</v>
      </c>
      <c r="CL11" s="606">
        <v>1827.074951171875</v>
      </c>
      <c r="CM11" s="606">
        <v>1944.177978515625</v>
      </c>
      <c r="CN11" s="606">
        <v>2040.5799560546875</v>
      </c>
      <c r="CO11" s="606">
        <v>2114.97998046875</v>
      </c>
      <c r="CP11" s="606">
        <v>2167.27978515625</v>
      </c>
      <c r="CQ11" s="606">
        <v>2197.47998046875</v>
      </c>
      <c r="CR11" s="606">
        <v>2202.279296875</v>
      </c>
      <c r="CS11" s="606">
        <v>2225.0810546875</v>
      </c>
      <c r="CT11" s="606">
        <v>2193.080078125</v>
      </c>
      <c r="CU11" s="606">
        <v>2138.984130859375</v>
      </c>
      <c r="CV11" s="606">
        <v>2055.080078125</v>
      </c>
      <c r="CW11" s="606">
        <v>2010.2779541015625</v>
      </c>
      <c r="CX11" s="606">
        <v>1931.077880859375</v>
      </c>
      <c r="CY11" s="606">
        <v>1774.075927734375</v>
      </c>
      <c r="CZ11" s="606">
        <v>1630.973876953125</v>
      </c>
    </row>
    <row r="12" spans="1:104">
      <c r="A12" s="601">
        <v>9</v>
      </c>
      <c r="B12" s="602">
        <f>'Input Data'!A12</f>
        <v>41829</v>
      </c>
      <c r="C12" s="626">
        <v>75.900000000000006</v>
      </c>
      <c r="D12" s="626">
        <v>73.400000000000006</v>
      </c>
      <c r="E12" s="626">
        <v>71.099999999999994</v>
      </c>
      <c r="F12" s="626">
        <v>70</v>
      </c>
      <c r="G12" s="626">
        <v>69.099999999999994</v>
      </c>
      <c r="H12" s="626">
        <v>69.099999999999994</v>
      </c>
      <c r="I12" s="626">
        <v>69.099999999999994</v>
      </c>
      <c r="J12" s="626">
        <v>70</v>
      </c>
      <c r="K12" s="626">
        <v>73</v>
      </c>
      <c r="L12" s="626">
        <v>75.900000000000006</v>
      </c>
      <c r="M12" s="626">
        <v>79</v>
      </c>
      <c r="N12" s="626">
        <v>81</v>
      </c>
      <c r="O12" s="626">
        <v>84</v>
      </c>
      <c r="P12" s="626">
        <v>82.9</v>
      </c>
      <c r="Q12" s="626">
        <v>86</v>
      </c>
      <c r="R12" s="626">
        <v>86</v>
      </c>
      <c r="S12" s="626">
        <v>84.9</v>
      </c>
      <c r="T12" s="626">
        <v>84</v>
      </c>
      <c r="U12" s="626">
        <v>84.2</v>
      </c>
      <c r="V12" s="626">
        <v>82</v>
      </c>
      <c r="W12" s="626">
        <v>79</v>
      </c>
      <c r="X12" s="626">
        <v>77</v>
      </c>
      <c r="Y12" s="626">
        <v>70</v>
      </c>
      <c r="Z12" s="626">
        <v>70</v>
      </c>
      <c r="AA12" s="603"/>
      <c r="AB12" s="602">
        <f t="shared" si="6"/>
        <v>41829</v>
      </c>
      <c r="AC12" s="606">
        <v>73.900000000000006</v>
      </c>
      <c r="AD12" s="606">
        <v>71.599999999999994</v>
      </c>
      <c r="AE12" s="606">
        <v>72</v>
      </c>
      <c r="AF12" s="606">
        <v>71.099999999999994</v>
      </c>
      <c r="AG12" s="606">
        <v>71.099999999999994</v>
      </c>
      <c r="AH12" s="606">
        <v>69.099999999999994</v>
      </c>
      <c r="AI12" s="606">
        <v>69.099999999999994</v>
      </c>
      <c r="AJ12" s="606">
        <v>72</v>
      </c>
      <c r="AK12" s="606">
        <v>77</v>
      </c>
      <c r="AL12" s="606">
        <v>79</v>
      </c>
      <c r="AM12" s="606">
        <v>81</v>
      </c>
      <c r="AN12" s="606">
        <v>84</v>
      </c>
      <c r="AO12" s="606">
        <v>84</v>
      </c>
      <c r="AP12" s="606">
        <v>84</v>
      </c>
      <c r="AQ12" s="606">
        <v>86</v>
      </c>
      <c r="AR12" s="606">
        <v>84</v>
      </c>
      <c r="AS12" s="606">
        <v>86</v>
      </c>
      <c r="AT12" s="606">
        <v>84.9</v>
      </c>
      <c r="AU12" s="606">
        <v>84.9</v>
      </c>
      <c r="AV12" s="606">
        <v>84.2</v>
      </c>
      <c r="AW12" s="606">
        <v>82</v>
      </c>
      <c r="AX12" s="606">
        <v>79</v>
      </c>
      <c r="AY12" s="606">
        <v>77</v>
      </c>
      <c r="AZ12" s="606">
        <v>75</v>
      </c>
      <c r="BB12" s="602">
        <f t="shared" si="7"/>
        <v>41829</v>
      </c>
      <c r="BC12" s="606">
        <v>2346</v>
      </c>
      <c r="BD12" s="606">
        <v>2281</v>
      </c>
      <c r="BE12" s="606">
        <v>2165</v>
      </c>
      <c r="BF12" s="606">
        <v>2181</v>
      </c>
      <c r="BG12" s="606">
        <v>2198</v>
      </c>
      <c r="BH12" s="606">
        <v>2320</v>
      </c>
      <c r="BI12" s="606">
        <v>2445</v>
      </c>
      <c r="BJ12" s="606">
        <v>2635</v>
      </c>
      <c r="BK12" s="606">
        <v>2834</v>
      </c>
      <c r="BL12" s="606">
        <v>3013</v>
      </c>
      <c r="BM12" s="606">
        <v>3147</v>
      </c>
      <c r="BN12" s="606">
        <v>3253</v>
      </c>
      <c r="BO12" s="606">
        <v>3344</v>
      </c>
      <c r="BP12" s="606">
        <v>3442</v>
      </c>
      <c r="BQ12" s="606">
        <v>3466</v>
      </c>
      <c r="BR12" s="606">
        <v>3469</v>
      </c>
      <c r="BS12" s="606">
        <v>3475</v>
      </c>
      <c r="BT12" s="606">
        <v>3403</v>
      </c>
      <c r="BU12" s="606">
        <v>3316</v>
      </c>
      <c r="BV12" s="606">
        <v>3161</v>
      </c>
      <c r="BW12" s="606">
        <v>3092</v>
      </c>
      <c r="BX12" s="606">
        <v>2892</v>
      </c>
      <c r="BY12" s="606">
        <v>2644</v>
      </c>
      <c r="BZ12" s="606">
        <v>2419</v>
      </c>
      <c r="CA12" s="603"/>
      <c r="CB12" s="602">
        <f t="shared" si="8"/>
        <v>41829</v>
      </c>
      <c r="CC12" s="606">
        <v>1527.27294921875</v>
      </c>
      <c r="CD12" s="606">
        <v>1415.1739501953125</v>
      </c>
      <c r="CE12" s="606">
        <v>1363.27294921875</v>
      </c>
      <c r="CF12" s="606">
        <v>1340.972900390625</v>
      </c>
      <c r="CG12" s="606">
        <v>1359.7728271484375</v>
      </c>
      <c r="CH12" s="606">
        <v>1409.1729736328125</v>
      </c>
      <c r="CI12" s="606">
        <v>1481.3741455078125</v>
      </c>
      <c r="CJ12" s="606">
        <v>1589.47509765625</v>
      </c>
      <c r="CK12" s="606">
        <v>1716.2779541015625</v>
      </c>
      <c r="CL12" s="606">
        <v>1842.0810546875</v>
      </c>
      <c r="CM12" s="606">
        <v>1925.8790283203125</v>
      </c>
      <c r="CN12" s="606">
        <v>2014.7799072265625</v>
      </c>
      <c r="CO12" s="606">
        <v>2095.080078125</v>
      </c>
      <c r="CP12" s="606">
        <v>2130.679931640625</v>
      </c>
      <c r="CQ12" s="606">
        <v>2178.57958984375</v>
      </c>
      <c r="CR12" s="606">
        <v>2197.080078125</v>
      </c>
      <c r="CS12" s="606">
        <v>2205.680908203125</v>
      </c>
      <c r="CT12" s="606">
        <v>2180.97998046875</v>
      </c>
      <c r="CU12" s="606">
        <v>2122.380126953125</v>
      </c>
      <c r="CV12" s="606">
        <v>2032.9798583984375</v>
      </c>
      <c r="CW12" s="606">
        <v>1962.078857421875</v>
      </c>
      <c r="CX12" s="606">
        <v>1857.47900390625</v>
      </c>
      <c r="CY12" s="606">
        <v>1704.7779541015625</v>
      </c>
      <c r="CZ12" s="606">
        <v>1569.97705078125</v>
      </c>
    </row>
    <row r="13" spans="1:104">
      <c r="A13" s="601">
        <v>10</v>
      </c>
      <c r="B13" s="602">
        <f>'Input Data'!A13</f>
        <v>41830</v>
      </c>
      <c r="C13" s="626">
        <v>69.099999999999994</v>
      </c>
      <c r="D13" s="626">
        <v>64</v>
      </c>
      <c r="E13" s="626">
        <v>66</v>
      </c>
      <c r="F13" s="626">
        <v>64.400000000000006</v>
      </c>
      <c r="G13" s="626">
        <v>63</v>
      </c>
      <c r="H13" s="626">
        <v>63</v>
      </c>
      <c r="I13" s="626">
        <v>64</v>
      </c>
      <c r="J13" s="626">
        <v>66</v>
      </c>
      <c r="K13" s="626">
        <v>73.900000000000006</v>
      </c>
      <c r="L13" s="626">
        <v>78.099999999999994</v>
      </c>
      <c r="M13" s="626">
        <v>80.099999999999994</v>
      </c>
      <c r="N13" s="626">
        <v>82.9</v>
      </c>
      <c r="O13" s="626">
        <v>82.9</v>
      </c>
      <c r="P13" s="626">
        <v>84.9</v>
      </c>
      <c r="Q13" s="626">
        <v>84.9</v>
      </c>
      <c r="R13" s="626">
        <v>84</v>
      </c>
      <c r="S13" s="626">
        <v>86</v>
      </c>
      <c r="T13" s="626">
        <v>84.9</v>
      </c>
      <c r="U13" s="626">
        <v>84</v>
      </c>
      <c r="V13" s="626">
        <v>82</v>
      </c>
      <c r="W13" s="626">
        <v>77</v>
      </c>
      <c r="X13" s="626">
        <v>73</v>
      </c>
      <c r="Y13" s="626">
        <v>71.099999999999994</v>
      </c>
      <c r="Z13" s="626">
        <v>69.099999999999994</v>
      </c>
      <c r="AA13" s="603"/>
      <c r="AB13" s="602">
        <f t="shared" si="6"/>
        <v>41830</v>
      </c>
      <c r="AC13" s="606">
        <v>73</v>
      </c>
      <c r="AD13" s="606">
        <v>72</v>
      </c>
      <c r="AE13" s="606">
        <v>72</v>
      </c>
      <c r="AF13" s="606">
        <v>71.599999999999994</v>
      </c>
      <c r="AG13" s="606">
        <v>71.099999999999994</v>
      </c>
      <c r="AH13" s="606" t="e">
        <v>#N/A</v>
      </c>
      <c r="AI13" s="606">
        <v>68</v>
      </c>
      <c r="AJ13" s="606">
        <v>69.099999999999994</v>
      </c>
      <c r="AK13" s="606">
        <v>73.400000000000006</v>
      </c>
      <c r="AL13" s="606">
        <v>77</v>
      </c>
      <c r="AM13" s="606">
        <v>80.099999999999994</v>
      </c>
      <c r="AN13" s="606">
        <v>82.9</v>
      </c>
      <c r="AO13" s="606">
        <v>84</v>
      </c>
      <c r="AP13" s="606">
        <v>84.9</v>
      </c>
      <c r="AQ13" s="606">
        <v>82.9</v>
      </c>
      <c r="AR13" s="606">
        <v>87.1</v>
      </c>
      <c r="AS13" s="606">
        <v>86</v>
      </c>
      <c r="AT13" s="606">
        <v>86</v>
      </c>
      <c r="AU13" s="606">
        <v>84.9</v>
      </c>
      <c r="AV13" s="606">
        <v>82.9</v>
      </c>
      <c r="AW13" s="606">
        <v>81</v>
      </c>
      <c r="AX13" s="606">
        <v>77</v>
      </c>
      <c r="AY13" s="606">
        <v>75</v>
      </c>
      <c r="AZ13" s="606">
        <v>73</v>
      </c>
      <c r="BB13" s="602">
        <f t="shared" si="7"/>
        <v>41830</v>
      </c>
      <c r="BC13" s="606">
        <v>2234</v>
      </c>
      <c r="BD13" s="606">
        <v>2103</v>
      </c>
      <c r="BE13" s="606">
        <v>2037</v>
      </c>
      <c r="BF13" s="606">
        <v>2024</v>
      </c>
      <c r="BG13" s="606">
        <v>2079</v>
      </c>
      <c r="BH13" s="606">
        <v>2188</v>
      </c>
      <c r="BI13" s="606">
        <v>2373</v>
      </c>
      <c r="BJ13" s="606">
        <v>2517</v>
      </c>
      <c r="BK13" s="606">
        <v>2712</v>
      </c>
      <c r="BL13" s="606">
        <v>2913</v>
      </c>
      <c r="BM13" s="606">
        <v>3074</v>
      </c>
      <c r="BN13" s="606">
        <v>3265</v>
      </c>
      <c r="BO13" s="606">
        <v>3367</v>
      </c>
      <c r="BP13" s="606">
        <v>3408</v>
      </c>
      <c r="BQ13" s="606">
        <v>3480</v>
      </c>
      <c r="BR13" s="606">
        <v>3447</v>
      </c>
      <c r="BS13" s="606">
        <v>3428</v>
      </c>
      <c r="BT13" s="606">
        <v>3412</v>
      </c>
      <c r="BU13" s="606">
        <v>3275</v>
      </c>
      <c r="BV13" s="606">
        <v>3152</v>
      </c>
      <c r="BW13" s="606">
        <v>3037</v>
      </c>
      <c r="BX13" s="606">
        <v>2859</v>
      </c>
      <c r="BY13" s="606">
        <v>2620</v>
      </c>
      <c r="BZ13" s="606">
        <v>2358</v>
      </c>
      <c r="CA13" s="603"/>
      <c r="CB13" s="602">
        <f t="shared" si="8"/>
        <v>41830</v>
      </c>
      <c r="CC13" s="606">
        <v>1473.375</v>
      </c>
      <c r="CD13" s="606">
        <v>1394.5740966796875</v>
      </c>
      <c r="CE13" s="606">
        <v>1346.1739501953125</v>
      </c>
      <c r="CF13" s="606">
        <v>1321.2740478515625</v>
      </c>
      <c r="CG13" s="606">
        <v>1339.572998046875</v>
      </c>
      <c r="CH13" s="606">
        <v>1408.108642578125</v>
      </c>
      <c r="CI13" s="606">
        <v>1467.6741943359375</v>
      </c>
      <c r="CJ13" s="606">
        <v>1552.97509765625</v>
      </c>
      <c r="CK13" s="606">
        <v>1643.874755859375</v>
      </c>
      <c r="CL13" s="606">
        <v>1778.279052734375</v>
      </c>
      <c r="CM13" s="606">
        <v>1892.0799560546875</v>
      </c>
      <c r="CN13" s="606">
        <v>1990.5810546875</v>
      </c>
      <c r="CO13" s="606">
        <v>2091.281005859375</v>
      </c>
      <c r="CP13" s="606">
        <v>2124.180908203125</v>
      </c>
      <c r="CQ13" s="606">
        <v>2184.98095703125</v>
      </c>
      <c r="CR13" s="606">
        <v>2222.56396484375</v>
      </c>
      <c r="CS13" s="606">
        <v>2210.180908203125</v>
      </c>
      <c r="CT13" s="606">
        <v>2174.781005859375</v>
      </c>
      <c r="CU13" s="606">
        <v>2109.48095703125</v>
      </c>
      <c r="CV13" s="606">
        <v>2007.280029296875</v>
      </c>
      <c r="CW13" s="606">
        <v>1935.5850830078125</v>
      </c>
      <c r="CX13" s="606">
        <v>1825.0791015625</v>
      </c>
      <c r="CY13" s="606">
        <v>1671.27587890625</v>
      </c>
      <c r="CZ13" s="606">
        <v>1526.3740234375</v>
      </c>
    </row>
    <row r="14" spans="1:104">
      <c r="A14" s="601">
        <v>11</v>
      </c>
      <c r="B14" s="602">
        <f>'Input Data'!A14</f>
        <v>41831</v>
      </c>
      <c r="C14" s="626">
        <v>66</v>
      </c>
      <c r="D14" s="626">
        <v>66</v>
      </c>
      <c r="E14" s="626">
        <v>64</v>
      </c>
      <c r="F14" s="626">
        <v>63</v>
      </c>
      <c r="G14" s="626">
        <v>63</v>
      </c>
      <c r="H14" s="626">
        <v>64</v>
      </c>
      <c r="I14" s="626">
        <v>62.1</v>
      </c>
      <c r="J14" s="626">
        <v>66.900000000000006</v>
      </c>
      <c r="K14" s="626">
        <v>72</v>
      </c>
      <c r="L14" s="626">
        <v>78.099999999999994</v>
      </c>
      <c r="M14" s="626">
        <v>81</v>
      </c>
      <c r="N14" s="626">
        <v>84</v>
      </c>
      <c r="O14" s="626">
        <v>84.9</v>
      </c>
      <c r="P14" s="626">
        <v>86</v>
      </c>
      <c r="Q14" s="626">
        <v>88</v>
      </c>
      <c r="R14" s="626">
        <v>86</v>
      </c>
      <c r="S14" s="626">
        <v>89.1</v>
      </c>
      <c r="T14" s="626">
        <v>88</v>
      </c>
      <c r="U14" s="626">
        <v>87.1</v>
      </c>
      <c r="V14" s="626">
        <v>84.9</v>
      </c>
      <c r="W14" s="626">
        <v>79</v>
      </c>
      <c r="X14" s="626">
        <v>78.099999999999994</v>
      </c>
      <c r="Y14" s="626">
        <v>73.900000000000006</v>
      </c>
      <c r="Z14" s="626">
        <v>73.900000000000006</v>
      </c>
      <c r="AA14" s="603"/>
      <c r="AB14" s="602">
        <f t="shared" si="6"/>
        <v>41831</v>
      </c>
      <c r="AC14" s="606">
        <v>71.099999999999994</v>
      </c>
      <c r="AD14" s="606">
        <v>69.099999999999994</v>
      </c>
      <c r="AE14" s="606">
        <v>68</v>
      </c>
      <c r="AF14" s="606">
        <v>66.900000000000006</v>
      </c>
      <c r="AG14" s="606">
        <v>64.900000000000006</v>
      </c>
      <c r="AH14" s="606">
        <v>64</v>
      </c>
      <c r="AI14" s="606">
        <v>63</v>
      </c>
      <c r="AJ14" s="606">
        <v>66.900000000000006</v>
      </c>
      <c r="AK14" s="606">
        <v>73.900000000000006</v>
      </c>
      <c r="AL14" s="606">
        <v>78.099999999999994</v>
      </c>
      <c r="AM14" s="606">
        <v>81</v>
      </c>
      <c r="AN14" s="606">
        <v>82.9</v>
      </c>
      <c r="AO14" s="606">
        <v>84</v>
      </c>
      <c r="AP14" s="606">
        <v>84.9</v>
      </c>
      <c r="AQ14" s="606">
        <v>88</v>
      </c>
      <c r="AR14" s="606">
        <v>89.1</v>
      </c>
      <c r="AS14" s="606">
        <v>89.1</v>
      </c>
      <c r="AT14" s="606">
        <v>87.1</v>
      </c>
      <c r="AU14" s="606">
        <v>86</v>
      </c>
      <c r="AV14" s="606">
        <v>86</v>
      </c>
      <c r="AW14" s="606">
        <v>82.9</v>
      </c>
      <c r="AX14" s="606">
        <v>81</v>
      </c>
      <c r="AY14" s="606">
        <v>73.900000000000006</v>
      </c>
      <c r="AZ14" s="606">
        <v>75</v>
      </c>
      <c r="BB14" s="602">
        <f t="shared" si="7"/>
        <v>41831</v>
      </c>
      <c r="BC14" s="606">
        <v>2201</v>
      </c>
      <c r="BD14" s="606">
        <v>2095</v>
      </c>
      <c r="BE14" s="606">
        <v>1964</v>
      </c>
      <c r="BF14" s="606">
        <v>1992</v>
      </c>
      <c r="BG14" s="606">
        <v>2039</v>
      </c>
      <c r="BH14" s="606">
        <v>2108</v>
      </c>
      <c r="BI14" s="606">
        <v>2285</v>
      </c>
      <c r="BJ14" s="606">
        <v>2448</v>
      </c>
      <c r="BK14" s="606">
        <v>2663</v>
      </c>
      <c r="BL14" s="606">
        <v>2860</v>
      </c>
      <c r="BM14" s="606">
        <v>3060</v>
      </c>
      <c r="BN14" s="606">
        <v>3238</v>
      </c>
      <c r="BO14" s="606">
        <v>3304</v>
      </c>
      <c r="BP14" s="606">
        <v>3431</v>
      </c>
      <c r="BQ14" s="606">
        <v>3460</v>
      </c>
      <c r="BR14" s="606">
        <v>3530</v>
      </c>
      <c r="BS14" s="606">
        <v>3523</v>
      </c>
      <c r="BT14" s="606">
        <v>3449</v>
      </c>
      <c r="BU14" s="606">
        <v>3338</v>
      </c>
      <c r="BV14" s="606">
        <v>3161</v>
      </c>
      <c r="BW14" s="606">
        <v>3085</v>
      </c>
      <c r="BX14" s="606">
        <v>2885</v>
      </c>
      <c r="BY14" s="606">
        <v>2678</v>
      </c>
      <c r="BZ14" s="606">
        <v>2413</v>
      </c>
      <c r="CA14" s="603"/>
      <c r="CB14" s="602">
        <f t="shared" si="8"/>
        <v>41831</v>
      </c>
      <c r="CC14" s="606">
        <v>1421.573974609375</v>
      </c>
      <c r="CD14" s="606">
        <v>1338.8741455078125</v>
      </c>
      <c r="CE14" s="606">
        <v>1284.6732177734375</v>
      </c>
      <c r="CF14" s="606">
        <v>1260.1729736328125</v>
      </c>
      <c r="CG14" s="606">
        <v>1275.77294921875</v>
      </c>
      <c r="CH14" s="606">
        <v>1331.2740478515625</v>
      </c>
      <c r="CI14" s="606">
        <v>1373.1729736328125</v>
      </c>
      <c r="CJ14" s="606">
        <v>1464.7750244140625</v>
      </c>
      <c r="CK14" s="606">
        <v>1567.177001953125</v>
      </c>
      <c r="CL14" s="606">
        <v>1701.380126953125</v>
      </c>
      <c r="CM14" s="606">
        <v>1829.9820556640625</v>
      </c>
      <c r="CN14" s="606">
        <v>1954.635498046875</v>
      </c>
      <c r="CO14" s="606">
        <v>2054.281005859375</v>
      </c>
      <c r="CP14" s="606">
        <v>2144.0810546875</v>
      </c>
      <c r="CQ14" s="606">
        <v>2199.98095703125</v>
      </c>
      <c r="CR14" s="606">
        <v>2235.78125</v>
      </c>
      <c r="CS14" s="606">
        <v>2236.781982421875</v>
      </c>
      <c r="CT14" s="606">
        <v>2208.781005859375</v>
      </c>
      <c r="CU14" s="606">
        <v>2146.781005859375</v>
      </c>
      <c r="CV14" s="606">
        <v>2054.65185546875</v>
      </c>
      <c r="CW14" s="606">
        <v>1964.280029296875</v>
      </c>
      <c r="CX14" s="606">
        <v>1852.178955078125</v>
      </c>
      <c r="CY14" s="606">
        <v>1714.2789306640625</v>
      </c>
      <c r="CZ14" s="606">
        <v>1575.278076171875</v>
      </c>
    </row>
    <row r="15" spans="1:104">
      <c r="A15" s="601">
        <v>12</v>
      </c>
      <c r="B15" s="602">
        <f>'Input Data'!A15</f>
        <v>41832</v>
      </c>
      <c r="C15" s="626">
        <v>69.099999999999994</v>
      </c>
      <c r="D15" s="626">
        <v>68</v>
      </c>
      <c r="E15" s="626">
        <v>68</v>
      </c>
      <c r="F15" s="626">
        <v>66</v>
      </c>
      <c r="G15" s="626">
        <v>64.900000000000006</v>
      </c>
      <c r="H15" s="626">
        <v>64</v>
      </c>
      <c r="I15" s="626">
        <v>64</v>
      </c>
      <c r="J15" s="626">
        <v>69.099999999999994</v>
      </c>
      <c r="K15" s="626">
        <v>72</v>
      </c>
      <c r="L15" s="626">
        <v>79</v>
      </c>
      <c r="M15" s="626">
        <v>84</v>
      </c>
      <c r="N15" s="626">
        <v>87.1</v>
      </c>
      <c r="O15" s="626">
        <v>90</v>
      </c>
      <c r="P15" s="626">
        <v>89.1</v>
      </c>
      <c r="Q15" s="626">
        <v>88</v>
      </c>
      <c r="R15" s="626">
        <v>88</v>
      </c>
      <c r="S15" s="626">
        <v>88</v>
      </c>
      <c r="T15" s="626">
        <v>87.1</v>
      </c>
      <c r="U15" s="626">
        <v>87.1</v>
      </c>
      <c r="V15" s="626">
        <v>86</v>
      </c>
      <c r="W15" s="626">
        <v>82</v>
      </c>
      <c r="X15" s="626">
        <v>80.099999999999994</v>
      </c>
      <c r="Y15" s="626">
        <v>79</v>
      </c>
      <c r="Z15" s="626">
        <v>77</v>
      </c>
      <c r="AA15" s="603"/>
      <c r="AB15" s="602">
        <f t="shared" si="6"/>
        <v>41832</v>
      </c>
      <c r="AC15" s="606">
        <v>70</v>
      </c>
      <c r="AD15" s="606">
        <v>70</v>
      </c>
      <c r="AE15" s="606">
        <v>66.900000000000006</v>
      </c>
      <c r="AF15" s="606">
        <v>69.099999999999994</v>
      </c>
      <c r="AG15" s="606">
        <v>68</v>
      </c>
      <c r="AH15" s="606">
        <v>66.900000000000006</v>
      </c>
      <c r="AI15" s="606">
        <v>68</v>
      </c>
      <c r="AJ15" s="606">
        <v>69.099999999999994</v>
      </c>
      <c r="AK15" s="606">
        <v>73</v>
      </c>
      <c r="AL15" s="606">
        <v>78.099999999999994</v>
      </c>
      <c r="AM15" s="606">
        <v>82.9</v>
      </c>
      <c r="AN15" s="606">
        <v>84.9</v>
      </c>
      <c r="AO15" s="606" t="e">
        <v>#N/A</v>
      </c>
      <c r="AP15" s="606">
        <v>87.1</v>
      </c>
      <c r="AQ15" s="606">
        <v>88</v>
      </c>
      <c r="AR15" s="606">
        <v>88</v>
      </c>
      <c r="AS15" s="606">
        <v>87.1</v>
      </c>
      <c r="AT15" s="606">
        <v>87.1</v>
      </c>
      <c r="AU15" s="606">
        <v>87.1</v>
      </c>
      <c r="AV15" s="606">
        <v>84.9</v>
      </c>
      <c r="AW15" s="606">
        <v>84</v>
      </c>
      <c r="AX15" s="606">
        <v>82.9</v>
      </c>
      <c r="AY15" s="606">
        <v>82</v>
      </c>
      <c r="AZ15" s="606">
        <v>81</v>
      </c>
      <c r="BB15" s="602">
        <f t="shared" si="7"/>
        <v>41832</v>
      </c>
      <c r="BC15" s="606">
        <v>2169</v>
      </c>
      <c r="BD15" s="606">
        <v>2011</v>
      </c>
      <c r="BE15" s="606">
        <v>1901</v>
      </c>
      <c r="BF15" s="606">
        <v>1894</v>
      </c>
      <c r="BG15" s="606">
        <v>1909</v>
      </c>
      <c r="BH15" s="606">
        <v>1930</v>
      </c>
      <c r="BI15" s="606">
        <v>2018</v>
      </c>
      <c r="BJ15" s="606">
        <v>2116</v>
      </c>
      <c r="BK15" s="606">
        <v>2357</v>
      </c>
      <c r="BL15" s="606">
        <v>2637</v>
      </c>
      <c r="BM15" s="606">
        <v>2840</v>
      </c>
      <c r="BN15" s="606">
        <v>2958</v>
      </c>
      <c r="BO15" s="606">
        <v>3070</v>
      </c>
      <c r="BP15" s="606">
        <v>3159</v>
      </c>
      <c r="BQ15" s="606">
        <v>3155</v>
      </c>
      <c r="BR15" s="606">
        <v>3217</v>
      </c>
      <c r="BS15" s="606">
        <v>3153</v>
      </c>
      <c r="BT15" s="606">
        <v>3130</v>
      </c>
      <c r="BU15" s="606">
        <v>3047</v>
      </c>
      <c r="BV15" s="606">
        <v>2992</v>
      </c>
      <c r="BW15" s="606">
        <v>2909</v>
      </c>
      <c r="BX15" s="606">
        <v>2733</v>
      </c>
      <c r="BY15" s="606">
        <v>2502</v>
      </c>
      <c r="BZ15" s="606">
        <v>2296</v>
      </c>
      <c r="CA15" s="603"/>
      <c r="CB15" s="602">
        <f t="shared" si="8"/>
        <v>41832</v>
      </c>
      <c r="CC15" s="606">
        <v>1458.47607421875</v>
      </c>
      <c r="CD15" s="606">
        <v>1368.4739990234375</v>
      </c>
      <c r="CE15" s="606">
        <v>1301.9739990234375</v>
      </c>
      <c r="CF15" s="606">
        <v>1248.8739013671875</v>
      </c>
      <c r="CG15" s="606">
        <v>1234.8739013671875</v>
      </c>
      <c r="CH15" s="606">
        <v>1231.4749755859375</v>
      </c>
      <c r="CI15" s="606">
        <v>1249.6739501953125</v>
      </c>
      <c r="CJ15" s="606">
        <v>1344.375</v>
      </c>
      <c r="CK15" s="606">
        <v>1483.3790283203125</v>
      </c>
      <c r="CL15" s="606">
        <v>1632.5799560546875</v>
      </c>
      <c r="CM15" s="606">
        <v>1764.6810302734375</v>
      </c>
      <c r="CN15" s="606">
        <v>1869.180908203125</v>
      </c>
      <c r="CO15" s="606">
        <v>1987.98095703125</v>
      </c>
      <c r="CP15" s="606">
        <v>2033.781005859375</v>
      </c>
      <c r="CQ15" s="606">
        <v>2069.0810546875</v>
      </c>
      <c r="CR15" s="606">
        <v>2074.98095703125</v>
      </c>
      <c r="CS15" s="606">
        <v>2053.680908203125</v>
      </c>
      <c r="CT15" s="606">
        <v>2061.0810546875</v>
      </c>
      <c r="CU15" s="606">
        <v>2022.280029296875</v>
      </c>
      <c r="CV15" s="606">
        <v>1946.5810546875</v>
      </c>
      <c r="CW15" s="606">
        <v>1910.880126953125</v>
      </c>
      <c r="CX15" s="606">
        <v>1840.280029296875</v>
      </c>
      <c r="CY15" s="606">
        <v>1730.078857421875</v>
      </c>
      <c r="CZ15" s="606">
        <v>1621.8790283203125</v>
      </c>
    </row>
    <row r="16" spans="1:104">
      <c r="A16" s="601">
        <v>13</v>
      </c>
      <c r="B16" s="602">
        <f>'Input Data'!A16</f>
        <v>41833</v>
      </c>
      <c r="C16" s="626">
        <v>77</v>
      </c>
      <c r="D16" s="626">
        <v>75.900000000000006</v>
      </c>
      <c r="E16" s="626">
        <v>75.900000000000006</v>
      </c>
      <c r="F16" s="626">
        <v>75.900000000000006</v>
      </c>
      <c r="G16" s="626">
        <v>75.900000000000006</v>
      </c>
      <c r="H16" s="626">
        <v>75.900000000000006</v>
      </c>
      <c r="I16" s="626">
        <v>75.900000000000006</v>
      </c>
      <c r="J16" s="626">
        <v>75.900000000000006</v>
      </c>
      <c r="K16" s="626">
        <v>79</v>
      </c>
      <c r="L16" s="626">
        <v>82</v>
      </c>
      <c r="M16" s="626">
        <v>84.9</v>
      </c>
      <c r="N16" s="626">
        <v>88</v>
      </c>
      <c r="O16" s="626">
        <v>91</v>
      </c>
      <c r="P16" s="626">
        <v>93</v>
      </c>
      <c r="Q16" s="626">
        <v>93</v>
      </c>
      <c r="R16" s="626">
        <v>91.9</v>
      </c>
      <c r="S16" s="626">
        <v>91.9</v>
      </c>
      <c r="T16" s="626">
        <v>91</v>
      </c>
      <c r="U16" s="626" t="e">
        <v>#N/A</v>
      </c>
      <c r="V16" s="626">
        <v>86</v>
      </c>
      <c r="W16" s="626">
        <v>83.9</v>
      </c>
      <c r="X16" s="626">
        <v>77</v>
      </c>
      <c r="Y16" s="626">
        <v>77</v>
      </c>
      <c r="Z16" s="626">
        <v>75.900000000000006</v>
      </c>
      <c r="AA16" s="603"/>
      <c r="AB16" s="602">
        <f t="shared" si="6"/>
        <v>41833</v>
      </c>
      <c r="AC16" s="606">
        <v>81</v>
      </c>
      <c r="AD16" s="606">
        <v>80.099999999999994</v>
      </c>
      <c r="AE16" s="606">
        <v>79</v>
      </c>
      <c r="AF16" s="606">
        <v>78.099999999999994</v>
      </c>
      <c r="AG16" s="606">
        <v>78.099999999999994</v>
      </c>
      <c r="AH16" s="606">
        <v>77</v>
      </c>
      <c r="AI16" s="606">
        <v>79</v>
      </c>
      <c r="AJ16" s="606">
        <v>79</v>
      </c>
      <c r="AK16" s="606">
        <v>81</v>
      </c>
      <c r="AL16" s="606">
        <v>82.9</v>
      </c>
      <c r="AM16" s="606">
        <v>86</v>
      </c>
      <c r="AN16" s="606">
        <v>89.1</v>
      </c>
      <c r="AO16" s="606">
        <v>91</v>
      </c>
      <c r="AP16" s="606">
        <v>91.9</v>
      </c>
      <c r="AQ16" s="606">
        <v>93</v>
      </c>
      <c r="AR16" s="606">
        <v>93.9</v>
      </c>
      <c r="AS16" s="606">
        <v>93.9</v>
      </c>
      <c r="AT16" s="606">
        <v>93</v>
      </c>
      <c r="AU16" s="606">
        <v>86</v>
      </c>
      <c r="AV16" s="606">
        <v>82</v>
      </c>
      <c r="AW16" s="606">
        <v>81</v>
      </c>
      <c r="AX16" s="606">
        <v>81</v>
      </c>
      <c r="AY16" s="606">
        <v>75.666666666666671</v>
      </c>
      <c r="AZ16" s="606">
        <v>73.933333333333337</v>
      </c>
      <c r="BB16" s="602">
        <f t="shared" si="7"/>
        <v>41833</v>
      </c>
      <c r="BC16" s="606">
        <v>2197</v>
      </c>
      <c r="BD16" s="606">
        <v>2102</v>
      </c>
      <c r="BE16" s="606">
        <v>2067</v>
      </c>
      <c r="BF16" s="606">
        <v>2010</v>
      </c>
      <c r="BG16" s="606">
        <v>1970</v>
      </c>
      <c r="BH16" s="606">
        <v>1995</v>
      </c>
      <c r="BI16" s="606">
        <v>2036</v>
      </c>
      <c r="BJ16" s="606">
        <v>2180</v>
      </c>
      <c r="BK16" s="606">
        <v>2424</v>
      </c>
      <c r="BL16" s="606">
        <v>2692</v>
      </c>
      <c r="BM16" s="606">
        <v>2855</v>
      </c>
      <c r="BN16" s="606">
        <v>3080</v>
      </c>
      <c r="BO16" s="606">
        <v>3189</v>
      </c>
      <c r="BP16" s="606">
        <v>3303</v>
      </c>
      <c r="BQ16" s="606">
        <v>3348</v>
      </c>
      <c r="BR16" s="606">
        <v>3337</v>
      </c>
      <c r="BS16" s="606">
        <v>3403</v>
      </c>
      <c r="BT16" s="606">
        <v>3403</v>
      </c>
      <c r="BU16" s="606">
        <v>3295</v>
      </c>
      <c r="BV16" s="606">
        <v>3174</v>
      </c>
      <c r="BW16" s="606">
        <v>3100</v>
      </c>
      <c r="BX16" s="606">
        <v>2923</v>
      </c>
      <c r="BY16" s="606">
        <v>2741</v>
      </c>
      <c r="BZ16" s="606">
        <v>2556</v>
      </c>
      <c r="CA16" s="603"/>
      <c r="CB16" s="602">
        <f t="shared" si="8"/>
        <v>41833</v>
      </c>
      <c r="CC16" s="606">
        <v>1541.6790771484375</v>
      </c>
      <c r="CD16" s="606">
        <v>1481.279052734375</v>
      </c>
      <c r="CE16" s="606">
        <v>1427.3779296875</v>
      </c>
      <c r="CF16" s="606">
        <v>1370.777099609375</v>
      </c>
      <c r="CG16" s="606">
        <v>1363.9759521484375</v>
      </c>
      <c r="CH16" s="606">
        <v>1369.0760498046875</v>
      </c>
      <c r="CI16" s="606">
        <v>1367.855712890625</v>
      </c>
      <c r="CJ16" s="606">
        <v>1471.1781005859375</v>
      </c>
      <c r="CK16" s="606">
        <v>1614.47900390625</v>
      </c>
      <c r="CL16" s="606">
        <v>1780.9810791015625</v>
      </c>
      <c r="CM16" s="606">
        <v>1933.380126953125</v>
      </c>
      <c r="CN16" s="606">
        <v>2081.48095703125</v>
      </c>
      <c r="CO16" s="606">
        <v>2206.58203125</v>
      </c>
      <c r="CP16" s="606">
        <v>2272.881103515625</v>
      </c>
      <c r="CQ16" s="606">
        <v>2325.180908203125</v>
      </c>
      <c r="CR16" s="606">
        <v>2358.680908203125</v>
      </c>
      <c r="CS16" s="606">
        <v>2351.880859375</v>
      </c>
      <c r="CT16" s="606">
        <v>2292.98095703125</v>
      </c>
      <c r="CU16" s="606">
        <v>2214.380859375</v>
      </c>
      <c r="CV16" s="606">
        <v>2119.97998046875</v>
      </c>
      <c r="CW16" s="606">
        <v>2098.179931640625</v>
      </c>
      <c r="CX16" s="606">
        <v>1984.2789306640625</v>
      </c>
      <c r="CY16" s="606">
        <v>1796.3780517578125</v>
      </c>
      <c r="CZ16" s="606">
        <v>1657.279052734375</v>
      </c>
    </row>
    <row r="17" spans="1:104">
      <c r="A17" s="601">
        <v>14</v>
      </c>
      <c r="B17" s="602">
        <f>'Input Data'!A17</f>
        <v>41834</v>
      </c>
      <c r="C17" s="626">
        <v>74</v>
      </c>
      <c r="D17" s="626">
        <v>72</v>
      </c>
      <c r="E17" s="626">
        <v>71.099999999999994</v>
      </c>
      <c r="F17" s="626">
        <v>71.099999999999994</v>
      </c>
      <c r="G17" s="626">
        <v>72</v>
      </c>
      <c r="H17" s="626">
        <v>72</v>
      </c>
      <c r="I17" s="626">
        <v>72</v>
      </c>
      <c r="J17" s="626">
        <v>72</v>
      </c>
      <c r="K17" s="626">
        <v>73.900000000000006</v>
      </c>
      <c r="L17" s="626">
        <v>73.900000000000006</v>
      </c>
      <c r="M17" s="626">
        <v>75.45</v>
      </c>
      <c r="N17" s="626">
        <v>78.099999999999994</v>
      </c>
      <c r="O17" s="626">
        <v>75.900000000000006</v>
      </c>
      <c r="P17" s="626">
        <v>81</v>
      </c>
      <c r="Q17" s="626">
        <v>82.9</v>
      </c>
      <c r="R17" s="626">
        <v>84.2</v>
      </c>
      <c r="S17" s="626">
        <v>84.9</v>
      </c>
      <c r="T17" s="626">
        <v>84.9</v>
      </c>
      <c r="U17" s="626">
        <v>82.9</v>
      </c>
      <c r="V17" s="626">
        <v>82</v>
      </c>
      <c r="W17" s="626">
        <v>79</v>
      </c>
      <c r="X17" s="626">
        <v>73.900000000000006</v>
      </c>
      <c r="Y17" s="626">
        <v>72</v>
      </c>
      <c r="Z17" s="626">
        <v>70</v>
      </c>
      <c r="AA17" s="603"/>
      <c r="AB17" s="602">
        <f t="shared" si="6"/>
        <v>41834</v>
      </c>
      <c r="AC17" s="606">
        <v>73</v>
      </c>
      <c r="AD17" s="606">
        <v>73</v>
      </c>
      <c r="AE17" s="606">
        <v>73.900000000000006</v>
      </c>
      <c r="AF17" s="606">
        <v>73.900000000000006</v>
      </c>
      <c r="AG17" s="606">
        <v>73.900000000000006</v>
      </c>
      <c r="AH17" s="606">
        <v>73</v>
      </c>
      <c r="AI17" s="606">
        <v>72</v>
      </c>
      <c r="AJ17" s="606">
        <v>73</v>
      </c>
      <c r="AK17" s="606">
        <v>73.2</v>
      </c>
      <c r="AL17" s="606">
        <v>73.675000000000011</v>
      </c>
      <c r="AM17" s="606">
        <v>74.45</v>
      </c>
      <c r="AN17" s="606">
        <v>78.099999999999994</v>
      </c>
      <c r="AO17" s="606">
        <v>79.066666666666663</v>
      </c>
      <c r="AP17" s="606">
        <v>81</v>
      </c>
      <c r="AQ17" s="606">
        <v>82.4</v>
      </c>
      <c r="AR17" s="606">
        <v>84.2</v>
      </c>
      <c r="AS17" s="606">
        <v>84</v>
      </c>
      <c r="AT17" s="606">
        <v>84.2</v>
      </c>
      <c r="AU17" s="606">
        <v>82.9</v>
      </c>
      <c r="AV17" s="606">
        <v>82.2</v>
      </c>
      <c r="AW17" s="606">
        <v>74.5</v>
      </c>
      <c r="AX17" s="606">
        <v>69.099999999999994</v>
      </c>
      <c r="AY17" s="606">
        <v>69.099999999999994</v>
      </c>
      <c r="AZ17" s="606">
        <v>70</v>
      </c>
      <c r="BB17" s="602">
        <f t="shared" si="7"/>
        <v>41834</v>
      </c>
      <c r="BC17" s="606">
        <v>2406</v>
      </c>
      <c r="BD17" s="606">
        <v>2288</v>
      </c>
      <c r="BE17" s="606">
        <v>2234</v>
      </c>
      <c r="BF17" s="606">
        <v>2216</v>
      </c>
      <c r="BG17" s="606">
        <v>2268</v>
      </c>
      <c r="BH17" s="606">
        <v>2432</v>
      </c>
      <c r="BI17" s="606">
        <v>2532</v>
      </c>
      <c r="BJ17" s="606">
        <v>2644</v>
      </c>
      <c r="BK17" s="606">
        <v>2802</v>
      </c>
      <c r="BL17" s="606">
        <v>2933</v>
      </c>
      <c r="BM17" s="606">
        <v>3032</v>
      </c>
      <c r="BN17" s="606">
        <v>3118</v>
      </c>
      <c r="BO17" s="606">
        <v>3205</v>
      </c>
      <c r="BP17" s="606">
        <v>3287</v>
      </c>
      <c r="BQ17" s="606">
        <v>3356</v>
      </c>
      <c r="BR17" s="606">
        <v>3433</v>
      </c>
      <c r="BS17" s="606">
        <v>3430</v>
      </c>
      <c r="BT17" s="606">
        <v>3324</v>
      </c>
      <c r="BU17" s="606">
        <v>3270</v>
      </c>
      <c r="BV17" s="606">
        <v>3130</v>
      </c>
      <c r="BW17" s="606">
        <v>3058</v>
      </c>
      <c r="BX17" s="606">
        <v>2870</v>
      </c>
      <c r="BY17" s="606">
        <v>2609</v>
      </c>
      <c r="BZ17" s="606">
        <v>2436</v>
      </c>
      <c r="CA17" s="603"/>
      <c r="CB17" s="602">
        <f t="shared" si="8"/>
        <v>41834</v>
      </c>
      <c r="CC17" s="606">
        <v>1559.47705078125</v>
      </c>
      <c r="CD17" s="606">
        <v>1488.9156494140625</v>
      </c>
      <c r="CE17" s="606">
        <v>1453.176025390625</v>
      </c>
      <c r="CF17" s="606">
        <v>1437.573974609375</v>
      </c>
      <c r="CG17" s="606">
        <v>1474.6739501953125</v>
      </c>
      <c r="CH17" s="606">
        <v>1550.97509765625</v>
      </c>
      <c r="CI17" s="606">
        <v>1607.375</v>
      </c>
      <c r="CJ17" s="606">
        <v>1664.9739990234375</v>
      </c>
      <c r="CK17" s="606">
        <v>1697.47509765625</v>
      </c>
      <c r="CL17" s="606">
        <v>1757.1739501953125</v>
      </c>
      <c r="CM17" s="606">
        <v>1812.775146484375</v>
      </c>
      <c r="CN17" s="606">
        <v>1920.8790283203125</v>
      </c>
      <c r="CO17" s="606">
        <v>2010.0799560546875</v>
      </c>
      <c r="CP17" s="606">
        <v>2053.3798828125</v>
      </c>
      <c r="CQ17" s="606">
        <v>2107.881103515625</v>
      </c>
      <c r="CR17" s="606">
        <v>2154.880859375</v>
      </c>
      <c r="CS17" s="606">
        <v>2156.179931640625</v>
      </c>
      <c r="CT17" s="606">
        <v>2116.98095703125</v>
      </c>
      <c r="CU17" s="606">
        <v>2052.380126953125</v>
      </c>
      <c r="CV17" s="606">
        <v>1944.779052734375</v>
      </c>
      <c r="CW17" s="606">
        <v>1821.676025390625</v>
      </c>
      <c r="CX17" s="606">
        <v>1718.7750244140625</v>
      </c>
      <c r="CY17" s="606">
        <v>1598.875</v>
      </c>
      <c r="CZ17" s="606">
        <v>1495.2730712890625</v>
      </c>
    </row>
    <row r="18" spans="1:104">
      <c r="A18" s="601">
        <v>15</v>
      </c>
      <c r="B18" s="602">
        <f>'Input Data'!A18</f>
        <v>41835</v>
      </c>
      <c r="C18" s="626">
        <v>68</v>
      </c>
      <c r="D18" s="626">
        <v>69.099999999999994</v>
      </c>
      <c r="E18" s="626">
        <v>68</v>
      </c>
      <c r="F18" s="626">
        <v>68</v>
      </c>
      <c r="G18" s="626">
        <v>68</v>
      </c>
      <c r="H18" s="626">
        <v>68</v>
      </c>
      <c r="I18" s="626">
        <v>68</v>
      </c>
      <c r="J18" s="626">
        <v>68</v>
      </c>
      <c r="K18" s="626">
        <v>69.099999999999994</v>
      </c>
      <c r="L18" s="626">
        <v>72</v>
      </c>
      <c r="M18" s="626">
        <v>73</v>
      </c>
      <c r="N18" s="626">
        <v>75</v>
      </c>
      <c r="O18" s="626">
        <v>75.900000000000006</v>
      </c>
      <c r="P18" s="626">
        <v>77</v>
      </c>
      <c r="Q18" s="626">
        <v>77</v>
      </c>
      <c r="R18" s="626">
        <v>77</v>
      </c>
      <c r="S18" s="626">
        <v>77</v>
      </c>
      <c r="T18" s="626">
        <v>77</v>
      </c>
      <c r="U18" s="626">
        <v>75</v>
      </c>
      <c r="V18" s="626">
        <v>72</v>
      </c>
      <c r="W18" s="626">
        <v>66.900000000000006</v>
      </c>
      <c r="X18" s="626">
        <v>64</v>
      </c>
      <c r="Y18" s="626">
        <v>64</v>
      </c>
      <c r="Z18" s="626">
        <v>62.1</v>
      </c>
      <c r="AA18" s="603"/>
      <c r="AB18" s="602">
        <f t="shared" si="6"/>
        <v>41835</v>
      </c>
      <c r="AC18" s="606">
        <v>70</v>
      </c>
      <c r="AD18" s="606">
        <v>70</v>
      </c>
      <c r="AE18" s="606">
        <v>69.900000000000006</v>
      </c>
      <c r="AF18" s="606">
        <v>70</v>
      </c>
      <c r="AG18" s="606">
        <v>70</v>
      </c>
      <c r="AH18" s="606">
        <v>69.099999999999994</v>
      </c>
      <c r="AI18" s="606">
        <v>66.900000000000006</v>
      </c>
      <c r="AJ18" s="606">
        <v>66.900000000000006</v>
      </c>
      <c r="AK18" s="606">
        <v>69.099999999999994</v>
      </c>
      <c r="AL18" s="606">
        <v>71.099999999999994</v>
      </c>
      <c r="AM18" s="606">
        <v>71.099999999999994</v>
      </c>
      <c r="AN18" s="606">
        <v>73</v>
      </c>
      <c r="AO18" s="606">
        <v>73.900000000000006</v>
      </c>
      <c r="AP18" s="606">
        <v>75.900000000000006</v>
      </c>
      <c r="AQ18" s="606">
        <v>75.900000000000006</v>
      </c>
      <c r="AR18" s="606">
        <v>77</v>
      </c>
      <c r="AS18" s="606">
        <v>75.900000000000006</v>
      </c>
      <c r="AT18" s="606">
        <v>75</v>
      </c>
      <c r="AU18" s="606">
        <v>72</v>
      </c>
      <c r="AV18" s="606">
        <v>73</v>
      </c>
      <c r="AW18" s="606">
        <v>69.099999999999994</v>
      </c>
      <c r="AX18" s="606">
        <v>66.900000000000006</v>
      </c>
      <c r="AY18" s="606">
        <v>66</v>
      </c>
      <c r="AZ18" s="606">
        <v>64.400000000000006</v>
      </c>
      <c r="BB18" s="602">
        <f t="shared" si="7"/>
        <v>41835</v>
      </c>
      <c r="BC18" s="606">
        <v>2256</v>
      </c>
      <c r="BD18" s="606">
        <v>2146</v>
      </c>
      <c r="BE18" s="606">
        <v>2095</v>
      </c>
      <c r="BF18" s="606">
        <v>2068</v>
      </c>
      <c r="BG18" s="606">
        <v>2102</v>
      </c>
      <c r="BH18" s="606">
        <v>2266</v>
      </c>
      <c r="BI18" s="606">
        <v>2374</v>
      </c>
      <c r="BJ18" s="606">
        <v>2538</v>
      </c>
      <c r="BK18" s="606">
        <v>2634</v>
      </c>
      <c r="BL18" s="606">
        <v>2716</v>
      </c>
      <c r="BM18" s="606">
        <v>2890</v>
      </c>
      <c r="BN18" s="606">
        <v>2895</v>
      </c>
      <c r="BO18" s="606">
        <v>2959</v>
      </c>
      <c r="BP18" s="606">
        <v>2981</v>
      </c>
      <c r="BQ18" s="606">
        <v>3056</v>
      </c>
      <c r="BR18" s="606">
        <v>3063</v>
      </c>
      <c r="BS18" s="606">
        <v>3012</v>
      </c>
      <c r="BT18" s="606">
        <v>2958</v>
      </c>
      <c r="BU18" s="606">
        <v>2853</v>
      </c>
      <c r="BV18" s="606">
        <v>2686</v>
      </c>
      <c r="BW18" s="606">
        <v>2608</v>
      </c>
      <c r="BX18" s="606">
        <v>2476</v>
      </c>
      <c r="BY18" s="606">
        <v>2237</v>
      </c>
      <c r="BZ18" s="606">
        <v>2062</v>
      </c>
      <c r="CA18" s="603"/>
      <c r="CB18" s="602">
        <f t="shared" si="8"/>
        <v>41835</v>
      </c>
      <c r="CC18" s="606">
        <v>1420.6739501953125</v>
      </c>
      <c r="CD18" s="606">
        <v>1363.373046875</v>
      </c>
      <c r="CE18" s="606">
        <v>1328.6729736328125</v>
      </c>
      <c r="CF18" s="606">
        <v>1307.4730224609375</v>
      </c>
      <c r="CG18" s="606">
        <v>1348.77294921875</v>
      </c>
      <c r="CH18" s="606">
        <v>1396.472900390625</v>
      </c>
      <c r="CI18" s="606">
        <v>1446.97412109375</v>
      </c>
      <c r="CJ18" s="606">
        <v>1495.3740234375</v>
      </c>
      <c r="CK18" s="606">
        <v>1588.574951171875</v>
      </c>
      <c r="CL18" s="606">
        <v>1687.4759521484375</v>
      </c>
      <c r="CM18" s="606">
        <v>1742.177978515625</v>
      </c>
      <c r="CN18" s="606">
        <v>1777.3790283203125</v>
      </c>
      <c r="CO18" s="606">
        <v>1802.3800048828125</v>
      </c>
      <c r="CP18" s="606">
        <v>1825.880126953125</v>
      </c>
      <c r="CQ18" s="606">
        <v>1855.779052734375</v>
      </c>
      <c r="CR18" s="606">
        <v>1863.8800048828125</v>
      </c>
      <c r="CS18" s="606">
        <v>1834.8780517578125</v>
      </c>
      <c r="CT18" s="606">
        <v>1781.3748779296875</v>
      </c>
      <c r="CU18" s="606">
        <v>1703.0760498046875</v>
      </c>
      <c r="CV18" s="606">
        <v>1618.175048828125</v>
      </c>
      <c r="CW18" s="606">
        <v>1583.3740234375</v>
      </c>
      <c r="CX18" s="606">
        <v>1515.072998046875</v>
      </c>
      <c r="CY18" s="606">
        <v>1401.27294921875</v>
      </c>
      <c r="CZ18" s="606">
        <v>1298.0699462890625</v>
      </c>
    </row>
    <row r="19" spans="1:104">
      <c r="A19" s="601">
        <v>16</v>
      </c>
      <c r="B19" s="602">
        <f>'Input Data'!A19</f>
        <v>41836</v>
      </c>
      <c r="C19" s="626">
        <v>60.1</v>
      </c>
      <c r="D19" s="626">
        <v>57.9</v>
      </c>
      <c r="E19" s="626">
        <v>59</v>
      </c>
      <c r="F19" s="626">
        <v>55.9</v>
      </c>
      <c r="G19" s="626">
        <v>54</v>
      </c>
      <c r="H19" s="626">
        <v>54</v>
      </c>
      <c r="I19" s="626">
        <v>55</v>
      </c>
      <c r="J19" s="626">
        <v>59</v>
      </c>
      <c r="K19" s="626">
        <v>63</v>
      </c>
      <c r="L19" s="626">
        <v>68</v>
      </c>
      <c r="M19" s="626">
        <v>70</v>
      </c>
      <c r="N19" s="626">
        <v>70</v>
      </c>
      <c r="O19" s="626">
        <v>73.900000000000006</v>
      </c>
      <c r="P19" s="626">
        <v>73</v>
      </c>
      <c r="Q19" s="626">
        <v>72</v>
      </c>
      <c r="R19" s="626">
        <v>75</v>
      </c>
      <c r="S19" s="626">
        <v>73.900000000000006</v>
      </c>
      <c r="T19" s="626" t="e">
        <v>#N/A</v>
      </c>
      <c r="U19" s="626">
        <v>73</v>
      </c>
      <c r="V19" s="626">
        <v>72</v>
      </c>
      <c r="W19" s="626">
        <v>69.099999999999994</v>
      </c>
      <c r="X19" s="626">
        <v>68</v>
      </c>
      <c r="Y19" s="626">
        <v>66</v>
      </c>
      <c r="Z19" s="626">
        <v>64</v>
      </c>
      <c r="AA19" s="603"/>
      <c r="AB19" s="602">
        <f t="shared" si="6"/>
        <v>41836</v>
      </c>
      <c r="AC19" s="606">
        <v>62.1</v>
      </c>
      <c r="AD19" s="606">
        <v>62.1</v>
      </c>
      <c r="AE19" s="606">
        <v>60.1</v>
      </c>
      <c r="AF19" s="606">
        <v>57.9</v>
      </c>
      <c r="AG19" s="606">
        <v>59</v>
      </c>
      <c r="AH19" s="606">
        <v>57</v>
      </c>
      <c r="AI19" s="606">
        <v>57.9</v>
      </c>
      <c r="AJ19" s="606">
        <v>62.1</v>
      </c>
      <c r="AK19" s="606">
        <v>64.900000000000006</v>
      </c>
      <c r="AL19" s="606">
        <v>68</v>
      </c>
      <c r="AM19" s="606">
        <v>70</v>
      </c>
      <c r="AN19" s="606">
        <v>69.099999999999994</v>
      </c>
      <c r="AO19" s="606">
        <v>72</v>
      </c>
      <c r="AP19" s="606">
        <v>75</v>
      </c>
      <c r="AQ19" s="606">
        <v>73</v>
      </c>
      <c r="AR19" s="606">
        <v>75</v>
      </c>
      <c r="AS19" s="606">
        <v>75</v>
      </c>
      <c r="AT19" s="606">
        <v>73.900000000000006</v>
      </c>
      <c r="AU19" s="606">
        <v>75.900000000000006</v>
      </c>
      <c r="AV19" s="606">
        <v>73</v>
      </c>
      <c r="AW19" s="606">
        <v>72</v>
      </c>
      <c r="AX19" s="606">
        <v>70</v>
      </c>
      <c r="AY19" s="606">
        <v>66.900000000000006</v>
      </c>
      <c r="AZ19" s="606">
        <v>66</v>
      </c>
      <c r="BB19" s="602">
        <f t="shared" si="7"/>
        <v>41836</v>
      </c>
      <c r="BC19" s="606">
        <v>1966</v>
      </c>
      <c r="BD19" s="606">
        <v>1862</v>
      </c>
      <c r="BE19" s="606">
        <v>1814</v>
      </c>
      <c r="BF19" s="606">
        <v>1752</v>
      </c>
      <c r="BG19" s="606">
        <v>1850</v>
      </c>
      <c r="BH19" s="606">
        <v>1945</v>
      </c>
      <c r="BI19" s="606">
        <v>2085</v>
      </c>
      <c r="BJ19" s="606">
        <v>2237</v>
      </c>
      <c r="BK19" s="606">
        <v>2359</v>
      </c>
      <c r="BL19" s="606">
        <v>2479</v>
      </c>
      <c r="BM19" s="606">
        <v>2547</v>
      </c>
      <c r="BN19" s="606">
        <v>2663</v>
      </c>
      <c r="BO19" s="606">
        <v>2692</v>
      </c>
      <c r="BP19" s="606">
        <v>2744</v>
      </c>
      <c r="BQ19" s="606">
        <v>2778</v>
      </c>
      <c r="BR19" s="606">
        <v>2776</v>
      </c>
      <c r="BS19" s="606">
        <v>2789</v>
      </c>
      <c r="BT19" s="606">
        <v>2744</v>
      </c>
      <c r="BU19" s="606">
        <v>2693</v>
      </c>
      <c r="BV19" s="606">
        <v>2625</v>
      </c>
      <c r="BW19" s="606">
        <v>2588</v>
      </c>
      <c r="BX19" s="606">
        <v>2466</v>
      </c>
      <c r="BY19" s="606">
        <v>2275</v>
      </c>
      <c r="BZ19" s="606">
        <v>1995</v>
      </c>
      <c r="CA19" s="603"/>
      <c r="CB19" s="602">
        <f t="shared" si="8"/>
        <v>41836</v>
      </c>
      <c r="CC19" s="606">
        <v>1209.6710205078125</v>
      </c>
      <c r="CD19" s="606">
        <v>1137.0699462890625</v>
      </c>
      <c r="CE19" s="606">
        <v>1103.7679443359375</v>
      </c>
      <c r="CF19" s="606">
        <v>1089.6689453125</v>
      </c>
      <c r="CG19" s="606">
        <v>1141.66796875</v>
      </c>
      <c r="CH19" s="606">
        <v>1201.8680419921875</v>
      </c>
      <c r="CI19" s="606">
        <v>1277.264892578125</v>
      </c>
      <c r="CJ19" s="606">
        <v>1347.2579345703125</v>
      </c>
      <c r="CK19" s="606">
        <v>1421.573974609375</v>
      </c>
      <c r="CL19" s="606">
        <v>1498.675048828125</v>
      </c>
      <c r="CM19" s="606">
        <v>1554.375</v>
      </c>
      <c r="CN19" s="606">
        <v>1599.677978515625</v>
      </c>
      <c r="CO19" s="606">
        <v>1617.8790283203125</v>
      </c>
      <c r="CP19" s="606">
        <v>1650.2569580078125</v>
      </c>
      <c r="CQ19" s="606">
        <v>1671.781005859375</v>
      </c>
      <c r="CR19" s="606">
        <v>1670.0789794921875</v>
      </c>
      <c r="CS19" s="606">
        <v>1661.2801513671875</v>
      </c>
      <c r="CT19" s="606">
        <v>1643.3790283203125</v>
      </c>
      <c r="CU19" s="606">
        <v>1615.5770263671875</v>
      </c>
      <c r="CV19" s="606">
        <v>1572.574951171875</v>
      </c>
      <c r="CW19" s="606">
        <v>1569.97509765625</v>
      </c>
      <c r="CX19" s="606">
        <v>1500.97314453125</v>
      </c>
      <c r="CY19" s="606">
        <v>1381.472900390625</v>
      </c>
      <c r="CZ19" s="606">
        <v>1282.77294921875</v>
      </c>
    </row>
    <row r="20" spans="1:104">
      <c r="A20" s="601">
        <v>17</v>
      </c>
      <c r="B20" s="602">
        <f>'Input Data'!A20</f>
        <v>41837</v>
      </c>
      <c r="C20" s="626">
        <v>62.1</v>
      </c>
      <c r="D20" s="626">
        <v>60.1</v>
      </c>
      <c r="E20" s="626">
        <v>57.9</v>
      </c>
      <c r="F20" s="626">
        <v>57.9</v>
      </c>
      <c r="G20" s="626">
        <v>57</v>
      </c>
      <c r="H20" s="626">
        <v>55</v>
      </c>
      <c r="I20" s="626">
        <v>55.9</v>
      </c>
      <c r="J20" s="626">
        <v>62.1</v>
      </c>
      <c r="K20" s="626">
        <v>66</v>
      </c>
      <c r="L20" s="626">
        <v>72</v>
      </c>
      <c r="M20" s="626">
        <v>73.900000000000006</v>
      </c>
      <c r="N20" s="626">
        <v>73</v>
      </c>
      <c r="O20" s="626">
        <v>77</v>
      </c>
      <c r="P20" s="626">
        <v>75</v>
      </c>
      <c r="Q20" s="626">
        <v>75.900000000000006</v>
      </c>
      <c r="R20" s="626">
        <v>78.099999999999994</v>
      </c>
      <c r="S20" s="626">
        <v>80.099999999999994</v>
      </c>
      <c r="T20" s="626">
        <v>77</v>
      </c>
      <c r="U20" s="626">
        <v>78.099999999999994</v>
      </c>
      <c r="V20" s="626">
        <v>77</v>
      </c>
      <c r="W20" s="626">
        <v>73</v>
      </c>
      <c r="X20" s="626">
        <v>69.099999999999994</v>
      </c>
      <c r="Y20" s="626">
        <v>64.900000000000006</v>
      </c>
      <c r="Z20" s="626">
        <v>64</v>
      </c>
      <c r="AA20" s="603"/>
      <c r="AB20" s="602">
        <f t="shared" si="6"/>
        <v>41837</v>
      </c>
      <c r="AC20" s="606">
        <v>63</v>
      </c>
      <c r="AD20" s="606">
        <v>62.1</v>
      </c>
      <c r="AE20" s="606">
        <v>60.1</v>
      </c>
      <c r="AF20" s="606">
        <v>60.1</v>
      </c>
      <c r="AG20" s="606">
        <v>57.9</v>
      </c>
      <c r="AH20" s="606">
        <v>57</v>
      </c>
      <c r="AI20" s="606">
        <v>59</v>
      </c>
      <c r="AJ20" s="606">
        <v>60.1</v>
      </c>
      <c r="AK20" s="606">
        <v>64.900000000000006</v>
      </c>
      <c r="AL20" s="606">
        <v>69.099999999999994</v>
      </c>
      <c r="AM20" s="606">
        <v>72</v>
      </c>
      <c r="AN20" s="606">
        <v>75</v>
      </c>
      <c r="AO20" s="606">
        <v>75.900000000000006</v>
      </c>
      <c r="AP20" s="606">
        <v>75.900000000000006</v>
      </c>
      <c r="AQ20" s="606">
        <v>75.900000000000006</v>
      </c>
      <c r="AR20" s="606">
        <v>77</v>
      </c>
      <c r="AS20" s="606">
        <v>78.099999999999994</v>
      </c>
      <c r="AT20" s="606">
        <v>79</v>
      </c>
      <c r="AU20" s="606">
        <v>78.099999999999994</v>
      </c>
      <c r="AV20" s="606">
        <v>77</v>
      </c>
      <c r="AW20" s="606">
        <v>73.900000000000006</v>
      </c>
      <c r="AX20" s="606">
        <v>72</v>
      </c>
      <c r="AY20" s="606">
        <v>70</v>
      </c>
      <c r="AZ20" s="606">
        <v>68</v>
      </c>
      <c r="BB20" s="602">
        <f t="shared" si="7"/>
        <v>41837</v>
      </c>
      <c r="BC20" s="606">
        <v>1905</v>
      </c>
      <c r="BD20" s="606">
        <v>1873</v>
      </c>
      <c r="BE20" s="606">
        <v>1792</v>
      </c>
      <c r="BF20" s="606">
        <v>1820</v>
      </c>
      <c r="BG20" s="606">
        <v>1864</v>
      </c>
      <c r="BH20" s="606">
        <v>1998</v>
      </c>
      <c r="BI20" s="606">
        <v>2096</v>
      </c>
      <c r="BJ20" s="606">
        <v>2256</v>
      </c>
      <c r="BK20" s="606">
        <v>2389</v>
      </c>
      <c r="BL20" s="606">
        <v>2527</v>
      </c>
      <c r="BM20" s="606">
        <v>2648</v>
      </c>
      <c r="BN20" s="606">
        <v>2732</v>
      </c>
      <c r="BO20" s="606">
        <v>2768</v>
      </c>
      <c r="BP20" s="606">
        <v>2820</v>
      </c>
      <c r="BQ20" s="606">
        <v>2875</v>
      </c>
      <c r="BR20" s="606">
        <v>2888</v>
      </c>
      <c r="BS20" s="606">
        <v>2901</v>
      </c>
      <c r="BT20" s="606">
        <v>2831</v>
      </c>
      <c r="BU20" s="606">
        <v>2760</v>
      </c>
      <c r="BV20" s="606">
        <v>2677</v>
      </c>
      <c r="BW20" s="606">
        <v>2629</v>
      </c>
      <c r="BX20" s="606">
        <v>2488</v>
      </c>
      <c r="BY20" s="606">
        <v>2295</v>
      </c>
      <c r="BZ20" s="606">
        <v>2078</v>
      </c>
      <c r="CA20" s="603"/>
      <c r="CB20" s="602">
        <f t="shared" si="8"/>
        <v>41837</v>
      </c>
      <c r="CC20" s="606">
        <v>1224.1710205078125</v>
      </c>
      <c r="CD20" s="606">
        <v>1172.27001953125</v>
      </c>
      <c r="CE20" s="606">
        <v>1139.47021484375</v>
      </c>
      <c r="CF20" s="606">
        <v>1128.1827392578125</v>
      </c>
      <c r="CG20" s="606">
        <v>1145.068115234375</v>
      </c>
      <c r="CH20" s="606">
        <v>1205.1690673828125</v>
      </c>
      <c r="CI20" s="606">
        <v>1253.969970703125</v>
      </c>
      <c r="CJ20" s="606">
        <v>1330.27294921875</v>
      </c>
      <c r="CK20" s="606">
        <v>1420.078857421875</v>
      </c>
      <c r="CL20" s="606">
        <v>1505.97998046875</v>
      </c>
      <c r="CM20" s="606">
        <v>1568.779052734375</v>
      </c>
      <c r="CN20" s="606">
        <v>1621.2801513671875</v>
      </c>
      <c r="CO20" s="606">
        <v>1677.779052734375</v>
      </c>
      <c r="CP20" s="606">
        <v>1734.8800048828125</v>
      </c>
      <c r="CQ20" s="606">
        <v>1777.97998046875</v>
      </c>
      <c r="CR20" s="606">
        <v>1806.779052734375</v>
      </c>
      <c r="CS20" s="606">
        <v>1815.679931640625</v>
      </c>
      <c r="CT20" s="606">
        <v>1796.4791259765625</v>
      </c>
      <c r="CU20" s="606">
        <v>1749.8790283203125</v>
      </c>
      <c r="CV20" s="606">
        <v>1676.97802734375</v>
      </c>
      <c r="CW20" s="606">
        <v>1651.077880859375</v>
      </c>
      <c r="CX20" s="606">
        <v>1569.2779541015625</v>
      </c>
      <c r="CY20" s="606">
        <v>1445.0771484375</v>
      </c>
      <c r="CZ20" s="606">
        <v>1299.2769775390625</v>
      </c>
    </row>
    <row r="21" spans="1:104">
      <c r="A21" s="601">
        <v>18</v>
      </c>
      <c r="B21" s="602">
        <f>'Input Data'!A21</f>
        <v>41838</v>
      </c>
      <c r="C21" s="626">
        <v>63</v>
      </c>
      <c r="D21" s="626">
        <v>63</v>
      </c>
      <c r="E21" s="626">
        <v>62.1</v>
      </c>
      <c r="F21" s="626">
        <v>63</v>
      </c>
      <c r="G21" s="626">
        <v>64.900000000000006</v>
      </c>
      <c r="H21" s="626">
        <v>64</v>
      </c>
      <c r="I21" s="626">
        <v>62.1</v>
      </c>
      <c r="J21" s="626">
        <v>64</v>
      </c>
      <c r="K21" s="626">
        <v>66</v>
      </c>
      <c r="L21" s="626">
        <v>70</v>
      </c>
      <c r="M21" s="626">
        <v>69.099999999999994</v>
      </c>
      <c r="N21" s="626">
        <v>71.099999999999994</v>
      </c>
      <c r="O21" s="626">
        <v>72</v>
      </c>
      <c r="P21" s="626">
        <v>69.099999999999994</v>
      </c>
      <c r="Q21" s="626">
        <v>66.900000000000006</v>
      </c>
      <c r="R21" s="626">
        <v>65.266666666666666</v>
      </c>
      <c r="S21" s="626">
        <v>64.900000000000006</v>
      </c>
      <c r="T21" s="626">
        <v>65.45</v>
      </c>
      <c r="U21" s="626">
        <v>66</v>
      </c>
      <c r="V21" s="626">
        <v>64.900000000000006</v>
      </c>
      <c r="W21" s="626">
        <v>64.900000000000006</v>
      </c>
      <c r="X21" s="626">
        <v>64.600000000000009</v>
      </c>
      <c r="Y21" s="626">
        <v>64</v>
      </c>
      <c r="Z21" s="626">
        <v>64</v>
      </c>
      <c r="AA21" s="603"/>
      <c r="AB21" s="602">
        <f t="shared" si="6"/>
        <v>41838</v>
      </c>
      <c r="AC21" s="606">
        <v>64.900000000000006</v>
      </c>
      <c r="AD21" s="606">
        <v>64.400000000000006</v>
      </c>
      <c r="AE21" s="606">
        <v>64</v>
      </c>
      <c r="AF21" s="606">
        <v>66</v>
      </c>
      <c r="AG21" s="606">
        <v>63</v>
      </c>
      <c r="AH21" s="606">
        <v>62.1</v>
      </c>
      <c r="AI21" s="606">
        <v>62.1</v>
      </c>
      <c r="AJ21" s="606">
        <v>62.1</v>
      </c>
      <c r="AK21" s="606">
        <v>64.900000000000006</v>
      </c>
      <c r="AL21" s="606">
        <v>66.900000000000006</v>
      </c>
      <c r="AM21" s="606">
        <v>71.099999999999994</v>
      </c>
      <c r="AN21" s="606">
        <v>72</v>
      </c>
      <c r="AO21" s="606">
        <v>71.099999999999994</v>
      </c>
      <c r="AP21" s="606">
        <v>69.099999999999994</v>
      </c>
      <c r="AQ21" s="606">
        <v>68</v>
      </c>
      <c r="AR21" s="606">
        <v>66</v>
      </c>
      <c r="AS21" s="606">
        <v>64.900000000000006</v>
      </c>
      <c r="AT21" s="606">
        <v>66</v>
      </c>
      <c r="AU21" s="606">
        <v>65.45</v>
      </c>
      <c r="AV21" s="606">
        <v>66</v>
      </c>
      <c r="AW21" s="606">
        <v>66</v>
      </c>
      <c r="AX21" s="606">
        <v>64.650000000000006</v>
      </c>
      <c r="AY21" s="606">
        <v>64.900000000000006</v>
      </c>
      <c r="AZ21" s="606">
        <v>64.900000000000006</v>
      </c>
      <c r="BB21" s="602">
        <f t="shared" si="7"/>
        <v>41838</v>
      </c>
      <c r="BC21" s="606">
        <v>1983</v>
      </c>
      <c r="BD21" s="606">
        <v>1842</v>
      </c>
      <c r="BE21" s="606">
        <v>1856</v>
      </c>
      <c r="BF21" s="606">
        <v>1846</v>
      </c>
      <c r="BG21" s="606">
        <v>1875</v>
      </c>
      <c r="BH21" s="606">
        <v>2002</v>
      </c>
      <c r="BI21" s="606">
        <v>2123</v>
      </c>
      <c r="BJ21" s="606">
        <v>2263</v>
      </c>
      <c r="BK21" s="606">
        <v>2339</v>
      </c>
      <c r="BL21" s="606">
        <v>2462</v>
      </c>
      <c r="BM21" s="606">
        <v>2488</v>
      </c>
      <c r="BN21" s="606">
        <v>2535</v>
      </c>
      <c r="BO21" s="606">
        <v>2547</v>
      </c>
      <c r="BP21" s="606">
        <v>2537</v>
      </c>
      <c r="BQ21" s="606">
        <v>2492</v>
      </c>
      <c r="BR21" s="606">
        <v>2451</v>
      </c>
      <c r="BS21" s="606">
        <v>2404</v>
      </c>
      <c r="BT21" s="606">
        <v>2345</v>
      </c>
      <c r="BU21" s="606">
        <v>2339</v>
      </c>
      <c r="BV21" s="606">
        <v>2305</v>
      </c>
      <c r="BW21" s="606">
        <v>2347</v>
      </c>
      <c r="BX21" s="606">
        <v>2231</v>
      </c>
      <c r="BY21" s="606">
        <v>2093</v>
      </c>
      <c r="BZ21" s="606">
        <v>1974.9998779296875</v>
      </c>
      <c r="CA21" s="603"/>
      <c r="CB21" s="602">
        <f t="shared" si="8"/>
        <v>41838</v>
      </c>
      <c r="CC21" s="606">
        <v>1197.0760498046875</v>
      </c>
      <c r="CD21" s="606">
        <v>1148.876953125</v>
      </c>
      <c r="CE21" s="606">
        <v>1107.9759521484375</v>
      </c>
      <c r="CF21" s="606">
        <v>1118.1771240234375</v>
      </c>
      <c r="CG21" s="606">
        <v>1158.9749755859375</v>
      </c>
      <c r="CH21" s="606">
        <v>1232.3748779296875</v>
      </c>
      <c r="CI21" s="606">
        <v>1302.06591796875</v>
      </c>
      <c r="CJ21" s="606">
        <v>1358.758056640625</v>
      </c>
      <c r="CK21" s="606">
        <v>1394.573974609375</v>
      </c>
      <c r="CL21" s="606">
        <v>1460.0750732421875</v>
      </c>
      <c r="CM21" s="606">
        <v>1490.9781494140625</v>
      </c>
      <c r="CN21" s="606">
        <v>1534.3089599609375</v>
      </c>
      <c r="CO21" s="606">
        <v>1516.8780517578125</v>
      </c>
      <c r="CP21" s="606">
        <v>1480.47900390625</v>
      </c>
      <c r="CQ21" s="606">
        <v>1440.8779296875</v>
      </c>
      <c r="CR21" s="606">
        <v>1413.177978515625</v>
      </c>
      <c r="CS21" s="606">
        <v>1381.3780517578125</v>
      </c>
      <c r="CT21" s="606">
        <v>1345.8780517578125</v>
      </c>
      <c r="CU21" s="606">
        <v>1325.0780029296875</v>
      </c>
      <c r="CV21" s="606">
        <v>1318.2779541015625</v>
      </c>
      <c r="CW21" s="606">
        <v>1344.777099609375</v>
      </c>
      <c r="CX21" s="606">
        <v>1304.97705078125</v>
      </c>
      <c r="CY21" s="606">
        <v>1257.177001953125</v>
      </c>
      <c r="CZ21" s="606">
        <v>1210.97705078125</v>
      </c>
    </row>
    <row r="22" spans="1:104">
      <c r="A22" s="601">
        <v>19</v>
      </c>
      <c r="B22" s="602">
        <f>'Input Data'!A22</f>
        <v>41839</v>
      </c>
      <c r="C22" s="626">
        <v>64</v>
      </c>
      <c r="D22" s="626">
        <v>64</v>
      </c>
      <c r="E22" s="626">
        <v>64</v>
      </c>
      <c r="F22" s="626">
        <v>64</v>
      </c>
      <c r="G22" s="626">
        <v>64</v>
      </c>
      <c r="H22" s="626">
        <v>64.900000000000006</v>
      </c>
      <c r="I22" s="626">
        <v>64.900000000000006</v>
      </c>
      <c r="J22" s="626">
        <v>64</v>
      </c>
      <c r="K22" s="626">
        <v>64.675000000000011</v>
      </c>
      <c r="L22" s="626">
        <v>66.900000000000006</v>
      </c>
      <c r="M22" s="626">
        <v>68</v>
      </c>
      <c r="N22" s="626">
        <v>69.099999999999994</v>
      </c>
      <c r="O22" s="626">
        <v>69.099999999999994</v>
      </c>
      <c r="P22" s="626">
        <v>69.333333333333329</v>
      </c>
      <c r="Q22" s="626">
        <v>69.824999999999989</v>
      </c>
      <c r="R22" s="626">
        <v>72.63333333333334</v>
      </c>
      <c r="S22" s="626">
        <v>75.099999999999994</v>
      </c>
      <c r="T22" s="626">
        <v>75.900000000000006</v>
      </c>
      <c r="U22" s="626">
        <v>75</v>
      </c>
      <c r="V22" s="626">
        <v>73</v>
      </c>
      <c r="W22" s="626">
        <v>72.5</v>
      </c>
      <c r="X22" s="626">
        <v>70</v>
      </c>
      <c r="Y22" s="626">
        <v>71.599999999999994</v>
      </c>
      <c r="Z22" s="626">
        <v>70</v>
      </c>
      <c r="AA22" s="603"/>
      <c r="AB22" s="602">
        <f t="shared" si="6"/>
        <v>41839</v>
      </c>
      <c r="AC22" s="606">
        <v>64.900000000000006</v>
      </c>
      <c r="AD22" s="606">
        <v>64.900000000000006</v>
      </c>
      <c r="AE22" s="606">
        <v>64.900000000000006</v>
      </c>
      <c r="AF22" s="606">
        <v>64.900000000000006</v>
      </c>
      <c r="AG22" s="606">
        <v>64.900000000000006</v>
      </c>
      <c r="AH22" s="606">
        <v>66</v>
      </c>
      <c r="AI22" s="606">
        <v>66</v>
      </c>
      <c r="AJ22" s="606">
        <v>66</v>
      </c>
      <c r="AK22" s="606">
        <v>66.900000000000006</v>
      </c>
      <c r="AL22" s="606">
        <v>67.63333333333334</v>
      </c>
      <c r="AM22" s="606">
        <v>70</v>
      </c>
      <c r="AN22" s="606">
        <v>70.733333333333334</v>
      </c>
      <c r="AO22" s="606">
        <v>71.099999999999994</v>
      </c>
      <c r="AP22" s="606">
        <v>73</v>
      </c>
      <c r="AQ22" s="606">
        <v>73.900000000000006</v>
      </c>
      <c r="AR22" s="606">
        <v>75</v>
      </c>
      <c r="AS22" s="606">
        <v>73.900000000000006</v>
      </c>
      <c r="AT22" s="606">
        <v>73.900000000000006</v>
      </c>
      <c r="AU22" s="606">
        <v>75.900000000000006</v>
      </c>
      <c r="AV22" s="606">
        <v>75</v>
      </c>
      <c r="AW22" s="606">
        <v>73.900000000000006</v>
      </c>
      <c r="AX22" s="606">
        <v>73</v>
      </c>
      <c r="AY22" s="606">
        <v>73.400000000000006</v>
      </c>
      <c r="AZ22" s="606">
        <v>72</v>
      </c>
      <c r="BB22" s="602">
        <f t="shared" si="7"/>
        <v>41839</v>
      </c>
      <c r="BC22" s="606">
        <v>1836.0001220703125</v>
      </c>
      <c r="BD22" s="606">
        <v>1802.9998779296875</v>
      </c>
      <c r="BE22" s="606">
        <v>1757.0001220703125</v>
      </c>
      <c r="BF22" s="606">
        <v>1747.9998779296875</v>
      </c>
      <c r="BG22" s="606">
        <v>1791.0001220703125</v>
      </c>
      <c r="BH22" s="606">
        <v>1820.9998779296875</v>
      </c>
      <c r="BI22" s="606">
        <v>1840.9998779296875</v>
      </c>
      <c r="BJ22" s="606">
        <v>1929</v>
      </c>
      <c r="BK22" s="606">
        <v>2075</v>
      </c>
      <c r="BL22" s="606">
        <v>2202</v>
      </c>
      <c r="BM22" s="606">
        <v>2241</v>
      </c>
      <c r="BN22" s="606">
        <v>2249</v>
      </c>
      <c r="BO22" s="606">
        <v>2315</v>
      </c>
      <c r="BP22" s="606">
        <v>2281</v>
      </c>
      <c r="BQ22" s="606">
        <v>2327</v>
      </c>
      <c r="BR22" s="606">
        <v>2374</v>
      </c>
      <c r="BS22" s="606">
        <v>2366</v>
      </c>
      <c r="BT22" s="606">
        <v>2395</v>
      </c>
      <c r="BU22" s="606">
        <v>2299</v>
      </c>
      <c r="BV22" s="606">
        <v>2316</v>
      </c>
      <c r="BW22" s="606">
        <v>2367</v>
      </c>
      <c r="BX22" s="606">
        <v>2262</v>
      </c>
      <c r="BY22" s="606">
        <v>2122</v>
      </c>
      <c r="BZ22" s="606">
        <v>1993.0001220703125</v>
      </c>
      <c r="CA22" s="603"/>
      <c r="CB22" s="602">
        <f t="shared" si="8"/>
        <v>41839</v>
      </c>
      <c r="CC22" s="606">
        <v>1170.074951171875</v>
      </c>
      <c r="CD22" s="606">
        <v>1128.0760498046875</v>
      </c>
      <c r="CE22" s="606">
        <v>1098.27587890625</v>
      </c>
      <c r="CF22" s="606">
        <v>1069.176025390625</v>
      </c>
      <c r="CG22" s="606">
        <v>1075.8748779296875</v>
      </c>
      <c r="CH22" s="606">
        <v>1088.177001953125</v>
      </c>
      <c r="CI22" s="606">
        <v>1127.3759765625</v>
      </c>
      <c r="CJ22" s="606">
        <v>1184.676025390625</v>
      </c>
      <c r="CK22" s="606">
        <v>1242.8770751953125</v>
      </c>
      <c r="CL22" s="606">
        <v>1309.97705078125</v>
      </c>
      <c r="CM22" s="606">
        <v>1346.97705078125</v>
      </c>
      <c r="CN22" s="606">
        <v>1370.1778564453125</v>
      </c>
      <c r="CO22" s="606">
        <v>1387.7779541015625</v>
      </c>
      <c r="CP22" s="606">
        <v>1419.177978515625</v>
      </c>
      <c r="CQ22" s="606">
        <v>1450.5789794921875</v>
      </c>
      <c r="CR22" s="606">
        <v>1452.9791259765625</v>
      </c>
      <c r="CS22" s="606">
        <v>1474.97998046875</v>
      </c>
      <c r="CT22" s="606">
        <v>1476.87890625</v>
      </c>
      <c r="CU22" s="606">
        <v>1453.778076171875</v>
      </c>
      <c r="CV22" s="606">
        <v>1440.7779541015625</v>
      </c>
      <c r="CW22" s="606">
        <v>1465.076904296875</v>
      </c>
      <c r="CX22" s="606">
        <v>1420.2769775390625</v>
      </c>
      <c r="CY22" s="606">
        <v>1339.8770751953125</v>
      </c>
      <c r="CZ22" s="606">
        <v>1258.6778564453125</v>
      </c>
    </row>
    <row r="23" spans="1:104">
      <c r="A23" s="601">
        <v>20</v>
      </c>
      <c r="B23" s="602">
        <f>'Input Data'!A23</f>
        <v>41840</v>
      </c>
      <c r="C23" s="626">
        <v>70</v>
      </c>
      <c r="D23" s="626">
        <v>69.900000000000006</v>
      </c>
      <c r="E23" s="626">
        <v>69.960000000000008</v>
      </c>
      <c r="F23" s="626">
        <v>70.55</v>
      </c>
      <c r="G23" s="626">
        <v>70</v>
      </c>
      <c r="H23" s="626">
        <v>70</v>
      </c>
      <c r="I23" s="626">
        <v>70</v>
      </c>
      <c r="J23" s="626">
        <v>70.61999999999999</v>
      </c>
      <c r="K23" s="626">
        <v>70</v>
      </c>
      <c r="L23" s="626">
        <v>71.55</v>
      </c>
      <c r="M23" s="626">
        <v>72.974999999999994</v>
      </c>
      <c r="N23" s="626">
        <v>74.900000000000006</v>
      </c>
      <c r="O23" s="626">
        <v>76.7</v>
      </c>
      <c r="P23" s="626">
        <v>80.099999999999994</v>
      </c>
      <c r="Q23" s="626">
        <v>80.566666666666663</v>
      </c>
      <c r="R23" s="626">
        <v>82</v>
      </c>
      <c r="S23" s="626">
        <v>75.783333333333317</v>
      </c>
      <c r="T23" s="626">
        <v>79</v>
      </c>
      <c r="U23" s="626">
        <v>80.099999999999994</v>
      </c>
      <c r="V23" s="626">
        <v>79</v>
      </c>
      <c r="W23" s="626">
        <v>75.900000000000006</v>
      </c>
      <c r="X23" s="626">
        <v>73.900000000000006</v>
      </c>
      <c r="Y23" s="626">
        <v>73</v>
      </c>
      <c r="Z23" s="626">
        <v>71.099999999999994</v>
      </c>
      <c r="AA23" s="603"/>
      <c r="AB23" s="602">
        <f t="shared" si="6"/>
        <v>41840</v>
      </c>
      <c r="AC23" s="606">
        <v>72</v>
      </c>
      <c r="AD23" s="606">
        <v>71.55</v>
      </c>
      <c r="AE23" s="606">
        <v>71.099999999999994</v>
      </c>
      <c r="AF23" s="606">
        <v>70</v>
      </c>
      <c r="AG23" s="606">
        <v>69.55</v>
      </c>
      <c r="AH23" s="606">
        <v>69.275000000000006</v>
      </c>
      <c r="AI23" s="606">
        <v>69.099999999999994</v>
      </c>
      <c r="AJ23" s="606">
        <v>69.099999999999994</v>
      </c>
      <c r="AK23" s="606">
        <v>70.55</v>
      </c>
      <c r="AL23" s="606">
        <v>72.666666666666671</v>
      </c>
      <c r="AM23" s="606">
        <v>75.900000000000006</v>
      </c>
      <c r="AN23" s="606">
        <v>76.45</v>
      </c>
      <c r="AO23" s="606">
        <v>79</v>
      </c>
      <c r="AP23" s="606">
        <v>79.449999999999989</v>
      </c>
      <c r="AQ23" s="606">
        <v>82</v>
      </c>
      <c r="AR23" s="606">
        <v>82.9</v>
      </c>
      <c r="AS23" s="606">
        <v>82</v>
      </c>
      <c r="AT23" s="606">
        <v>84</v>
      </c>
      <c r="AU23" s="606">
        <v>82.9</v>
      </c>
      <c r="AV23" s="606">
        <v>82</v>
      </c>
      <c r="AW23" s="606">
        <v>80.099999999999994</v>
      </c>
      <c r="AX23" s="606">
        <v>78.099999999999994</v>
      </c>
      <c r="AY23" s="606">
        <v>75.900000000000006</v>
      </c>
      <c r="AZ23" s="606">
        <v>73.900000000000006</v>
      </c>
      <c r="BB23" s="602">
        <f t="shared" si="7"/>
        <v>41840</v>
      </c>
      <c r="BC23" s="606">
        <v>1887.0001220703125</v>
      </c>
      <c r="BD23" s="606">
        <v>1796</v>
      </c>
      <c r="BE23" s="606">
        <v>1789</v>
      </c>
      <c r="BF23" s="606">
        <v>1723</v>
      </c>
      <c r="BG23" s="606">
        <v>1741.9998779296875</v>
      </c>
      <c r="BH23" s="606">
        <v>1785.9998779296875</v>
      </c>
      <c r="BI23" s="606">
        <v>1788</v>
      </c>
      <c r="BJ23" s="606">
        <v>1938</v>
      </c>
      <c r="BK23" s="606">
        <v>2035.9998779296875</v>
      </c>
      <c r="BL23" s="606">
        <v>2166</v>
      </c>
      <c r="BM23" s="606">
        <v>2281</v>
      </c>
      <c r="BN23" s="606">
        <v>2399</v>
      </c>
      <c r="BO23" s="606">
        <v>2534</v>
      </c>
      <c r="BP23" s="606">
        <v>2638</v>
      </c>
      <c r="BQ23" s="606">
        <v>2685</v>
      </c>
      <c r="BR23" s="606">
        <v>2789</v>
      </c>
      <c r="BS23" s="606">
        <v>2787</v>
      </c>
      <c r="BT23" s="606">
        <v>2812</v>
      </c>
      <c r="BU23" s="606">
        <v>2748</v>
      </c>
      <c r="BV23" s="606">
        <v>2647</v>
      </c>
      <c r="BW23" s="606">
        <v>2677</v>
      </c>
      <c r="BX23" s="606">
        <v>2561</v>
      </c>
      <c r="BY23" s="606">
        <v>2328</v>
      </c>
      <c r="BZ23" s="606">
        <v>2166</v>
      </c>
      <c r="CA23" s="603"/>
      <c r="CB23" s="602">
        <f t="shared" si="8"/>
        <v>41840</v>
      </c>
      <c r="CC23" s="606">
        <v>1198.5760498046875</v>
      </c>
      <c r="CD23" s="606">
        <v>1157.1689453125</v>
      </c>
      <c r="CE23" s="606">
        <v>1126.6590576171875</v>
      </c>
      <c r="CF23" s="606">
        <v>1107.1768798828125</v>
      </c>
      <c r="CG23" s="606">
        <v>1106.2750244140625</v>
      </c>
      <c r="CH23" s="606">
        <v>1116.776123046875</v>
      </c>
      <c r="CI23" s="606">
        <v>1124.47607421875</v>
      </c>
      <c r="CJ23" s="606">
        <v>1181.7757568359375</v>
      </c>
      <c r="CK23" s="606">
        <v>1277.9759521484375</v>
      </c>
      <c r="CL23" s="606">
        <v>1382.7779541015625</v>
      </c>
      <c r="CM23" s="606">
        <v>1477.27880859375</v>
      </c>
      <c r="CN23" s="606">
        <v>1586.0340576171875</v>
      </c>
      <c r="CO23" s="606">
        <v>1647.97900390625</v>
      </c>
      <c r="CP23" s="606">
        <v>1698.48095703125</v>
      </c>
      <c r="CQ23" s="606">
        <v>1735.8790283203125</v>
      </c>
      <c r="CR23" s="606">
        <v>1813.0810546875</v>
      </c>
      <c r="CS23" s="606">
        <v>1859.8798828125</v>
      </c>
      <c r="CT23" s="606">
        <v>1882.5810546875</v>
      </c>
      <c r="CU23" s="606">
        <v>1865.013427734375</v>
      </c>
      <c r="CV23" s="606">
        <v>1789.3800048828125</v>
      </c>
      <c r="CW23" s="606">
        <v>1768.4312744140625</v>
      </c>
      <c r="CX23" s="606">
        <v>1668.9781494140625</v>
      </c>
      <c r="CY23" s="606">
        <v>1536.779052734375</v>
      </c>
      <c r="CZ23" s="606">
        <v>1420.778076171875</v>
      </c>
    </row>
    <row r="24" spans="1:104">
      <c r="A24" s="601">
        <v>21</v>
      </c>
      <c r="B24" s="602">
        <f>'Input Data'!A24</f>
        <v>41841</v>
      </c>
      <c r="C24" s="626">
        <v>70</v>
      </c>
      <c r="D24" s="626">
        <v>67.816666666666663</v>
      </c>
      <c r="E24" s="626">
        <v>68.36666666666666</v>
      </c>
      <c r="F24" s="626">
        <v>69.099999999999994</v>
      </c>
      <c r="G24" s="626">
        <v>68</v>
      </c>
      <c r="H24" s="626">
        <v>66.3</v>
      </c>
      <c r="I24" s="626">
        <v>66.725000000000009</v>
      </c>
      <c r="J24" s="626">
        <v>66.600000000000009</v>
      </c>
      <c r="K24" s="626">
        <v>69.583333333333329</v>
      </c>
      <c r="L24" s="626">
        <v>75</v>
      </c>
      <c r="M24" s="626">
        <v>80.099999999999994</v>
      </c>
      <c r="N24" s="626">
        <v>83.45</v>
      </c>
      <c r="O24" s="626">
        <v>84.45</v>
      </c>
      <c r="P24" s="626">
        <v>84.9</v>
      </c>
      <c r="Q24" s="626">
        <v>86</v>
      </c>
      <c r="R24" s="626">
        <v>89.1</v>
      </c>
      <c r="S24" s="626">
        <v>90</v>
      </c>
      <c r="T24" s="626">
        <v>89.1</v>
      </c>
      <c r="U24" s="626">
        <v>88</v>
      </c>
      <c r="V24" s="626">
        <v>84.9</v>
      </c>
      <c r="W24" s="626">
        <v>81</v>
      </c>
      <c r="X24" s="626">
        <v>80.099999999999994</v>
      </c>
      <c r="Y24" s="626">
        <v>77</v>
      </c>
      <c r="Z24" s="626">
        <v>77</v>
      </c>
      <c r="AA24" s="603"/>
      <c r="AB24" s="602">
        <f t="shared" si="6"/>
        <v>41841</v>
      </c>
      <c r="AC24" s="606">
        <v>72</v>
      </c>
      <c r="AD24" s="606">
        <v>70</v>
      </c>
      <c r="AE24" s="606">
        <v>71.099999999999994</v>
      </c>
      <c r="AF24" s="606">
        <v>69.099999999999994</v>
      </c>
      <c r="AG24" s="606">
        <v>66</v>
      </c>
      <c r="AH24" s="606">
        <v>68</v>
      </c>
      <c r="AI24" s="606">
        <v>68</v>
      </c>
      <c r="AJ24" s="606">
        <v>69.099999999999994</v>
      </c>
      <c r="AK24" s="606">
        <v>73.900000000000006</v>
      </c>
      <c r="AL24" s="606">
        <v>79</v>
      </c>
      <c r="AM24" s="606">
        <v>81</v>
      </c>
      <c r="AN24" s="606">
        <v>82</v>
      </c>
      <c r="AO24" s="606">
        <v>82.9</v>
      </c>
      <c r="AP24" s="606">
        <v>84.9</v>
      </c>
      <c r="AQ24" s="606">
        <v>87.1</v>
      </c>
      <c r="AR24" s="606">
        <v>88</v>
      </c>
      <c r="AS24" s="606">
        <v>89.1</v>
      </c>
      <c r="AT24" s="606">
        <v>88</v>
      </c>
      <c r="AU24" s="606">
        <v>87.1</v>
      </c>
      <c r="AV24" s="606">
        <v>87.1</v>
      </c>
      <c r="AW24" s="606">
        <v>84</v>
      </c>
      <c r="AX24" s="606">
        <v>82</v>
      </c>
      <c r="AY24" s="606">
        <v>80.099999999999994</v>
      </c>
      <c r="AZ24" s="606">
        <v>78.099999999999994</v>
      </c>
      <c r="BB24" s="602">
        <f t="shared" si="7"/>
        <v>41841</v>
      </c>
      <c r="BC24" s="606">
        <v>2015.0001220703125</v>
      </c>
      <c r="BD24" s="606">
        <v>1952.0001220703125</v>
      </c>
      <c r="BE24" s="606">
        <v>1933.9998779296875</v>
      </c>
      <c r="BF24" s="606">
        <v>1914.9998779296875</v>
      </c>
      <c r="BG24" s="606">
        <v>1970.9998779296875</v>
      </c>
      <c r="BH24" s="606">
        <v>2158</v>
      </c>
      <c r="BI24" s="606">
        <v>2304</v>
      </c>
      <c r="BJ24" s="606">
        <v>2507</v>
      </c>
      <c r="BK24" s="606">
        <v>2653</v>
      </c>
      <c r="BL24" s="606">
        <v>2890</v>
      </c>
      <c r="BM24" s="606">
        <v>3111</v>
      </c>
      <c r="BN24" s="606">
        <v>3318</v>
      </c>
      <c r="BO24" s="606">
        <v>3386</v>
      </c>
      <c r="BP24" s="606">
        <v>3517</v>
      </c>
      <c r="BQ24" s="606">
        <v>3575</v>
      </c>
      <c r="BR24" s="606">
        <v>3607</v>
      </c>
      <c r="BS24" s="606">
        <v>3626</v>
      </c>
      <c r="BT24" s="606">
        <v>3555</v>
      </c>
      <c r="BU24" s="606">
        <v>3473</v>
      </c>
      <c r="BV24" s="606">
        <v>3373</v>
      </c>
      <c r="BW24" s="606">
        <v>3309</v>
      </c>
      <c r="BX24" s="606">
        <v>3075</v>
      </c>
      <c r="BY24" s="606">
        <v>2732</v>
      </c>
      <c r="BZ24" s="606">
        <v>2551</v>
      </c>
      <c r="CA24" s="603"/>
      <c r="CB24" s="602">
        <f t="shared" si="8"/>
        <v>41841</v>
      </c>
      <c r="CC24" s="606">
        <v>1327.779052734375</v>
      </c>
      <c r="CD24" s="606">
        <v>1248.7779541015625</v>
      </c>
      <c r="CE24" s="606">
        <v>1209.7779541015625</v>
      </c>
      <c r="CF24" s="606">
        <v>1209.47802734375</v>
      </c>
      <c r="CG24" s="606">
        <v>1249.0782470703125</v>
      </c>
      <c r="CH24" s="606">
        <v>1322.8779296875</v>
      </c>
      <c r="CI24" s="606">
        <v>1362.580078125</v>
      </c>
      <c r="CJ24" s="606">
        <v>1482.8790283203125</v>
      </c>
      <c r="CK24" s="606">
        <v>1628.5791015625</v>
      </c>
      <c r="CL24" s="606">
        <v>1783.47998046875</v>
      </c>
      <c r="CM24" s="606">
        <v>1928.380859375</v>
      </c>
      <c r="CN24" s="606">
        <v>2038.2801513671875</v>
      </c>
      <c r="CO24" s="606">
        <v>2136.646728515625</v>
      </c>
      <c r="CP24" s="606">
        <v>2180.98193359375</v>
      </c>
      <c r="CQ24" s="606">
        <v>2212.881103515625</v>
      </c>
      <c r="CR24" s="606">
        <v>2250.281005859375</v>
      </c>
      <c r="CS24" s="606">
        <v>2249.48095703125</v>
      </c>
      <c r="CT24" s="606">
        <v>2220.781005859375</v>
      </c>
      <c r="CU24" s="606">
        <v>2162.180908203125</v>
      </c>
      <c r="CV24" s="606">
        <v>2071.380859375</v>
      </c>
      <c r="CW24" s="606">
        <v>2016.97998046875</v>
      </c>
      <c r="CX24" s="606">
        <v>1901.5789794921875</v>
      </c>
      <c r="CY24" s="606">
        <v>1739.0789794921875</v>
      </c>
      <c r="CZ24" s="606">
        <v>1595.9791259765625</v>
      </c>
    </row>
    <row r="25" spans="1:104">
      <c r="A25" s="601">
        <v>22</v>
      </c>
      <c r="B25" s="602">
        <f>'Input Data'!A25</f>
        <v>41842</v>
      </c>
      <c r="C25" s="626">
        <v>73.900000000000006</v>
      </c>
      <c r="D25" s="626">
        <v>73</v>
      </c>
      <c r="E25" s="626">
        <v>70</v>
      </c>
      <c r="F25" s="626">
        <v>71.099999999999994</v>
      </c>
      <c r="G25" s="626">
        <v>73</v>
      </c>
      <c r="H25" s="626">
        <v>70</v>
      </c>
      <c r="I25" s="626">
        <v>70</v>
      </c>
      <c r="J25" s="626">
        <v>72</v>
      </c>
      <c r="K25" s="626">
        <v>78.099999999999994</v>
      </c>
      <c r="L25" s="626">
        <v>80.099999999999994</v>
      </c>
      <c r="M25" s="626">
        <v>82.9</v>
      </c>
      <c r="N25" s="626">
        <v>86</v>
      </c>
      <c r="O25" s="626">
        <v>87.8</v>
      </c>
      <c r="P25" s="626">
        <v>90</v>
      </c>
      <c r="Q25" s="626">
        <v>90</v>
      </c>
      <c r="R25" s="626">
        <v>90</v>
      </c>
      <c r="S25" s="626">
        <v>91</v>
      </c>
      <c r="T25" s="626">
        <v>90</v>
      </c>
      <c r="U25" s="626">
        <v>89.1</v>
      </c>
      <c r="V25" s="626">
        <v>87.1</v>
      </c>
      <c r="W25" s="626">
        <v>82.9</v>
      </c>
      <c r="X25" s="626">
        <v>82.4</v>
      </c>
      <c r="Y25" s="626">
        <v>78.099999999999994</v>
      </c>
      <c r="Z25" s="626">
        <v>78.099999999999994</v>
      </c>
      <c r="AA25" s="603"/>
      <c r="AB25" s="602">
        <f t="shared" si="6"/>
        <v>41842</v>
      </c>
      <c r="AC25" s="606">
        <v>75.900000000000006</v>
      </c>
      <c r="AD25" s="606">
        <v>73</v>
      </c>
      <c r="AE25" s="606">
        <v>73</v>
      </c>
      <c r="AF25" s="606">
        <v>72</v>
      </c>
      <c r="AG25" s="606">
        <v>72</v>
      </c>
      <c r="AH25" s="606">
        <v>70</v>
      </c>
      <c r="AI25" s="606">
        <v>69.099999999999994</v>
      </c>
      <c r="AJ25" s="606">
        <v>72</v>
      </c>
      <c r="AK25" s="606">
        <v>75.900000000000006</v>
      </c>
      <c r="AL25" s="606">
        <v>80.599999999999994</v>
      </c>
      <c r="AM25" s="606">
        <v>84.9</v>
      </c>
      <c r="AN25" s="606">
        <v>87.1</v>
      </c>
      <c r="AO25" s="606">
        <v>89.1</v>
      </c>
      <c r="AP25" s="606">
        <v>90</v>
      </c>
      <c r="AQ25" s="606">
        <v>90</v>
      </c>
      <c r="AR25" s="606">
        <v>91.9</v>
      </c>
      <c r="AS25" s="606">
        <v>93</v>
      </c>
      <c r="AT25" s="606">
        <v>91.9</v>
      </c>
      <c r="AU25" s="606">
        <v>91.9</v>
      </c>
      <c r="AV25" s="606">
        <v>90</v>
      </c>
      <c r="AW25" s="606">
        <v>87.1</v>
      </c>
      <c r="AX25" s="606">
        <v>86</v>
      </c>
      <c r="AY25" s="606">
        <v>84.9</v>
      </c>
      <c r="AZ25" s="606">
        <v>82.9</v>
      </c>
      <c r="BB25" s="602">
        <f t="shared" si="7"/>
        <v>41842</v>
      </c>
      <c r="BC25" s="606">
        <v>2336</v>
      </c>
      <c r="BD25" s="606">
        <v>2310</v>
      </c>
      <c r="BE25" s="606">
        <v>2174</v>
      </c>
      <c r="BF25" s="606">
        <v>2142</v>
      </c>
      <c r="BG25" s="606">
        <v>2206</v>
      </c>
      <c r="BH25" s="606">
        <v>2347</v>
      </c>
      <c r="BI25" s="606">
        <v>2506</v>
      </c>
      <c r="BJ25" s="606">
        <v>2721</v>
      </c>
      <c r="BK25" s="606">
        <v>2909</v>
      </c>
      <c r="BL25" s="606">
        <v>3190</v>
      </c>
      <c r="BM25" s="606">
        <v>3404</v>
      </c>
      <c r="BN25" s="606">
        <v>3585</v>
      </c>
      <c r="BO25" s="606">
        <v>3714</v>
      </c>
      <c r="BP25" s="606">
        <v>3779</v>
      </c>
      <c r="BQ25" s="606">
        <v>3824</v>
      </c>
      <c r="BR25" s="606">
        <v>3870</v>
      </c>
      <c r="BS25" s="606">
        <v>3828</v>
      </c>
      <c r="BT25" s="606">
        <v>3843</v>
      </c>
      <c r="BU25" s="606">
        <v>3684</v>
      </c>
      <c r="BV25" s="606">
        <v>3623</v>
      </c>
      <c r="BW25" s="606">
        <v>3492</v>
      </c>
      <c r="BX25" s="606">
        <v>3298</v>
      </c>
      <c r="BY25" s="606">
        <v>3012</v>
      </c>
      <c r="BZ25" s="606">
        <v>2721</v>
      </c>
      <c r="CA25" s="603"/>
      <c r="CB25" s="602">
        <f t="shared" si="8"/>
        <v>41842</v>
      </c>
      <c r="CC25" s="606">
        <v>1495.97900390625</v>
      </c>
      <c r="CD25" s="606">
        <v>1423.0799560546875</v>
      </c>
      <c r="CE25" s="606">
        <v>1366.677978515625</v>
      </c>
      <c r="CF25" s="606">
        <v>1339.4730224609375</v>
      </c>
      <c r="CG25" s="606">
        <v>1360.2789306640625</v>
      </c>
      <c r="CH25" s="606">
        <v>1408.1790771484375</v>
      </c>
      <c r="CI25" s="606">
        <v>1483.3800048828125</v>
      </c>
      <c r="CJ25" s="606">
        <v>1593.9798583984375</v>
      </c>
      <c r="CK25" s="606">
        <v>1711.780029296875</v>
      </c>
      <c r="CL25" s="606">
        <v>1898.48095703125</v>
      </c>
      <c r="CM25" s="606">
        <v>2085.680908203125</v>
      </c>
      <c r="CN25" s="606">
        <v>2234.581787109375</v>
      </c>
      <c r="CO25" s="606">
        <v>2332.98095703125</v>
      </c>
      <c r="CP25" s="606">
        <v>2369.8818359375</v>
      </c>
      <c r="CQ25" s="606">
        <v>2416.98193359375</v>
      </c>
      <c r="CR25" s="606">
        <v>2443.0810546875</v>
      </c>
      <c r="CS25" s="606">
        <v>2438.681884765625</v>
      </c>
      <c r="CT25" s="606">
        <v>2445.582275390625</v>
      </c>
      <c r="CU25" s="606">
        <v>2396.48095703125</v>
      </c>
      <c r="CV25" s="606">
        <v>2316.98193359375</v>
      </c>
      <c r="CW25" s="606">
        <v>2259.680908203125</v>
      </c>
      <c r="CX25" s="606">
        <v>2134.27978515625</v>
      </c>
      <c r="CY25" s="606">
        <v>1965.7801513671875</v>
      </c>
      <c r="CZ25" s="606">
        <v>1821.5799560546875</v>
      </c>
    </row>
    <row r="26" spans="1:104">
      <c r="A26" s="601">
        <v>23</v>
      </c>
      <c r="B26" s="602">
        <f>'Input Data'!A26</f>
        <v>41843</v>
      </c>
      <c r="C26" s="626">
        <v>77</v>
      </c>
      <c r="D26" s="626">
        <v>75.900000000000006</v>
      </c>
      <c r="E26" s="626">
        <v>75</v>
      </c>
      <c r="F26" s="626">
        <v>75.900000000000006</v>
      </c>
      <c r="G26" s="626">
        <v>73.900000000000006</v>
      </c>
      <c r="H26" s="626">
        <v>73.900000000000006</v>
      </c>
      <c r="I26" s="626">
        <v>73.900000000000006</v>
      </c>
      <c r="J26" s="626">
        <v>73.900000000000006</v>
      </c>
      <c r="K26" s="626">
        <v>78.099999999999994</v>
      </c>
      <c r="L26" s="626">
        <v>79.066666666666663</v>
      </c>
      <c r="M26" s="626">
        <v>82.9</v>
      </c>
      <c r="N26" s="626">
        <v>84</v>
      </c>
      <c r="O26" s="626">
        <v>85.033333333333346</v>
      </c>
      <c r="P26" s="626">
        <v>80.7</v>
      </c>
      <c r="Q26" s="626">
        <v>83.3</v>
      </c>
      <c r="R26" s="626">
        <v>87.1</v>
      </c>
      <c r="S26" s="626">
        <v>86</v>
      </c>
      <c r="T26" s="626">
        <v>86</v>
      </c>
      <c r="U26" s="626">
        <v>84.9</v>
      </c>
      <c r="V26" s="626">
        <v>82.9</v>
      </c>
      <c r="W26" s="626">
        <v>79</v>
      </c>
      <c r="X26" s="626">
        <v>75.900000000000006</v>
      </c>
      <c r="Y26" s="626">
        <v>74.933333333333337</v>
      </c>
      <c r="Z26" s="626">
        <v>73.900000000000006</v>
      </c>
      <c r="AA26" s="603"/>
      <c r="AB26" s="602">
        <f t="shared" si="6"/>
        <v>41843</v>
      </c>
      <c r="AC26" s="606">
        <v>80.099999999999994</v>
      </c>
      <c r="AD26" s="606">
        <v>79</v>
      </c>
      <c r="AE26" s="606">
        <v>73.900000000000006</v>
      </c>
      <c r="AF26" s="606">
        <v>77</v>
      </c>
      <c r="AG26" s="606">
        <v>75.900000000000006</v>
      </c>
      <c r="AH26" s="606">
        <v>75.900000000000006</v>
      </c>
      <c r="AI26" s="606">
        <v>75</v>
      </c>
      <c r="AJ26" s="606">
        <v>78.099999999999994</v>
      </c>
      <c r="AK26" s="606">
        <v>80.099999999999994</v>
      </c>
      <c r="AL26" s="606">
        <v>82</v>
      </c>
      <c r="AM26" s="606">
        <v>82.9</v>
      </c>
      <c r="AN26" s="606">
        <v>82</v>
      </c>
      <c r="AO26" s="606">
        <v>82</v>
      </c>
      <c r="AP26" s="606">
        <v>81</v>
      </c>
      <c r="AQ26" s="606">
        <v>82.95</v>
      </c>
      <c r="AR26" s="606">
        <v>86</v>
      </c>
      <c r="AS26" s="606">
        <v>84.9</v>
      </c>
      <c r="AT26" s="606">
        <v>84.9</v>
      </c>
      <c r="AU26" s="606">
        <v>84.9</v>
      </c>
      <c r="AV26" s="606">
        <v>84</v>
      </c>
      <c r="AW26" s="606">
        <v>82</v>
      </c>
      <c r="AX26" s="606">
        <v>78.099999999999994</v>
      </c>
      <c r="AY26" s="606">
        <v>76.45</v>
      </c>
      <c r="AZ26" s="606">
        <v>74.900000000000006</v>
      </c>
      <c r="BB26" s="602">
        <f t="shared" si="7"/>
        <v>41843</v>
      </c>
      <c r="BC26" s="606">
        <v>2579</v>
      </c>
      <c r="BD26" s="606">
        <v>2371</v>
      </c>
      <c r="BE26" s="606">
        <v>2255</v>
      </c>
      <c r="BF26" s="606">
        <v>2195</v>
      </c>
      <c r="BG26" s="606">
        <v>2270</v>
      </c>
      <c r="BH26" s="606">
        <v>2401</v>
      </c>
      <c r="BI26" s="606">
        <v>2539</v>
      </c>
      <c r="BJ26" s="606">
        <v>2747</v>
      </c>
      <c r="BK26" s="606">
        <v>2920</v>
      </c>
      <c r="BL26" s="606">
        <v>3083</v>
      </c>
      <c r="BM26" s="606">
        <v>3238</v>
      </c>
      <c r="BN26" s="606">
        <v>3387</v>
      </c>
      <c r="BO26" s="606">
        <v>3400</v>
      </c>
      <c r="BP26" s="606">
        <v>3418</v>
      </c>
      <c r="BQ26" s="606">
        <v>3505</v>
      </c>
      <c r="BR26" s="606">
        <v>3526</v>
      </c>
      <c r="BS26" s="606">
        <v>3459</v>
      </c>
      <c r="BT26" s="606">
        <v>3379</v>
      </c>
      <c r="BU26" s="606">
        <v>3294</v>
      </c>
      <c r="BV26" s="606">
        <v>3171</v>
      </c>
      <c r="BW26" s="606">
        <v>3103</v>
      </c>
      <c r="BX26" s="606">
        <v>2896</v>
      </c>
      <c r="BY26" s="606">
        <v>2657</v>
      </c>
      <c r="BZ26" s="606">
        <v>2452</v>
      </c>
      <c r="CA26" s="603"/>
      <c r="CB26" s="602">
        <f t="shared" si="8"/>
        <v>41843</v>
      </c>
      <c r="CC26" s="606">
        <v>1703.37890625</v>
      </c>
      <c r="CD26" s="606">
        <v>1619.47998046875</v>
      </c>
      <c r="CE26" s="606">
        <v>1553.580078125</v>
      </c>
      <c r="CF26" s="606">
        <v>1499.7789306640625</v>
      </c>
      <c r="CG26" s="606">
        <v>1525.97900390625</v>
      </c>
      <c r="CH26" s="606">
        <v>1591.47998046875</v>
      </c>
      <c r="CI26" s="606">
        <v>1609.179931640625</v>
      </c>
      <c r="CJ26" s="606">
        <v>1687.380126953125</v>
      </c>
      <c r="CK26" s="606">
        <v>1789.97998046875</v>
      </c>
      <c r="CL26" s="606">
        <v>1924.5810546875</v>
      </c>
      <c r="CM26" s="606">
        <v>1973.6798095703125</v>
      </c>
      <c r="CN26" s="606">
        <v>2026.7808837890625</v>
      </c>
      <c r="CO26" s="606">
        <v>2048.179931640625</v>
      </c>
      <c r="CP26" s="606">
        <v>2091.881103515625</v>
      </c>
      <c r="CQ26" s="606">
        <v>2170.2822265625</v>
      </c>
      <c r="CR26" s="606">
        <v>2232.381103515625</v>
      </c>
      <c r="CS26" s="606">
        <v>2250.882080078125</v>
      </c>
      <c r="CT26" s="606">
        <v>2219.8818359375</v>
      </c>
      <c r="CU26" s="606">
        <v>2156.18115234375</v>
      </c>
      <c r="CV26" s="606">
        <v>2075.180908203125</v>
      </c>
      <c r="CW26" s="606">
        <v>2044.47998046875</v>
      </c>
      <c r="CX26" s="606">
        <v>1925.6790771484375</v>
      </c>
      <c r="CY26" s="606">
        <v>1775.0780029296875</v>
      </c>
      <c r="CZ26" s="606">
        <v>1640.3780517578125</v>
      </c>
    </row>
    <row r="27" spans="1:104">
      <c r="A27" s="601">
        <v>24</v>
      </c>
      <c r="B27" s="602">
        <f>'Input Data'!A27</f>
        <v>41844</v>
      </c>
      <c r="C27" s="626">
        <v>72</v>
      </c>
      <c r="D27" s="626">
        <v>70</v>
      </c>
      <c r="E27" s="626">
        <v>70</v>
      </c>
      <c r="F27" s="626">
        <v>70.733333333333334</v>
      </c>
      <c r="G27" s="626">
        <v>71.099999999999994</v>
      </c>
      <c r="H27" s="626">
        <v>66.550000000000011</v>
      </c>
      <c r="I27" s="626">
        <v>66.900000000000006</v>
      </c>
      <c r="J27" s="626">
        <v>65.45</v>
      </c>
      <c r="K27" s="626">
        <v>66</v>
      </c>
      <c r="L27" s="626">
        <v>66.45</v>
      </c>
      <c r="M27" s="626">
        <v>68</v>
      </c>
      <c r="N27" s="626">
        <v>69.099999999999994</v>
      </c>
      <c r="O27" s="626">
        <v>71.099999999999994</v>
      </c>
      <c r="P27" s="626">
        <v>74.900000000000006</v>
      </c>
      <c r="Q27" s="626">
        <v>75.900000000000006</v>
      </c>
      <c r="R27" s="626">
        <v>78.099999999999994</v>
      </c>
      <c r="S27" s="626">
        <v>77</v>
      </c>
      <c r="T27" s="626">
        <v>77</v>
      </c>
      <c r="U27" s="626">
        <v>75</v>
      </c>
      <c r="V27" s="626">
        <v>73.900000000000006</v>
      </c>
      <c r="W27" s="626">
        <v>70</v>
      </c>
      <c r="X27" s="626">
        <v>69.099999999999994</v>
      </c>
      <c r="Y27" s="626">
        <v>66.900000000000006</v>
      </c>
      <c r="Z27" s="626">
        <v>64</v>
      </c>
      <c r="AA27" s="603"/>
      <c r="AB27" s="602">
        <f t="shared" si="6"/>
        <v>41844</v>
      </c>
      <c r="AC27" s="606">
        <v>72</v>
      </c>
      <c r="AD27" s="606">
        <v>72.5</v>
      </c>
      <c r="AE27" s="606">
        <v>71.099999999999994</v>
      </c>
      <c r="AF27" s="606">
        <v>70.55</v>
      </c>
      <c r="AG27" s="606">
        <v>70</v>
      </c>
      <c r="AH27" s="606">
        <v>70</v>
      </c>
      <c r="AI27" s="606">
        <v>69.099999999999994</v>
      </c>
      <c r="AJ27" s="606">
        <v>68.55</v>
      </c>
      <c r="AK27" s="606">
        <v>69.099999999999994</v>
      </c>
      <c r="AL27" s="606">
        <v>71.099999999999994</v>
      </c>
      <c r="AM27" s="606">
        <v>73</v>
      </c>
      <c r="AN27" s="606">
        <v>75</v>
      </c>
      <c r="AO27" s="606">
        <v>75.900000000000006</v>
      </c>
      <c r="AP27" s="606">
        <v>77</v>
      </c>
      <c r="AQ27" s="606">
        <v>77</v>
      </c>
      <c r="AR27" s="606">
        <v>77</v>
      </c>
      <c r="AS27" s="606">
        <v>79</v>
      </c>
      <c r="AT27" s="606">
        <v>75.900000000000006</v>
      </c>
      <c r="AU27" s="606">
        <v>78.099999999999994</v>
      </c>
      <c r="AV27" s="606">
        <v>75.900000000000006</v>
      </c>
      <c r="AW27" s="606">
        <v>73</v>
      </c>
      <c r="AX27" s="606">
        <v>72</v>
      </c>
      <c r="AY27" s="606">
        <v>70</v>
      </c>
      <c r="AZ27" s="606">
        <v>69.099999999999994</v>
      </c>
      <c r="BB27" s="602">
        <f t="shared" si="7"/>
        <v>41844</v>
      </c>
      <c r="BC27" s="606">
        <v>2291</v>
      </c>
      <c r="BD27" s="606">
        <v>2156</v>
      </c>
      <c r="BE27" s="606">
        <v>2065</v>
      </c>
      <c r="BF27" s="606">
        <v>2050</v>
      </c>
      <c r="BG27" s="606">
        <v>2098</v>
      </c>
      <c r="BH27" s="606">
        <v>2240</v>
      </c>
      <c r="BI27" s="606">
        <v>2358</v>
      </c>
      <c r="BJ27" s="606">
        <v>2443</v>
      </c>
      <c r="BK27" s="606">
        <v>2549</v>
      </c>
      <c r="BL27" s="606">
        <v>2648</v>
      </c>
      <c r="BM27" s="606">
        <v>2693</v>
      </c>
      <c r="BN27" s="606">
        <v>2781</v>
      </c>
      <c r="BO27" s="606">
        <v>2832</v>
      </c>
      <c r="BP27" s="606">
        <v>2881</v>
      </c>
      <c r="BQ27" s="606">
        <v>2904</v>
      </c>
      <c r="BR27" s="606">
        <v>2913</v>
      </c>
      <c r="BS27" s="606">
        <v>2945</v>
      </c>
      <c r="BT27" s="606">
        <v>2887</v>
      </c>
      <c r="BU27" s="606">
        <v>2840</v>
      </c>
      <c r="BV27" s="606">
        <v>2748</v>
      </c>
      <c r="BW27" s="606">
        <v>2730</v>
      </c>
      <c r="BX27" s="606">
        <v>2603</v>
      </c>
      <c r="BY27" s="606">
        <v>2362</v>
      </c>
      <c r="BZ27" s="606">
        <v>2209</v>
      </c>
      <c r="CA27" s="603"/>
      <c r="CB27" s="602">
        <f t="shared" si="8"/>
        <v>41844</v>
      </c>
      <c r="CC27" s="606">
        <v>1531.9769287109375</v>
      </c>
      <c r="CD27" s="606">
        <v>1461.47705078125</v>
      </c>
      <c r="CE27" s="606">
        <v>1393.875</v>
      </c>
      <c r="CF27" s="606">
        <v>1364.9759521484375</v>
      </c>
      <c r="CG27" s="606">
        <v>1399.3760986328125</v>
      </c>
      <c r="CH27" s="606">
        <v>1464.3739013671875</v>
      </c>
      <c r="CI27" s="606">
        <v>1496.6258544921875</v>
      </c>
      <c r="CJ27" s="606">
        <v>1561.9739990234375</v>
      </c>
      <c r="CK27" s="606">
        <v>1639.6771240234375</v>
      </c>
      <c r="CL27" s="606">
        <v>1720.2769775390625</v>
      </c>
      <c r="CM27" s="606">
        <v>1784.077880859375</v>
      </c>
      <c r="CN27" s="606">
        <v>1836.178955078125</v>
      </c>
      <c r="CO27" s="606">
        <v>1892.17822265625</v>
      </c>
      <c r="CP27" s="606">
        <v>1901.0789794921875</v>
      </c>
      <c r="CQ27" s="606">
        <v>1930.343017578125</v>
      </c>
      <c r="CR27" s="606">
        <v>1935.2779541015625</v>
      </c>
      <c r="CS27" s="606">
        <v>1911.1800537109375</v>
      </c>
      <c r="CT27" s="606">
        <v>1879.379150390625</v>
      </c>
      <c r="CU27" s="606">
        <v>1824.5791015625</v>
      </c>
      <c r="CV27" s="606">
        <v>1737.3780517578125</v>
      </c>
      <c r="CW27" s="606">
        <v>1721.0780029296875</v>
      </c>
      <c r="CX27" s="606">
        <v>1615.8770751953125</v>
      </c>
      <c r="CY27" s="606">
        <v>1487.177001953125</v>
      </c>
      <c r="CZ27" s="606">
        <v>1370.8780517578125</v>
      </c>
    </row>
    <row r="28" spans="1:104">
      <c r="A28" s="601">
        <v>25</v>
      </c>
      <c r="B28" s="602">
        <f>'Input Data'!A28</f>
        <v>41845</v>
      </c>
      <c r="C28" s="626">
        <v>62.1</v>
      </c>
      <c r="D28" s="626">
        <v>57</v>
      </c>
      <c r="E28" s="626">
        <v>60.1</v>
      </c>
      <c r="F28" s="626">
        <v>57.9</v>
      </c>
      <c r="G28" s="626">
        <v>55.9</v>
      </c>
      <c r="H28" s="626">
        <v>57</v>
      </c>
      <c r="I28" s="626">
        <v>57.9</v>
      </c>
      <c r="J28" s="626">
        <v>62.1</v>
      </c>
      <c r="K28" s="626">
        <v>66.900000000000006</v>
      </c>
      <c r="L28" s="626">
        <v>70</v>
      </c>
      <c r="M28" s="626">
        <v>75</v>
      </c>
      <c r="N28" s="626">
        <v>75.900000000000006</v>
      </c>
      <c r="O28" s="626">
        <v>78.099999999999994</v>
      </c>
      <c r="P28" s="626">
        <v>78.099999999999994</v>
      </c>
      <c r="Q28" s="626">
        <v>80.099999999999994</v>
      </c>
      <c r="R28" s="626">
        <v>82</v>
      </c>
      <c r="S28" s="626">
        <v>81</v>
      </c>
      <c r="T28" s="626">
        <v>80.099999999999994</v>
      </c>
      <c r="U28" s="626">
        <v>79</v>
      </c>
      <c r="V28" s="626">
        <v>75.900000000000006</v>
      </c>
      <c r="W28" s="626">
        <v>73.900000000000006</v>
      </c>
      <c r="X28" s="626">
        <v>72</v>
      </c>
      <c r="Y28" s="626">
        <v>70</v>
      </c>
      <c r="Z28" s="626">
        <v>70</v>
      </c>
      <c r="AA28" s="603"/>
      <c r="AB28" s="602">
        <f t="shared" si="6"/>
        <v>41845</v>
      </c>
      <c r="AC28" s="606">
        <v>66.900000000000006</v>
      </c>
      <c r="AD28" s="606">
        <v>64.900000000000006</v>
      </c>
      <c r="AE28" s="606">
        <v>62.1</v>
      </c>
      <c r="AF28" s="606">
        <v>62.1</v>
      </c>
      <c r="AG28" s="606">
        <v>61</v>
      </c>
      <c r="AH28" s="606">
        <v>59</v>
      </c>
      <c r="AI28" s="606">
        <v>59</v>
      </c>
      <c r="AJ28" s="606">
        <v>63</v>
      </c>
      <c r="AK28" s="606">
        <v>66.900000000000006</v>
      </c>
      <c r="AL28" s="606">
        <v>70</v>
      </c>
      <c r="AM28" s="606">
        <v>75</v>
      </c>
      <c r="AN28" s="606">
        <v>77</v>
      </c>
      <c r="AO28" s="606">
        <v>78.8</v>
      </c>
      <c r="AP28" s="606">
        <v>80.099999999999994</v>
      </c>
      <c r="AQ28" s="606">
        <v>82.9</v>
      </c>
      <c r="AR28" s="606">
        <v>82.9</v>
      </c>
      <c r="AS28" s="606">
        <v>82.9</v>
      </c>
      <c r="AT28" s="606">
        <v>82</v>
      </c>
      <c r="AU28" s="606">
        <v>80.099999999999994</v>
      </c>
      <c r="AV28" s="606">
        <v>79</v>
      </c>
      <c r="AW28" s="606">
        <v>78.099999999999994</v>
      </c>
      <c r="AX28" s="606">
        <v>75.900000000000006</v>
      </c>
      <c r="AY28" s="606">
        <v>73.900000000000006</v>
      </c>
      <c r="AZ28" s="606">
        <v>73</v>
      </c>
      <c r="BB28" s="602">
        <f t="shared" si="7"/>
        <v>41845</v>
      </c>
      <c r="BC28" s="606">
        <v>2046</v>
      </c>
      <c r="BD28" s="606">
        <v>1944</v>
      </c>
      <c r="BE28" s="606">
        <v>1881</v>
      </c>
      <c r="BF28" s="606">
        <v>1891</v>
      </c>
      <c r="BG28" s="606">
        <v>1921</v>
      </c>
      <c r="BH28" s="606">
        <v>2026</v>
      </c>
      <c r="BI28" s="606">
        <v>2196</v>
      </c>
      <c r="BJ28" s="606">
        <v>2296</v>
      </c>
      <c r="BK28" s="606">
        <v>2466</v>
      </c>
      <c r="BL28" s="606">
        <v>2628</v>
      </c>
      <c r="BM28" s="606">
        <v>2758</v>
      </c>
      <c r="BN28" s="606">
        <v>2864</v>
      </c>
      <c r="BO28" s="606">
        <v>2933</v>
      </c>
      <c r="BP28" s="606">
        <v>3027</v>
      </c>
      <c r="BQ28" s="606">
        <v>3156</v>
      </c>
      <c r="BR28" s="606">
        <v>3159</v>
      </c>
      <c r="BS28" s="606">
        <v>3128</v>
      </c>
      <c r="BT28" s="606">
        <v>3044</v>
      </c>
      <c r="BU28" s="606">
        <v>2905</v>
      </c>
      <c r="BV28" s="606">
        <v>2803</v>
      </c>
      <c r="BW28" s="606">
        <v>2742</v>
      </c>
      <c r="BX28" s="606">
        <v>2628</v>
      </c>
      <c r="BY28" s="606">
        <v>2453</v>
      </c>
      <c r="BZ28" s="606">
        <v>2278</v>
      </c>
      <c r="CA28" s="603"/>
      <c r="CB28" s="602">
        <f t="shared" si="8"/>
        <v>41845</v>
      </c>
      <c r="CC28" s="606">
        <v>1292.0780029296875</v>
      </c>
      <c r="CD28" s="606">
        <v>1239.3779296875</v>
      </c>
      <c r="CE28" s="606">
        <v>1207.47705078125</v>
      </c>
      <c r="CF28" s="606">
        <v>1191.0780029296875</v>
      </c>
      <c r="CG28" s="606">
        <v>1215.97705078125</v>
      </c>
      <c r="CH28" s="606">
        <v>1279.677001953125</v>
      </c>
      <c r="CI28" s="606">
        <v>1319.574951171875</v>
      </c>
      <c r="CJ28" s="606">
        <v>1385.078857421875</v>
      </c>
      <c r="CK28" s="606">
        <v>1496.4801025390625</v>
      </c>
      <c r="CL28" s="606">
        <v>1598.6800537109375</v>
      </c>
      <c r="CM28" s="606">
        <v>1686.280029296875</v>
      </c>
      <c r="CN28" s="606">
        <v>1761.1820068359375</v>
      </c>
      <c r="CO28" s="606">
        <v>1855.9798583984375</v>
      </c>
      <c r="CP28" s="606">
        <v>1917.8819580078125</v>
      </c>
      <c r="CQ28" s="606">
        <v>1983.8800048828125</v>
      </c>
      <c r="CR28" s="606">
        <v>1982.8809814453125</v>
      </c>
      <c r="CS28" s="606">
        <v>1929.8809814453125</v>
      </c>
      <c r="CT28" s="606">
        <v>1857.8800048828125</v>
      </c>
      <c r="CU28" s="606">
        <v>1792.3798828125</v>
      </c>
      <c r="CV28" s="606">
        <v>1735.880859375</v>
      </c>
      <c r="CW28" s="606">
        <v>1709.379150390625</v>
      </c>
      <c r="CX28" s="606">
        <v>1626.279052734375</v>
      </c>
      <c r="CY28" s="606">
        <v>1522.379150390625</v>
      </c>
      <c r="CZ28" s="606">
        <v>1416.3780517578125</v>
      </c>
    </row>
    <row r="29" spans="1:104">
      <c r="A29" s="601">
        <v>26</v>
      </c>
      <c r="B29" s="602">
        <f>'Input Data'!A29</f>
        <v>41846</v>
      </c>
      <c r="C29" s="626" t="e">
        <v>#N/A</v>
      </c>
      <c r="D29" s="626">
        <v>66.900000000000006</v>
      </c>
      <c r="E29" s="626">
        <v>68</v>
      </c>
      <c r="F29" s="626">
        <v>68</v>
      </c>
      <c r="G29" s="626">
        <v>66</v>
      </c>
      <c r="H29" s="626">
        <v>66</v>
      </c>
      <c r="I29" s="626">
        <v>64</v>
      </c>
      <c r="J29" s="626">
        <v>66.45</v>
      </c>
      <c r="K29" s="626">
        <v>73</v>
      </c>
      <c r="L29" s="626">
        <v>72</v>
      </c>
      <c r="M29" s="626" t="e">
        <v>#N/A</v>
      </c>
      <c r="N29" s="626">
        <v>75</v>
      </c>
      <c r="O29" s="626" t="e">
        <v>#N/A</v>
      </c>
      <c r="P29" s="626">
        <v>82</v>
      </c>
      <c r="Q29" s="626">
        <v>84.9</v>
      </c>
      <c r="R29" s="626">
        <v>86</v>
      </c>
      <c r="S29" s="626">
        <v>87.1</v>
      </c>
      <c r="T29" s="626">
        <v>87.1</v>
      </c>
      <c r="U29" s="626">
        <v>86</v>
      </c>
      <c r="V29" s="626">
        <v>84</v>
      </c>
      <c r="W29" s="626">
        <v>81</v>
      </c>
      <c r="X29" s="626">
        <v>79</v>
      </c>
      <c r="Y29" s="626">
        <v>80.099999999999994</v>
      </c>
      <c r="Z29" s="626">
        <v>75</v>
      </c>
      <c r="AA29" s="603"/>
      <c r="AB29" s="602">
        <f t="shared" si="6"/>
        <v>41846</v>
      </c>
      <c r="AC29" s="606">
        <v>73</v>
      </c>
      <c r="AD29" s="606">
        <v>72</v>
      </c>
      <c r="AE29" s="606">
        <v>71.099999999999994</v>
      </c>
      <c r="AF29" s="606">
        <v>69.099999999999994</v>
      </c>
      <c r="AG29" s="606">
        <v>68</v>
      </c>
      <c r="AH29" s="606">
        <v>68</v>
      </c>
      <c r="AI29" s="606">
        <v>68</v>
      </c>
      <c r="AJ29" s="606">
        <v>68</v>
      </c>
      <c r="AK29" s="606">
        <v>70</v>
      </c>
      <c r="AL29" s="606">
        <v>71.099999999999994</v>
      </c>
      <c r="AM29" s="606" t="e">
        <v>#N/A</v>
      </c>
      <c r="AN29" s="606">
        <v>80.099999999999994</v>
      </c>
      <c r="AO29" s="606" t="e">
        <v>#N/A</v>
      </c>
      <c r="AP29" s="606" t="e">
        <v>#N/A</v>
      </c>
      <c r="AQ29" s="606">
        <v>88</v>
      </c>
      <c r="AR29" s="606">
        <v>91</v>
      </c>
      <c r="AS29" s="606">
        <v>91</v>
      </c>
      <c r="AT29" s="606">
        <v>93</v>
      </c>
      <c r="AU29" s="606">
        <v>93</v>
      </c>
      <c r="AV29" s="606">
        <v>91</v>
      </c>
      <c r="AW29" s="606">
        <v>89.1</v>
      </c>
      <c r="AX29" s="606">
        <v>87</v>
      </c>
      <c r="AY29" s="606">
        <v>72.150000000000006</v>
      </c>
      <c r="AZ29" s="606">
        <v>72</v>
      </c>
      <c r="BB29" s="602">
        <f t="shared" si="7"/>
        <v>41846</v>
      </c>
      <c r="BC29" s="606">
        <v>2069</v>
      </c>
      <c r="BD29" s="606">
        <v>1988</v>
      </c>
      <c r="BE29" s="606">
        <v>1911</v>
      </c>
      <c r="BF29" s="606">
        <v>1887</v>
      </c>
      <c r="BG29" s="606">
        <v>1888</v>
      </c>
      <c r="BH29" s="606">
        <v>1881</v>
      </c>
      <c r="BI29" s="606">
        <v>1916</v>
      </c>
      <c r="BJ29" s="606">
        <v>2110</v>
      </c>
      <c r="BK29" s="606">
        <v>2205</v>
      </c>
      <c r="BL29" s="606">
        <v>2356</v>
      </c>
      <c r="BM29" s="606">
        <v>2447</v>
      </c>
      <c r="BN29" s="606">
        <v>2578</v>
      </c>
      <c r="BO29" s="606">
        <v>2796</v>
      </c>
      <c r="BP29" s="606">
        <v>2923</v>
      </c>
      <c r="BQ29" s="606">
        <v>3030</v>
      </c>
      <c r="BR29" s="606">
        <v>3156</v>
      </c>
      <c r="BS29" s="606">
        <v>3254</v>
      </c>
      <c r="BT29" s="606">
        <v>3190</v>
      </c>
      <c r="BU29" s="606">
        <v>3121</v>
      </c>
      <c r="BV29" s="606">
        <v>2998</v>
      </c>
      <c r="BW29" s="606">
        <v>2997</v>
      </c>
      <c r="BX29" s="606">
        <v>2827</v>
      </c>
      <c r="BY29" s="606">
        <v>2583</v>
      </c>
      <c r="BZ29" s="606">
        <v>2400</v>
      </c>
      <c r="CA29" s="603"/>
      <c r="CB29" s="602">
        <f t="shared" si="8"/>
        <v>41846</v>
      </c>
      <c r="CC29" s="606">
        <v>1348.879150390625</v>
      </c>
      <c r="CD29" s="606">
        <v>1272.2779541015625</v>
      </c>
      <c r="CE29" s="606">
        <v>1219.8779296875</v>
      </c>
      <c r="CF29" s="606">
        <v>1172.177978515625</v>
      </c>
      <c r="CG29" s="606">
        <v>1171.0780029296875</v>
      </c>
      <c r="CH29" s="606">
        <v>1172.0780029296875</v>
      </c>
      <c r="CI29" s="606">
        <v>1186.7789306640625</v>
      </c>
      <c r="CJ29" s="606">
        <v>1256.2779541015625</v>
      </c>
      <c r="CK29" s="606">
        <v>1318.078125</v>
      </c>
      <c r="CL29" s="606">
        <v>1379.678955078125</v>
      </c>
      <c r="CM29" s="606">
        <v>1493.4791259765625</v>
      </c>
      <c r="CN29" s="606">
        <v>1634.1810302734375</v>
      </c>
      <c r="CO29" s="606">
        <v>1790.080078125</v>
      </c>
      <c r="CP29" s="606">
        <v>1921.07275390625</v>
      </c>
      <c r="CQ29" s="606">
        <v>2029.0809326171875</v>
      </c>
      <c r="CR29" s="606">
        <v>2139.98193359375</v>
      </c>
      <c r="CS29" s="606">
        <v>2198.982177734375</v>
      </c>
      <c r="CT29" s="606">
        <v>2224.380859375</v>
      </c>
      <c r="CU29" s="606">
        <v>2183.681884765625</v>
      </c>
      <c r="CV29" s="606">
        <v>2125.98095703125</v>
      </c>
      <c r="CW29" s="606">
        <v>2090.18017578125</v>
      </c>
      <c r="CX29" s="606">
        <v>1767.4176025390625</v>
      </c>
      <c r="CY29" s="606">
        <v>1585.677978515625</v>
      </c>
      <c r="CZ29" s="606">
        <v>1476.5780029296875</v>
      </c>
    </row>
    <row r="30" spans="1:104">
      <c r="A30" s="601">
        <v>27</v>
      </c>
      <c r="B30" s="602">
        <f>'Input Data'!A30</f>
        <v>41847</v>
      </c>
      <c r="C30" s="626">
        <v>72.966666666666669</v>
      </c>
      <c r="D30" s="626">
        <v>71.099999999999994</v>
      </c>
      <c r="E30" s="626">
        <v>72</v>
      </c>
      <c r="F30" s="626">
        <v>72</v>
      </c>
      <c r="G30" s="626">
        <v>72</v>
      </c>
      <c r="H30" s="626">
        <v>72</v>
      </c>
      <c r="I30" s="626">
        <v>71.55</v>
      </c>
      <c r="J30" s="626">
        <v>71.7</v>
      </c>
      <c r="K30" s="626">
        <v>70.733333333333334</v>
      </c>
      <c r="L30" s="626">
        <v>69.666666666666671</v>
      </c>
      <c r="M30" s="626">
        <v>70.224999999999994</v>
      </c>
      <c r="N30" s="626">
        <v>71.044444444444437</v>
      </c>
      <c r="O30" s="626">
        <v>71.55</v>
      </c>
      <c r="P30" s="626">
        <v>71.674999999999997</v>
      </c>
      <c r="Q30" s="626">
        <v>72.966666666666669</v>
      </c>
      <c r="R30" s="626">
        <v>76.55</v>
      </c>
      <c r="S30" s="626">
        <v>84</v>
      </c>
      <c r="T30" s="626">
        <v>86</v>
      </c>
      <c r="U30" s="626">
        <v>86</v>
      </c>
      <c r="V30" s="626">
        <v>84</v>
      </c>
      <c r="W30" s="626">
        <v>81</v>
      </c>
      <c r="X30" s="626">
        <v>80.099999999999994</v>
      </c>
      <c r="Y30" s="626">
        <v>73.3</v>
      </c>
      <c r="Z30" s="626">
        <v>72</v>
      </c>
      <c r="AA30" s="603"/>
      <c r="AB30" s="602">
        <f t="shared" si="6"/>
        <v>41847</v>
      </c>
      <c r="AC30" s="606">
        <v>71.55</v>
      </c>
      <c r="AD30" s="606">
        <v>72</v>
      </c>
      <c r="AE30" s="606">
        <v>71.099999999999994</v>
      </c>
      <c r="AF30" s="606">
        <v>71.099999999999994</v>
      </c>
      <c r="AG30" s="606">
        <v>72.333333333333329</v>
      </c>
      <c r="AH30" s="606">
        <v>72.36666666666666</v>
      </c>
      <c r="AI30" s="606">
        <v>70.066666666666663</v>
      </c>
      <c r="AJ30" s="606">
        <v>69.599999999999994</v>
      </c>
      <c r="AK30" s="606">
        <v>70.42</v>
      </c>
      <c r="AL30" s="606">
        <v>71.674999999999997</v>
      </c>
      <c r="AM30" s="606">
        <v>71.933333333333337</v>
      </c>
      <c r="AN30" s="606">
        <v>72</v>
      </c>
      <c r="AO30" s="606">
        <v>72.599999999999994</v>
      </c>
      <c r="AP30" s="606">
        <v>75.224999999999994</v>
      </c>
      <c r="AQ30" s="606">
        <v>81.95</v>
      </c>
      <c r="AR30" s="606">
        <v>88</v>
      </c>
      <c r="AS30" s="606">
        <v>89.1</v>
      </c>
      <c r="AT30" s="606">
        <v>90</v>
      </c>
      <c r="AU30" s="606">
        <v>88</v>
      </c>
      <c r="AV30" s="606">
        <v>86</v>
      </c>
      <c r="AW30" s="606">
        <v>84</v>
      </c>
      <c r="AX30" s="606">
        <v>82</v>
      </c>
      <c r="AY30" s="606">
        <v>78.099999999999994</v>
      </c>
      <c r="AZ30" s="606">
        <v>77</v>
      </c>
      <c r="BB30" s="602">
        <f t="shared" si="7"/>
        <v>41847</v>
      </c>
      <c r="BC30" s="606">
        <v>2203</v>
      </c>
      <c r="BD30" s="606">
        <v>2107</v>
      </c>
      <c r="BE30" s="606">
        <v>2023</v>
      </c>
      <c r="BF30" s="606">
        <v>1975</v>
      </c>
      <c r="BG30" s="606">
        <v>1945</v>
      </c>
      <c r="BH30" s="606">
        <v>1984</v>
      </c>
      <c r="BI30" s="606">
        <v>2008</v>
      </c>
      <c r="BJ30" s="606">
        <v>2101</v>
      </c>
      <c r="BK30" s="606">
        <v>2189</v>
      </c>
      <c r="BL30" s="606">
        <v>2297</v>
      </c>
      <c r="BM30" s="606">
        <v>2338</v>
      </c>
      <c r="BN30" s="606">
        <v>2391</v>
      </c>
      <c r="BO30" s="606">
        <v>2445</v>
      </c>
      <c r="BP30" s="606">
        <v>2513</v>
      </c>
      <c r="BQ30" s="606">
        <v>2606</v>
      </c>
      <c r="BR30" s="606">
        <v>2716</v>
      </c>
      <c r="BS30" s="606">
        <v>2829</v>
      </c>
      <c r="BT30" s="606">
        <v>2902</v>
      </c>
      <c r="BU30" s="606">
        <v>2903</v>
      </c>
      <c r="BV30" s="606">
        <v>2803</v>
      </c>
      <c r="BW30" s="606">
        <v>2833</v>
      </c>
      <c r="BX30" s="606">
        <v>2622</v>
      </c>
      <c r="BY30" s="606">
        <v>2387</v>
      </c>
      <c r="BZ30" s="606">
        <v>2129</v>
      </c>
      <c r="CA30" s="603"/>
      <c r="CB30" s="602">
        <f t="shared" si="8"/>
        <v>41847</v>
      </c>
      <c r="CC30" s="606">
        <v>1385.77685546875</v>
      </c>
      <c r="CD30" s="606">
        <v>1323.177978515625</v>
      </c>
      <c r="CE30" s="606">
        <v>1275.47802734375</v>
      </c>
      <c r="CF30" s="606">
        <v>1244.6781005859375</v>
      </c>
      <c r="CG30" s="606">
        <v>1246.97705078125</v>
      </c>
      <c r="CH30" s="606">
        <v>1238.47705078125</v>
      </c>
      <c r="CI30" s="606">
        <v>1229.5699462890625</v>
      </c>
      <c r="CJ30" s="606">
        <v>1280.1619873046875</v>
      </c>
      <c r="CK30" s="606">
        <v>1325.6768798828125</v>
      </c>
      <c r="CL30" s="606">
        <v>1392.87890625</v>
      </c>
      <c r="CM30" s="606">
        <v>1428.47900390625</v>
      </c>
      <c r="CN30" s="606">
        <v>1436.677978515625</v>
      </c>
      <c r="CO30" s="606">
        <v>1491.6800537109375</v>
      </c>
      <c r="CP30" s="606">
        <v>1575.1800537109375</v>
      </c>
      <c r="CQ30" s="606">
        <v>1764.8809814453125</v>
      </c>
      <c r="CR30" s="606">
        <v>1915.880126953125</v>
      </c>
      <c r="CS30" s="606">
        <v>2013.6820068359375</v>
      </c>
      <c r="CT30" s="606">
        <v>2037.6810302734375</v>
      </c>
      <c r="CU30" s="606">
        <v>2005.280029296875</v>
      </c>
      <c r="CV30" s="606">
        <v>1934.179931640625</v>
      </c>
      <c r="CW30" s="606">
        <v>1903.4798583984375</v>
      </c>
      <c r="CX30" s="606">
        <v>1757.678955078125</v>
      </c>
      <c r="CY30" s="606">
        <v>1597.9781494140625</v>
      </c>
      <c r="CZ30" s="606">
        <v>1460.4349365234375</v>
      </c>
    </row>
    <row r="31" spans="1:104">
      <c r="A31" s="601">
        <v>28</v>
      </c>
      <c r="B31" s="602">
        <f>'Input Data'!A31</f>
        <v>41848</v>
      </c>
      <c r="C31" s="626">
        <v>70</v>
      </c>
      <c r="D31" s="626">
        <v>70</v>
      </c>
      <c r="E31" s="626">
        <v>66.900000000000006</v>
      </c>
      <c r="F31" s="626">
        <v>66.900000000000006</v>
      </c>
      <c r="G31" s="626">
        <v>64.900000000000006</v>
      </c>
      <c r="H31" s="626">
        <v>63</v>
      </c>
      <c r="I31" s="626">
        <v>64</v>
      </c>
      <c r="J31" s="626">
        <v>66</v>
      </c>
      <c r="K31" s="626">
        <v>68</v>
      </c>
      <c r="L31" s="626">
        <v>68</v>
      </c>
      <c r="M31" s="626">
        <v>69.900000000000006</v>
      </c>
      <c r="N31" s="626">
        <v>70</v>
      </c>
      <c r="O31" s="626">
        <v>71</v>
      </c>
      <c r="P31" s="626">
        <v>71.099999999999994</v>
      </c>
      <c r="Q31" s="626">
        <v>72.033333333333331</v>
      </c>
      <c r="R31" s="626">
        <v>71.599999999999994</v>
      </c>
      <c r="S31" s="626">
        <v>72</v>
      </c>
      <c r="T31" s="626">
        <v>73.900000000000006</v>
      </c>
      <c r="U31" s="626">
        <v>73</v>
      </c>
      <c r="V31" s="626">
        <v>71.099999999999994</v>
      </c>
      <c r="W31" s="626">
        <v>68</v>
      </c>
      <c r="X31" s="626">
        <v>64.900000000000006</v>
      </c>
      <c r="Y31" s="626">
        <v>64</v>
      </c>
      <c r="Z31" s="626">
        <v>63</v>
      </c>
      <c r="AA31" s="603"/>
      <c r="AB31" s="602">
        <f t="shared" si="6"/>
        <v>41848</v>
      </c>
      <c r="AC31" s="606">
        <v>75</v>
      </c>
      <c r="AD31" s="606">
        <v>72</v>
      </c>
      <c r="AE31" s="606">
        <v>71.099999999999994</v>
      </c>
      <c r="AF31" s="606">
        <v>69.099999999999994</v>
      </c>
      <c r="AG31" s="606">
        <v>68</v>
      </c>
      <c r="AH31" s="606">
        <v>66</v>
      </c>
      <c r="AI31" s="606">
        <v>64.900000000000006</v>
      </c>
      <c r="AJ31" s="606">
        <v>66.900000000000006</v>
      </c>
      <c r="AK31" s="606">
        <v>68</v>
      </c>
      <c r="AL31" s="606">
        <v>69.8</v>
      </c>
      <c r="AM31" s="606">
        <v>70</v>
      </c>
      <c r="AN31" s="606">
        <v>72</v>
      </c>
      <c r="AO31" s="606">
        <v>73.900000000000006</v>
      </c>
      <c r="AP31" s="606">
        <v>73.400000000000006</v>
      </c>
      <c r="AQ31" s="606">
        <v>75.2</v>
      </c>
      <c r="AR31" s="606">
        <v>77</v>
      </c>
      <c r="AS31" s="606">
        <v>75.900000000000006</v>
      </c>
      <c r="AT31" s="606">
        <v>75.900000000000006</v>
      </c>
      <c r="AU31" s="606">
        <v>75</v>
      </c>
      <c r="AV31" s="606">
        <v>75</v>
      </c>
      <c r="AW31" s="606">
        <v>73</v>
      </c>
      <c r="AX31" s="606">
        <v>70</v>
      </c>
      <c r="AY31" s="606">
        <v>68</v>
      </c>
      <c r="AZ31" s="606">
        <v>66</v>
      </c>
      <c r="BB31" s="602">
        <f t="shared" si="7"/>
        <v>41848</v>
      </c>
      <c r="BC31" s="606">
        <v>1975</v>
      </c>
      <c r="BD31" s="606">
        <v>1891</v>
      </c>
      <c r="BE31" s="606">
        <v>1836</v>
      </c>
      <c r="BF31" s="606">
        <v>1825</v>
      </c>
      <c r="BG31" s="606">
        <v>1898</v>
      </c>
      <c r="BH31" s="606">
        <v>2040</v>
      </c>
      <c r="BI31" s="606">
        <v>2194</v>
      </c>
      <c r="BJ31" s="606">
        <v>2378</v>
      </c>
      <c r="BK31" s="606">
        <v>2514</v>
      </c>
      <c r="BL31" s="606">
        <v>2616</v>
      </c>
      <c r="BM31" s="606">
        <v>2692</v>
      </c>
      <c r="BN31" s="606">
        <v>2764</v>
      </c>
      <c r="BO31" s="606">
        <v>2799</v>
      </c>
      <c r="BP31" s="606">
        <v>2833</v>
      </c>
      <c r="BQ31" s="606">
        <v>2829</v>
      </c>
      <c r="BR31" s="606">
        <v>2807</v>
      </c>
      <c r="BS31" s="606">
        <v>2803</v>
      </c>
      <c r="BT31" s="606">
        <v>2777</v>
      </c>
      <c r="BU31" s="606">
        <v>2702</v>
      </c>
      <c r="BV31" s="606">
        <v>2623</v>
      </c>
      <c r="BW31" s="606">
        <v>2597</v>
      </c>
      <c r="BX31" s="606">
        <v>2431</v>
      </c>
      <c r="BY31" s="606">
        <v>2240</v>
      </c>
      <c r="BZ31" s="606">
        <v>2056</v>
      </c>
      <c r="CA31" s="603"/>
      <c r="CB31" s="602">
        <f t="shared" si="8"/>
        <v>41848</v>
      </c>
      <c r="CC31" s="606">
        <v>1348.44921875</v>
      </c>
      <c r="CD31" s="606">
        <v>1276.72900390625</v>
      </c>
      <c r="CE31" s="606">
        <v>1224.5008544921875</v>
      </c>
      <c r="CF31" s="606">
        <v>1233.1429443359375</v>
      </c>
      <c r="CG31" s="606">
        <v>1270.511962890625</v>
      </c>
      <c r="CH31" s="606">
        <v>1317.6148681640625</v>
      </c>
      <c r="CI31" s="606">
        <v>1352.806884765625</v>
      </c>
      <c r="CJ31" s="606">
        <v>1415.4168701171875</v>
      </c>
      <c r="CK31" s="606">
        <v>1475.598876953125</v>
      </c>
      <c r="CL31" s="606">
        <v>1521.118896484375</v>
      </c>
      <c r="CM31" s="606">
        <v>1573.449951171875</v>
      </c>
      <c r="CN31" s="606">
        <v>1614.3968505859375</v>
      </c>
      <c r="CO31" s="606">
        <v>1682.8798828125</v>
      </c>
      <c r="CP31" s="606">
        <v>1728.0799560546875</v>
      </c>
      <c r="CQ31" s="606">
        <v>1752.1790771484375</v>
      </c>
      <c r="CR31" s="606">
        <v>1777.3800048828125</v>
      </c>
      <c r="CS31" s="606">
        <v>1765.47900390625</v>
      </c>
      <c r="CT31" s="606">
        <v>1751.678955078125</v>
      </c>
      <c r="CU31" s="606">
        <v>1697.178955078125</v>
      </c>
      <c r="CV31" s="606">
        <v>1624.9791259765625</v>
      </c>
      <c r="CW31" s="606">
        <v>1603.078125</v>
      </c>
      <c r="CX31" s="606">
        <v>1523.6778564453125</v>
      </c>
      <c r="CY31" s="606">
        <v>1397.8741455078125</v>
      </c>
      <c r="CZ31" s="606">
        <v>1281.2750244140625</v>
      </c>
    </row>
    <row r="32" spans="1:104">
      <c r="A32" s="601">
        <v>29</v>
      </c>
      <c r="B32" s="602">
        <f>'Input Data'!A32</f>
        <v>41849</v>
      </c>
      <c r="C32" s="626">
        <v>61</v>
      </c>
      <c r="D32" s="626">
        <v>59</v>
      </c>
      <c r="E32" s="626">
        <v>57</v>
      </c>
      <c r="F32" s="626">
        <v>55</v>
      </c>
      <c r="G32" s="626">
        <v>54</v>
      </c>
      <c r="H32" s="626">
        <v>53.1</v>
      </c>
      <c r="I32" s="626">
        <v>52</v>
      </c>
      <c r="J32" s="626">
        <v>54</v>
      </c>
      <c r="K32" s="626">
        <v>57</v>
      </c>
      <c r="L32" s="626">
        <v>61</v>
      </c>
      <c r="M32" s="626">
        <v>64</v>
      </c>
      <c r="N32" s="626">
        <v>66.900000000000006</v>
      </c>
      <c r="O32" s="626">
        <v>66.900000000000006</v>
      </c>
      <c r="P32" s="626">
        <v>71.099999999999994</v>
      </c>
      <c r="Q32" s="626">
        <v>71.099999999999994</v>
      </c>
      <c r="R32" s="626">
        <v>73</v>
      </c>
      <c r="S32" s="626">
        <v>73</v>
      </c>
      <c r="T32" s="626">
        <v>73.400000000000006</v>
      </c>
      <c r="U32" s="626">
        <v>73</v>
      </c>
      <c r="V32" s="626">
        <v>71.099999999999994</v>
      </c>
      <c r="W32" s="626">
        <v>68</v>
      </c>
      <c r="X32" s="626">
        <v>64.400000000000006</v>
      </c>
      <c r="Y32" s="626">
        <v>62.1</v>
      </c>
      <c r="Z32" s="626">
        <v>59</v>
      </c>
      <c r="AA32" s="603"/>
      <c r="AB32" s="602">
        <f t="shared" si="6"/>
        <v>41849</v>
      </c>
      <c r="AC32" s="606">
        <v>64</v>
      </c>
      <c r="AD32" s="606">
        <v>62.1</v>
      </c>
      <c r="AE32" s="606">
        <v>60.1</v>
      </c>
      <c r="AF32" s="606">
        <v>57.9</v>
      </c>
      <c r="AG32" s="606">
        <v>55.9</v>
      </c>
      <c r="AH32" s="606">
        <v>55</v>
      </c>
      <c r="AI32" s="606">
        <v>54</v>
      </c>
      <c r="AJ32" s="606">
        <v>57</v>
      </c>
      <c r="AK32" s="606">
        <v>60.1</v>
      </c>
      <c r="AL32" s="606">
        <v>62.6</v>
      </c>
      <c r="AM32" s="606">
        <v>64.900000000000006</v>
      </c>
      <c r="AN32" s="606">
        <v>68</v>
      </c>
      <c r="AO32" s="606">
        <v>70</v>
      </c>
      <c r="AP32" s="606">
        <v>73</v>
      </c>
      <c r="AQ32" s="606">
        <v>75.900000000000006</v>
      </c>
      <c r="AR32" s="606">
        <v>77</v>
      </c>
      <c r="AS32" s="606">
        <v>77</v>
      </c>
      <c r="AT32" s="606">
        <v>77</v>
      </c>
      <c r="AU32" s="606">
        <v>77</v>
      </c>
      <c r="AV32" s="606">
        <v>75.900000000000006</v>
      </c>
      <c r="AW32" s="606">
        <v>73</v>
      </c>
      <c r="AX32" s="606">
        <v>71.099999999999994</v>
      </c>
      <c r="AY32" s="606">
        <v>68</v>
      </c>
      <c r="AZ32" s="606">
        <v>66.900000000000006</v>
      </c>
      <c r="BB32" s="602">
        <f t="shared" si="7"/>
        <v>41849</v>
      </c>
      <c r="BC32" s="606">
        <v>1899</v>
      </c>
      <c r="BD32" s="606">
        <v>1796</v>
      </c>
      <c r="BE32" s="606">
        <v>1750</v>
      </c>
      <c r="BF32" s="606">
        <v>1737</v>
      </c>
      <c r="BG32" s="606">
        <v>1808</v>
      </c>
      <c r="BH32" s="606">
        <v>1928</v>
      </c>
      <c r="BI32" s="606">
        <v>2052</v>
      </c>
      <c r="BJ32" s="606">
        <v>2186</v>
      </c>
      <c r="BK32" s="606">
        <v>2300</v>
      </c>
      <c r="BL32" s="606">
        <v>2390</v>
      </c>
      <c r="BM32" s="606">
        <v>2456</v>
      </c>
      <c r="BN32" s="606">
        <v>2525</v>
      </c>
      <c r="BO32" s="606">
        <v>2587</v>
      </c>
      <c r="BP32" s="606">
        <v>2641</v>
      </c>
      <c r="BQ32" s="606">
        <v>2679</v>
      </c>
      <c r="BR32" s="606">
        <v>2664</v>
      </c>
      <c r="BS32" s="606">
        <v>2660</v>
      </c>
      <c r="BT32" s="606">
        <v>2643</v>
      </c>
      <c r="BU32" s="606">
        <v>2579</v>
      </c>
      <c r="BV32" s="606">
        <v>2512</v>
      </c>
      <c r="BW32" s="606">
        <v>2503</v>
      </c>
      <c r="BX32" s="606">
        <v>2335</v>
      </c>
      <c r="BY32" s="606">
        <v>2140</v>
      </c>
      <c r="BZ32" s="606">
        <v>1978</v>
      </c>
      <c r="CA32" s="603"/>
      <c r="CB32" s="602">
        <f t="shared" si="8"/>
        <v>41849</v>
      </c>
      <c r="CC32" s="606">
        <v>1192.8741455078125</v>
      </c>
      <c r="CD32" s="606">
        <v>1126.27294921875</v>
      </c>
      <c r="CE32" s="606">
        <v>1121.0731201171875</v>
      </c>
      <c r="CF32" s="606">
        <v>1112.27197265625</v>
      </c>
      <c r="CG32" s="606">
        <v>1139.6661376953125</v>
      </c>
      <c r="CH32" s="606">
        <v>1208.656982421875</v>
      </c>
      <c r="CI32" s="606">
        <v>1241.4720458984375</v>
      </c>
      <c r="CJ32" s="606">
        <v>1303.072998046875</v>
      </c>
      <c r="CK32" s="606">
        <v>1357.8779296875</v>
      </c>
      <c r="CL32" s="606">
        <v>1423.6781005859375</v>
      </c>
      <c r="CM32" s="606">
        <v>1467.0799560546875</v>
      </c>
      <c r="CN32" s="606">
        <v>1514.8790283203125</v>
      </c>
      <c r="CO32" s="606">
        <v>1570.880126953125</v>
      </c>
      <c r="CP32" s="606">
        <v>1603.9798583984375</v>
      </c>
      <c r="CQ32" s="606">
        <v>1648.780029296875</v>
      </c>
      <c r="CR32" s="606">
        <v>1680.3798828125</v>
      </c>
      <c r="CS32" s="606">
        <v>1704.3800048828125</v>
      </c>
      <c r="CT32" s="606">
        <v>1694.080078125</v>
      </c>
      <c r="CU32" s="606">
        <v>1647.5799560546875</v>
      </c>
      <c r="CV32" s="606">
        <v>1593.97998046875</v>
      </c>
      <c r="CW32" s="606">
        <v>1570.279052734375</v>
      </c>
      <c r="CX32" s="606">
        <v>1503.879150390625</v>
      </c>
      <c r="CY32" s="606">
        <v>1389.577880859375</v>
      </c>
      <c r="CZ32" s="606">
        <v>1282.8780517578125</v>
      </c>
    </row>
    <row r="33" spans="1:104">
      <c r="A33" s="601">
        <v>30</v>
      </c>
      <c r="B33" s="602">
        <f>'Input Data'!A33</f>
        <v>41850</v>
      </c>
      <c r="C33" s="626" t="e">
        <v>#N/A</v>
      </c>
      <c r="D33" s="626" t="e">
        <v>#N/A</v>
      </c>
      <c r="E33" s="626" t="e">
        <v>#N/A</v>
      </c>
      <c r="F33" s="626" t="e">
        <v>#N/A</v>
      </c>
      <c r="G33" s="626" t="e">
        <v>#N/A</v>
      </c>
      <c r="H33" s="626" t="e">
        <v>#N/A</v>
      </c>
      <c r="I33" s="626" t="e">
        <v>#N/A</v>
      </c>
      <c r="J33" s="626" t="e">
        <v>#N/A</v>
      </c>
      <c r="K33" s="626" t="e">
        <v>#N/A</v>
      </c>
      <c r="L33" s="626" t="e">
        <v>#N/A</v>
      </c>
      <c r="M33" s="626" t="e">
        <v>#N/A</v>
      </c>
      <c r="N33" s="626" t="e">
        <v>#N/A</v>
      </c>
      <c r="O33" s="626" t="e">
        <v>#N/A</v>
      </c>
      <c r="P33" s="626" t="e">
        <v>#N/A</v>
      </c>
      <c r="Q33" s="626" t="e">
        <v>#N/A</v>
      </c>
      <c r="R33" s="626" t="e">
        <v>#N/A</v>
      </c>
      <c r="S33" s="626" t="e">
        <v>#N/A</v>
      </c>
      <c r="T33" s="626" t="e">
        <v>#N/A</v>
      </c>
      <c r="U33" s="626" t="e">
        <v>#N/A</v>
      </c>
      <c r="V33" s="626" t="e">
        <v>#N/A</v>
      </c>
      <c r="W33" s="626" t="e">
        <v>#N/A</v>
      </c>
      <c r="X33" s="626" t="e">
        <v>#N/A</v>
      </c>
      <c r="Y33" s="626" t="e">
        <v>#N/A</v>
      </c>
      <c r="Z33" s="626" t="e">
        <v>#N/A</v>
      </c>
      <c r="AA33" s="603"/>
      <c r="AB33" s="602">
        <f t="shared" si="6"/>
        <v>41850</v>
      </c>
      <c r="AC33" s="606" t="e">
        <v>#N/A</v>
      </c>
      <c r="AD33" s="606" t="e">
        <v>#N/A</v>
      </c>
      <c r="AE33" s="606" t="e">
        <v>#N/A</v>
      </c>
      <c r="AF33" s="606" t="e">
        <v>#N/A</v>
      </c>
      <c r="AG33" s="606" t="e">
        <v>#N/A</v>
      </c>
      <c r="AH33" s="606" t="e">
        <v>#N/A</v>
      </c>
      <c r="AI33" s="606" t="e">
        <v>#N/A</v>
      </c>
      <c r="AJ33" s="606" t="e">
        <v>#N/A</v>
      </c>
      <c r="AK33" s="606" t="e">
        <v>#N/A</v>
      </c>
      <c r="AL33" s="606" t="e">
        <v>#N/A</v>
      </c>
      <c r="AM33" s="606" t="e">
        <v>#N/A</v>
      </c>
      <c r="AN33" s="606" t="e">
        <v>#N/A</v>
      </c>
      <c r="AO33" s="606" t="e">
        <v>#N/A</v>
      </c>
      <c r="AP33" s="606" t="e">
        <v>#N/A</v>
      </c>
      <c r="AQ33" s="606" t="e">
        <v>#N/A</v>
      </c>
      <c r="AR33" s="606" t="e">
        <v>#N/A</v>
      </c>
      <c r="AS33" s="606" t="e">
        <v>#N/A</v>
      </c>
      <c r="AT33" s="606" t="e">
        <v>#N/A</v>
      </c>
      <c r="AU33" s="606" t="e">
        <v>#N/A</v>
      </c>
      <c r="AV33" s="606" t="e">
        <v>#N/A</v>
      </c>
      <c r="AW33" s="606" t="e">
        <v>#N/A</v>
      </c>
      <c r="AX33" s="606" t="e">
        <v>#N/A</v>
      </c>
      <c r="AY33" s="606" t="e">
        <v>#N/A</v>
      </c>
      <c r="AZ33" s="606" t="e">
        <v>#N/A</v>
      </c>
      <c r="BB33" s="602">
        <f t="shared" si="7"/>
        <v>41850</v>
      </c>
      <c r="BC33" s="606">
        <v>1847</v>
      </c>
      <c r="BD33" s="606">
        <v>1768</v>
      </c>
      <c r="BE33" s="606">
        <v>1723</v>
      </c>
      <c r="BF33" s="606">
        <v>1716</v>
      </c>
      <c r="BG33" s="606">
        <v>0</v>
      </c>
      <c r="BH33" s="606">
        <v>0</v>
      </c>
      <c r="BI33" s="606">
        <v>0</v>
      </c>
      <c r="BJ33" s="606">
        <v>0</v>
      </c>
      <c r="BK33" s="606">
        <v>0</v>
      </c>
      <c r="BL33" s="606">
        <v>0</v>
      </c>
      <c r="BM33" s="606">
        <v>0</v>
      </c>
      <c r="BN33" s="606">
        <v>0</v>
      </c>
      <c r="BO33" s="606">
        <v>0</v>
      </c>
      <c r="BP33" s="606">
        <v>0</v>
      </c>
      <c r="BQ33" s="606">
        <v>0</v>
      </c>
      <c r="BR33" s="606">
        <v>0</v>
      </c>
      <c r="BS33" s="606">
        <v>0</v>
      </c>
      <c r="BT33" s="606">
        <v>0</v>
      </c>
      <c r="BU33" s="606">
        <v>0</v>
      </c>
      <c r="BV33" s="606">
        <v>0</v>
      </c>
      <c r="BW33" s="606">
        <v>0</v>
      </c>
      <c r="BX33" s="606">
        <v>0</v>
      </c>
      <c r="BY33" s="606">
        <v>0</v>
      </c>
      <c r="BZ33" s="606">
        <v>0</v>
      </c>
      <c r="CA33" s="603"/>
      <c r="CB33" s="602">
        <f t="shared" si="8"/>
        <v>41850</v>
      </c>
      <c r="CC33" s="606">
        <v>1217.2779541015625</v>
      </c>
      <c r="CD33" s="606">
        <v>1175.3759765625</v>
      </c>
      <c r="CE33" s="606">
        <v>1128.2779541015625</v>
      </c>
      <c r="CF33" s="606">
        <v>1115.177001953125</v>
      </c>
      <c r="CG33" s="606">
        <v>0</v>
      </c>
      <c r="CH33" s="606">
        <v>0</v>
      </c>
      <c r="CI33" s="606">
        <v>0</v>
      </c>
      <c r="CJ33" s="606">
        <v>0</v>
      </c>
      <c r="CK33" s="606">
        <v>0</v>
      </c>
      <c r="CL33" s="606">
        <v>0</v>
      </c>
      <c r="CM33" s="606">
        <v>0</v>
      </c>
      <c r="CN33" s="606">
        <v>0</v>
      </c>
      <c r="CO33" s="606">
        <v>0</v>
      </c>
      <c r="CP33" s="606">
        <v>0</v>
      </c>
      <c r="CQ33" s="606">
        <v>0</v>
      </c>
      <c r="CR33" s="606">
        <v>0</v>
      </c>
      <c r="CS33" s="606">
        <v>0</v>
      </c>
      <c r="CT33" s="606">
        <v>0</v>
      </c>
      <c r="CU33" s="606">
        <v>0</v>
      </c>
      <c r="CV33" s="606">
        <v>0</v>
      </c>
      <c r="CW33" s="606">
        <v>0</v>
      </c>
      <c r="CX33" s="606">
        <v>0</v>
      </c>
      <c r="CY33" s="606">
        <v>0</v>
      </c>
      <c r="CZ33" s="606">
        <v>0</v>
      </c>
    </row>
    <row r="34" spans="1:104">
      <c r="A34" s="601">
        <v>31</v>
      </c>
      <c r="B34" s="602">
        <f>'Input Data'!A34</f>
        <v>41851</v>
      </c>
      <c r="C34" s="626" t="e">
        <v>#N/A</v>
      </c>
      <c r="D34" s="626" t="e">
        <v>#N/A</v>
      </c>
      <c r="E34" s="626" t="e">
        <v>#N/A</v>
      </c>
      <c r="F34" s="626" t="e">
        <v>#N/A</v>
      </c>
      <c r="G34" s="626" t="e">
        <v>#N/A</v>
      </c>
      <c r="H34" s="626" t="e">
        <v>#N/A</v>
      </c>
      <c r="I34" s="626" t="e">
        <v>#N/A</v>
      </c>
      <c r="J34" s="626" t="e">
        <v>#N/A</v>
      </c>
      <c r="K34" s="626" t="e">
        <v>#N/A</v>
      </c>
      <c r="L34" s="626" t="e">
        <v>#N/A</v>
      </c>
      <c r="M34" s="626" t="e">
        <v>#N/A</v>
      </c>
      <c r="N34" s="626" t="e">
        <v>#N/A</v>
      </c>
      <c r="O34" s="626" t="e">
        <v>#N/A</v>
      </c>
      <c r="P34" s="626" t="e">
        <v>#N/A</v>
      </c>
      <c r="Q34" s="626" t="e">
        <v>#N/A</v>
      </c>
      <c r="R34" s="626" t="e">
        <v>#N/A</v>
      </c>
      <c r="S34" s="626" t="e">
        <v>#N/A</v>
      </c>
      <c r="T34" s="626" t="e">
        <v>#N/A</v>
      </c>
      <c r="U34" s="626" t="e">
        <v>#N/A</v>
      </c>
      <c r="V34" s="626" t="e">
        <v>#N/A</v>
      </c>
      <c r="W34" s="626" t="e">
        <v>#N/A</v>
      </c>
      <c r="X34" s="626" t="e">
        <v>#N/A</v>
      </c>
      <c r="Y34" s="626" t="e">
        <v>#N/A</v>
      </c>
      <c r="Z34" s="626" t="e">
        <v>#N/A</v>
      </c>
      <c r="AA34" s="603"/>
      <c r="AB34" s="602">
        <f t="shared" si="6"/>
        <v>41851</v>
      </c>
      <c r="AC34" s="606" t="e">
        <v>#N/A</v>
      </c>
      <c r="AD34" s="606" t="e">
        <v>#N/A</v>
      </c>
      <c r="AE34" s="606" t="e">
        <v>#N/A</v>
      </c>
      <c r="AF34" s="606" t="e">
        <v>#N/A</v>
      </c>
      <c r="AG34" s="606" t="e">
        <v>#N/A</v>
      </c>
      <c r="AH34" s="606" t="e">
        <v>#N/A</v>
      </c>
      <c r="AI34" s="606" t="e">
        <v>#N/A</v>
      </c>
      <c r="AJ34" s="606" t="e">
        <v>#N/A</v>
      </c>
      <c r="AK34" s="606" t="e">
        <v>#N/A</v>
      </c>
      <c r="AL34" s="606" t="e">
        <v>#N/A</v>
      </c>
      <c r="AM34" s="606" t="e">
        <v>#N/A</v>
      </c>
      <c r="AN34" s="606" t="e">
        <v>#N/A</v>
      </c>
      <c r="AO34" s="606" t="e">
        <v>#N/A</v>
      </c>
      <c r="AP34" s="606" t="e">
        <v>#N/A</v>
      </c>
      <c r="AQ34" s="606" t="e">
        <v>#N/A</v>
      </c>
      <c r="AR34" s="606" t="e">
        <v>#N/A</v>
      </c>
      <c r="AS34" s="606" t="e">
        <v>#N/A</v>
      </c>
      <c r="AT34" s="606" t="e">
        <v>#N/A</v>
      </c>
      <c r="AU34" s="606" t="e">
        <v>#N/A</v>
      </c>
      <c r="AV34" s="606" t="e">
        <v>#N/A</v>
      </c>
      <c r="AW34" s="606" t="e">
        <v>#N/A</v>
      </c>
      <c r="AX34" s="606" t="e">
        <v>#N/A</v>
      </c>
      <c r="AY34" s="606" t="e">
        <v>#N/A</v>
      </c>
      <c r="AZ34" s="606" t="e">
        <v>#N/A</v>
      </c>
      <c r="BB34" s="602">
        <f t="shared" si="7"/>
        <v>41851</v>
      </c>
      <c r="BC34" s="606">
        <v>0</v>
      </c>
      <c r="BD34" s="606">
        <v>0</v>
      </c>
      <c r="BE34" s="606">
        <v>0</v>
      </c>
      <c r="BF34" s="606">
        <v>0</v>
      </c>
      <c r="BG34" s="606">
        <v>0</v>
      </c>
      <c r="BH34" s="606">
        <v>0</v>
      </c>
      <c r="BI34" s="606">
        <v>0</v>
      </c>
      <c r="BJ34" s="606">
        <v>0</v>
      </c>
      <c r="BK34" s="606">
        <v>0</v>
      </c>
      <c r="BL34" s="606">
        <v>0</v>
      </c>
      <c r="BM34" s="606">
        <v>0</v>
      </c>
      <c r="BN34" s="606">
        <v>0</v>
      </c>
      <c r="BO34" s="606">
        <v>0</v>
      </c>
      <c r="BP34" s="606">
        <v>0</v>
      </c>
      <c r="BQ34" s="606">
        <v>0</v>
      </c>
      <c r="BR34" s="606">
        <v>0</v>
      </c>
      <c r="BS34" s="606">
        <v>0</v>
      </c>
      <c r="BT34" s="606">
        <v>0</v>
      </c>
      <c r="BU34" s="606">
        <v>0</v>
      </c>
      <c r="BV34" s="606">
        <v>0</v>
      </c>
      <c r="BW34" s="606">
        <v>0</v>
      </c>
      <c r="BX34" s="606">
        <v>0</v>
      </c>
      <c r="BY34" s="606">
        <v>0</v>
      </c>
      <c r="BZ34" s="606">
        <v>0</v>
      </c>
      <c r="CA34" s="603"/>
      <c r="CB34" s="602">
        <f t="shared" si="8"/>
        <v>41851</v>
      </c>
      <c r="CC34" s="606">
        <v>0</v>
      </c>
      <c r="CD34" s="606">
        <v>0</v>
      </c>
      <c r="CE34" s="606">
        <v>0</v>
      </c>
      <c r="CF34" s="606">
        <v>0</v>
      </c>
      <c r="CG34" s="606">
        <v>0</v>
      </c>
      <c r="CH34" s="606">
        <v>0</v>
      </c>
      <c r="CI34" s="606">
        <v>0</v>
      </c>
      <c r="CJ34" s="606">
        <v>0</v>
      </c>
      <c r="CK34" s="606">
        <v>0</v>
      </c>
      <c r="CL34" s="606">
        <v>0</v>
      </c>
      <c r="CM34" s="606">
        <v>0</v>
      </c>
      <c r="CN34" s="606">
        <v>0</v>
      </c>
      <c r="CO34" s="606">
        <v>0</v>
      </c>
      <c r="CP34" s="606">
        <v>0</v>
      </c>
      <c r="CQ34" s="606">
        <v>0</v>
      </c>
      <c r="CR34" s="606">
        <v>0</v>
      </c>
      <c r="CS34" s="606">
        <v>0</v>
      </c>
      <c r="CT34" s="606">
        <v>0</v>
      </c>
      <c r="CU34" s="606">
        <v>0</v>
      </c>
      <c r="CV34" s="606">
        <v>0</v>
      </c>
      <c r="CW34" s="606">
        <v>0</v>
      </c>
      <c r="CX34" s="606">
        <v>0</v>
      </c>
      <c r="CY34" s="606">
        <v>0</v>
      </c>
      <c r="CZ34" s="606">
        <v>0</v>
      </c>
    </row>
    <row r="35" spans="1:104">
      <c r="B35" s="602"/>
    </row>
    <row r="37" spans="1:104">
      <c r="B37" s="601" t="s">
        <v>341</v>
      </c>
      <c r="C37" s="627">
        <v>31</v>
      </c>
      <c r="D37" s="608">
        <f>VLOOKUP(C37,$A$4:$B$34,2,0)</f>
        <v>41851</v>
      </c>
      <c r="E37" s="627" t="str">
        <f>VLOOKUP(WEEKDAY(D37,1),$B$44:$C$50,2,0)</f>
        <v>Thursday</v>
      </c>
      <c r="H37" s="601" t="str">
        <f>"Hourly Load and Temperature - " &amp; TEXT(D37,"M/D/YYYY")</f>
        <v>Hourly Load and Temperature - 7/31/2014</v>
      </c>
    </row>
    <row r="38" spans="1:104">
      <c r="C38" s="625">
        <v>1</v>
      </c>
      <c r="D38" s="625">
        <f t="shared" ref="D38:Z38" si="9">C38+1</f>
        <v>2</v>
      </c>
      <c r="E38" s="625">
        <f t="shared" si="9"/>
        <v>3</v>
      </c>
      <c r="F38" s="625">
        <f t="shared" si="9"/>
        <v>4</v>
      </c>
      <c r="G38" s="604">
        <f t="shared" si="9"/>
        <v>5</v>
      </c>
      <c r="H38" s="604">
        <f t="shared" si="9"/>
        <v>6</v>
      </c>
      <c r="I38" s="604">
        <f t="shared" si="9"/>
        <v>7</v>
      </c>
      <c r="J38" s="604">
        <f t="shared" si="9"/>
        <v>8</v>
      </c>
      <c r="K38" s="604">
        <f t="shared" si="9"/>
        <v>9</v>
      </c>
      <c r="L38" s="604">
        <f t="shared" si="9"/>
        <v>10</v>
      </c>
      <c r="M38" s="604">
        <f t="shared" si="9"/>
        <v>11</v>
      </c>
      <c r="N38" s="604">
        <f t="shared" si="9"/>
        <v>12</v>
      </c>
      <c r="O38" s="604">
        <f t="shared" si="9"/>
        <v>13</v>
      </c>
      <c r="P38" s="604">
        <f t="shared" si="9"/>
        <v>14</v>
      </c>
      <c r="Q38" s="604">
        <f t="shared" si="9"/>
        <v>15</v>
      </c>
      <c r="R38" s="604">
        <f t="shared" si="9"/>
        <v>16</v>
      </c>
      <c r="S38" s="604">
        <f t="shared" si="9"/>
        <v>17</v>
      </c>
      <c r="T38" s="604">
        <f t="shared" si="9"/>
        <v>18</v>
      </c>
      <c r="U38" s="604">
        <f t="shared" si="9"/>
        <v>19</v>
      </c>
      <c r="V38" s="604">
        <f t="shared" si="9"/>
        <v>20</v>
      </c>
      <c r="W38" s="604">
        <f t="shared" si="9"/>
        <v>21</v>
      </c>
      <c r="X38" s="604">
        <f t="shared" si="9"/>
        <v>22</v>
      </c>
      <c r="Y38" s="604">
        <f t="shared" si="9"/>
        <v>23</v>
      </c>
      <c r="Z38" s="604">
        <f t="shared" si="9"/>
        <v>24</v>
      </c>
      <c r="AA38" s="604"/>
    </row>
    <row r="39" spans="1:104">
      <c r="B39" s="601" t="s">
        <v>336</v>
      </c>
      <c r="C39" s="628">
        <f ca="1">IF($D$37&gt;TODAY()-1,0,MAX(0,VLOOKUP($D$37,$BB$4:$BZ$34,C$38+1,0)))</f>
        <v>0</v>
      </c>
      <c r="D39" s="628">
        <f t="shared" ref="D39:Z39" ca="1" si="10">IF($D$37&gt;TODAY()-1,0,MAX(0,VLOOKUP($D$37,$BB$4:$BZ$34,D$38+1,0)))</f>
        <v>0</v>
      </c>
      <c r="E39" s="628">
        <f t="shared" ca="1" si="10"/>
        <v>0</v>
      </c>
      <c r="F39" s="628">
        <f t="shared" ca="1" si="10"/>
        <v>0</v>
      </c>
      <c r="G39" s="628">
        <f t="shared" ca="1" si="10"/>
        <v>0</v>
      </c>
      <c r="H39" s="628">
        <f t="shared" ca="1" si="10"/>
        <v>0</v>
      </c>
      <c r="I39" s="628">
        <f t="shared" ca="1" si="10"/>
        <v>0</v>
      </c>
      <c r="J39" s="628">
        <f t="shared" ca="1" si="10"/>
        <v>0</v>
      </c>
      <c r="K39" s="628">
        <f t="shared" ca="1" si="10"/>
        <v>0</v>
      </c>
      <c r="L39" s="628">
        <f t="shared" ca="1" si="10"/>
        <v>0</v>
      </c>
      <c r="M39" s="628">
        <f t="shared" ca="1" si="10"/>
        <v>0</v>
      </c>
      <c r="N39" s="628">
        <f t="shared" ca="1" si="10"/>
        <v>0</v>
      </c>
      <c r="O39" s="628">
        <f t="shared" ca="1" si="10"/>
        <v>0</v>
      </c>
      <c r="P39" s="628">
        <f t="shared" ca="1" si="10"/>
        <v>0</v>
      </c>
      <c r="Q39" s="628">
        <f t="shared" ca="1" si="10"/>
        <v>0</v>
      </c>
      <c r="R39" s="628">
        <f t="shared" ca="1" si="10"/>
        <v>0</v>
      </c>
      <c r="S39" s="628">
        <f t="shared" ca="1" si="10"/>
        <v>0</v>
      </c>
      <c r="T39" s="628">
        <f t="shared" ca="1" si="10"/>
        <v>0</v>
      </c>
      <c r="U39" s="628">
        <f t="shared" ca="1" si="10"/>
        <v>0</v>
      </c>
      <c r="V39" s="628">
        <f t="shared" ca="1" si="10"/>
        <v>0</v>
      </c>
      <c r="W39" s="628">
        <f t="shared" ca="1" si="10"/>
        <v>0</v>
      </c>
      <c r="X39" s="628">
        <f t="shared" ca="1" si="10"/>
        <v>0</v>
      </c>
      <c r="Y39" s="628">
        <f t="shared" ca="1" si="10"/>
        <v>0</v>
      </c>
      <c r="Z39" s="628">
        <f t="shared" ca="1" si="10"/>
        <v>0</v>
      </c>
    </row>
    <row r="40" spans="1:104">
      <c r="B40" s="601" t="s">
        <v>344</v>
      </c>
      <c r="C40" s="628">
        <f ca="1">IF($D$37&gt;TODAY()-1,0,MAX(0,VLOOKUP($D$37,$CB$4:$CZ$34,C$38+1,0)))</f>
        <v>0</v>
      </c>
      <c r="D40" s="628">
        <f t="shared" ref="D40:Z40" ca="1" si="11">IF($D$37&gt;TODAY()-1,0,MAX(0,VLOOKUP($D$37,$CB$4:$CZ$34,D$38+1,0)))</f>
        <v>0</v>
      </c>
      <c r="E40" s="628">
        <f t="shared" ca="1" si="11"/>
        <v>0</v>
      </c>
      <c r="F40" s="628">
        <f t="shared" ca="1" si="11"/>
        <v>0</v>
      </c>
      <c r="G40" s="628">
        <f t="shared" ca="1" si="11"/>
        <v>0</v>
      </c>
      <c r="H40" s="628">
        <f t="shared" ca="1" si="11"/>
        <v>0</v>
      </c>
      <c r="I40" s="628">
        <f t="shared" ca="1" si="11"/>
        <v>0</v>
      </c>
      <c r="J40" s="628">
        <f t="shared" ca="1" si="11"/>
        <v>0</v>
      </c>
      <c r="K40" s="628">
        <f t="shared" ca="1" si="11"/>
        <v>0</v>
      </c>
      <c r="L40" s="628">
        <f t="shared" ca="1" si="11"/>
        <v>0</v>
      </c>
      <c r="M40" s="628">
        <f t="shared" ca="1" si="11"/>
        <v>0</v>
      </c>
      <c r="N40" s="628">
        <f t="shared" ca="1" si="11"/>
        <v>0</v>
      </c>
      <c r="O40" s="628">
        <f t="shared" ca="1" si="11"/>
        <v>0</v>
      </c>
      <c r="P40" s="628">
        <f t="shared" ca="1" si="11"/>
        <v>0</v>
      </c>
      <c r="Q40" s="628">
        <f t="shared" ca="1" si="11"/>
        <v>0</v>
      </c>
      <c r="R40" s="628">
        <f t="shared" ca="1" si="11"/>
        <v>0</v>
      </c>
      <c r="S40" s="628">
        <f t="shared" ca="1" si="11"/>
        <v>0</v>
      </c>
      <c r="T40" s="628">
        <f t="shared" ca="1" si="11"/>
        <v>0</v>
      </c>
      <c r="U40" s="628">
        <f t="shared" ca="1" si="11"/>
        <v>0</v>
      </c>
      <c r="V40" s="628">
        <f t="shared" ca="1" si="11"/>
        <v>0</v>
      </c>
      <c r="W40" s="628">
        <f t="shared" ca="1" si="11"/>
        <v>0</v>
      </c>
      <c r="X40" s="628">
        <f t="shared" ca="1" si="11"/>
        <v>0</v>
      </c>
      <c r="Y40" s="628">
        <f t="shared" ca="1" si="11"/>
        <v>0</v>
      </c>
      <c r="Z40" s="628">
        <f t="shared" ca="1" si="11"/>
        <v>0</v>
      </c>
    </row>
    <row r="41" spans="1:104">
      <c r="B41" s="601" t="s">
        <v>342</v>
      </c>
      <c r="C41" s="629" t="e">
        <f t="shared" ref="C41:Z41" si="12">VLOOKUP($D$37,$B$4:$Z$34,C$38+1,0)</f>
        <v>#N/A</v>
      </c>
      <c r="D41" s="629" t="e">
        <f t="shared" si="12"/>
        <v>#N/A</v>
      </c>
      <c r="E41" s="629" t="e">
        <f t="shared" si="12"/>
        <v>#N/A</v>
      </c>
      <c r="F41" s="629" t="e">
        <f t="shared" si="12"/>
        <v>#N/A</v>
      </c>
      <c r="G41" s="607" t="e">
        <f t="shared" si="12"/>
        <v>#N/A</v>
      </c>
      <c r="H41" s="607" t="e">
        <f t="shared" si="12"/>
        <v>#N/A</v>
      </c>
      <c r="I41" s="607" t="e">
        <f t="shared" si="12"/>
        <v>#N/A</v>
      </c>
      <c r="J41" s="607" t="e">
        <f t="shared" si="12"/>
        <v>#N/A</v>
      </c>
      <c r="K41" s="607" t="e">
        <f t="shared" si="12"/>
        <v>#N/A</v>
      </c>
      <c r="L41" s="607" t="e">
        <f t="shared" si="12"/>
        <v>#N/A</v>
      </c>
      <c r="M41" s="607" t="e">
        <f t="shared" si="12"/>
        <v>#N/A</v>
      </c>
      <c r="N41" s="607" t="e">
        <f t="shared" si="12"/>
        <v>#N/A</v>
      </c>
      <c r="O41" s="607" t="e">
        <f t="shared" si="12"/>
        <v>#N/A</v>
      </c>
      <c r="P41" s="607" t="e">
        <f t="shared" si="12"/>
        <v>#N/A</v>
      </c>
      <c r="Q41" s="607" t="e">
        <f t="shared" si="12"/>
        <v>#N/A</v>
      </c>
      <c r="R41" s="607" t="e">
        <f t="shared" si="12"/>
        <v>#N/A</v>
      </c>
      <c r="S41" s="607" t="e">
        <f t="shared" si="12"/>
        <v>#N/A</v>
      </c>
      <c r="T41" s="607" t="e">
        <f t="shared" si="12"/>
        <v>#N/A</v>
      </c>
      <c r="U41" s="607" t="e">
        <f t="shared" si="12"/>
        <v>#N/A</v>
      </c>
      <c r="V41" s="607" t="e">
        <f t="shared" si="12"/>
        <v>#N/A</v>
      </c>
      <c r="W41" s="607" t="e">
        <f t="shared" si="12"/>
        <v>#N/A</v>
      </c>
      <c r="X41" s="607" t="e">
        <f t="shared" si="12"/>
        <v>#N/A</v>
      </c>
      <c r="Y41" s="607" t="e">
        <f t="shared" si="12"/>
        <v>#N/A</v>
      </c>
      <c r="Z41" s="607" t="e">
        <f t="shared" si="12"/>
        <v>#N/A</v>
      </c>
    </row>
    <row r="42" spans="1:104">
      <c r="B42" s="601" t="s">
        <v>343</v>
      </c>
      <c r="C42" s="629" t="e">
        <f t="shared" ref="C42:Z42" si="13">VLOOKUP($D$37,$AB$4:$AZ$34,C$38+1,0)</f>
        <v>#N/A</v>
      </c>
      <c r="D42" s="629" t="e">
        <f t="shared" si="13"/>
        <v>#N/A</v>
      </c>
      <c r="E42" s="629" t="e">
        <f t="shared" si="13"/>
        <v>#N/A</v>
      </c>
      <c r="F42" s="629" t="e">
        <f t="shared" si="13"/>
        <v>#N/A</v>
      </c>
      <c r="G42" s="607" t="e">
        <f t="shared" si="13"/>
        <v>#N/A</v>
      </c>
      <c r="H42" s="607" t="e">
        <f t="shared" si="13"/>
        <v>#N/A</v>
      </c>
      <c r="I42" s="607" t="e">
        <f t="shared" si="13"/>
        <v>#N/A</v>
      </c>
      <c r="J42" s="607" t="e">
        <f t="shared" si="13"/>
        <v>#N/A</v>
      </c>
      <c r="K42" s="607" t="e">
        <f t="shared" si="13"/>
        <v>#N/A</v>
      </c>
      <c r="L42" s="607" t="e">
        <f t="shared" si="13"/>
        <v>#N/A</v>
      </c>
      <c r="M42" s="607" t="e">
        <f t="shared" si="13"/>
        <v>#N/A</v>
      </c>
      <c r="N42" s="607" t="e">
        <f t="shared" si="13"/>
        <v>#N/A</v>
      </c>
      <c r="O42" s="607" t="e">
        <f t="shared" si="13"/>
        <v>#N/A</v>
      </c>
      <c r="P42" s="607" t="e">
        <f t="shared" si="13"/>
        <v>#N/A</v>
      </c>
      <c r="Q42" s="607" t="e">
        <f t="shared" si="13"/>
        <v>#N/A</v>
      </c>
      <c r="R42" s="607" t="e">
        <f t="shared" si="13"/>
        <v>#N/A</v>
      </c>
      <c r="S42" s="607" t="e">
        <f t="shared" si="13"/>
        <v>#N/A</v>
      </c>
      <c r="T42" s="607" t="e">
        <f t="shared" si="13"/>
        <v>#N/A</v>
      </c>
      <c r="U42" s="607" t="e">
        <f t="shared" si="13"/>
        <v>#N/A</v>
      </c>
      <c r="V42" s="607" t="e">
        <f t="shared" si="13"/>
        <v>#N/A</v>
      </c>
      <c r="W42" s="607" t="e">
        <f t="shared" si="13"/>
        <v>#N/A</v>
      </c>
      <c r="X42" s="607" t="e">
        <f t="shared" si="13"/>
        <v>#N/A</v>
      </c>
      <c r="Y42" s="607" t="e">
        <f t="shared" si="13"/>
        <v>#N/A</v>
      </c>
      <c r="Z42" s="607" t="e">
        <f t="shared" si="13"/>
        <v>#N/A</v>
      </c>
    </row>
    <row r="44" spans="1:104">
      <c r="B44" s="601">
        <v>1</v>
      </c>
      <c r="C44" s="627" t="s">
        <v>389</v>
      </c>
    </row>
    <row r="45" spans="1:104">
      <c r="B45" s="601">
        <v>2</v>
      </c>
      <c r="C45" s="627" t="s">
        <v>390</v>
      </c>
    </row>
    <row r="46" spans="1:104">
      <c r="B46" s="601">
        <v>3</v>
      </c>
      <c r="C46" s="627" t="s">
        <v>391</v>
      </c>
    </row>
    <row r="47" spans="1:104">
      <c r="B47" s="601">
        <v>4</v>
      </c>
      <c r="C47" s="627" t="s">
        <v>392</v>
      </c>
    </row>
    <row r="48" spans="1:104">
      <c r="B48" s="601">
        <v>5</v>
      </c>
      <c r="C48" s="627" t="s">
        <v>393</v>
      </c>
    </row>
    <row r="49" spans="2:17">
      <c r="B49" s="601">
        <v>6</v>
      </c>
      <c r="C49" s="627" t="s">
        <v>394</v>
      </c>
    </row>
    <row r="50" spans="2:17">
      <c r="B50" s="601">
        <v>7</v>
      </c>
      <c r="C50" s="627" t="s">
        <v>395</v>
      </c>
    </row>
    <row r="51" spans="2:17" ht="13.5" thickBot="1">
      <c r="D51" s="637"/>
      <c r="E51" s="637"/>
      <c r="F51" s="637"/>
      <c r="G51" s="637"/>
    </row>
    <row r="52" spans="2:17">
      <c r="C52" s="637"/>
      <c r="D52" s="637"/>
      <c r="E52" s="637"/>
      <c r="F52" s="750" t="s">
        <v>363</v>
      </c>
      <c r="G52" s="751"/>
      <c r="H52" s="752" t="s">
        <v>364</v>
      </c>
      <c r="I52" s="752"/>
      <c r="J52" s="750" t="s">
        <v>369</v>
      </c>
      <c r="K52" s="751"/>
      <c r="L52" s="752" t="s">
        <v>370</v>
      </c>
      <c r="M52" s="751"/>
      <c r="N52" s="750" t="s">
        <v>371</v>
      </c>
      <c r="O52" s="751"/>
      <c r="P52" s="750" t="s">
        <v>372</v>
      </c>
      <c r="Q52" s="751"/>
    </row>
    <row r="53" spans="2:17" s="645" customFormat="1" ht="25.5" customHeight="1" thickBot="1">
      <c r="B53" s="646" t="str">
        <f>TEXT('OSS Summary'!C6,"MMM-YYYY")</f>
        <v>Jul-2014</v>
      </c>
      <c r="C53" s="647"/>
      <c r="D53" s="647" t="s">
        <v>50</v>
      </c>
      <c r="E53" s="647" t="s">
        <v>67</v>
      </c>
      <c r="F53" s="660" t="s">
        <v>365</v>
      </c>
      <c r="G53" s="661" t="s">
        <v>366</v>
      </c>
      <c r="H53" s="662" t="s">
        <v>367</v>
      </c>
      <c r="I53" s="662" t="s">
        <v>368</v>
      </c>
      <c r="J53" s="660" t="s">
        <v>375</v>
      </c>
      <c r="K53" s="661" t="s">
        <v>376</v>
      </c>
      <c r="L53" s="662" t="s">
        <v>373</v>
      </c>
      <c r="M53" s="661" t="s">
        <v>374</v>
      </c>
      <c r="N53" s="660" t="s">
        <v>377</v>
      </c>
      <c r="O53" s="661" t="s">
        <v>378</v>
      </c>
      <c r="P53" s="660" t="s">
        <v>380</v>
      </c>
      <c r="Q53" s="661" t="s">
        <v>379</v>
      </c>
    </row>
    <row r="54" spans="2:17">
      <c r="B54" s="601">
        <v>1</v>
      </c>
      <c r="C54" s="630"/>
      <c r="D54" s="630">
        <f>IF($B54&lt;='Input Data'!$A$1,'Input Data'!AG4,NA())</f>
        <v>121202.17211914063</v>
      </c>
      <c r="E54" s="631">
        <f>IF('Monthly Budget Data'!G5=0,NA(),'Monthly Budget Data'!G5)</f>
        <v>114217</v>
      </c>
      <c r="F54" s="638">
        <f>IF('Input Data'!CI4="",NA(),'Input Data'!CI4)</f>
        <v>80.996527777777757</v>
      </c>
      <c r="G54" s="639">
        <f>IF('Input Data'!CJ4="",NA(),'Input Data'!CJ4)</f>
        <v>82.53194444444442</v>
      </c>
      <c r="H54" s="642">
        <f>IFERROR(AVERAGEIFS('Daily Historical Avg Temp'!$F$4:$F$368,'Daily Historical Avg Temp'!$B$4:$B$368,MONTH($B$4),'Daily Historical Avg Temp'!$C$4:$C$368,$B54),NA())</f>
        <v>75.099999999999994</v>
      </c>
      <c r="I54" s="642">
        <f>IFERROR(AVERAGEIFS('Daily Historical Avg Temp'!$G$4:$G$368,'Daily Historical Avg Temp'!$B$4:$B$368,MONTH($B$4),'Daily Historical Avg Temp'!$C$4:$C$368,$B54),NA())</f>
        <v>77.099999999999994</v>
      </c>
      <c r="J54" s="638">
        <v>90</v>
      </c>
      <c r="K54" s="639">
        <v>93</v>
      </c>
      <c r="L54" s="642">
        <f>IFERROR(AVERAGEIFS('Daily Historical Avg Temp'!$D$4:$D$368,'Daily Historical Avg Temp'!$B$4:$B$368,MONTH($B$4),'Daily Historical Avg Temp'!$C$4:$C$368,$B54),NA())</f>
        <v>85.15</v>
      </c>
      <c r="M54" s="642">
        <f>IFERROR(AVERAGEIFS('Daily Historical Avg Temp'!$E$4:$E$368,'Daily Historical Avg Temp'!$B$4:$B$368,MONTH($B$4),'Daily Historical Avg Temp'!$C$4:$C$368,$B54),NA())</f>
        <v>86.15</v>
      </c>
      <c r="N54" s="638">
        <v>70</v>
      </c>
      <c r="O54" s="639">
        <v>70</v>
      </c>
      <c r="P54" s="642">
        <f>IFERROR(AVERAGEIFS('Daily Historical Avg Temp'!$H$4:$H$368,'Daily Historical Avg Temp'!$B$4:$B$368,MONTH($B$4),'Daily Historical Avg Temp'!$C$4:$C$368,$B54),NA())</f>
        <v>65.3</v>
      </c>
      <c r="Q54" s="639">
        <f>IFERROR(AVERAGEIFS('Daily Historical Avg Temp'!$I$4:$I$368,'Daily Historical Avg Temp'!$B$4:$B$368,MONTH($B$4),'Daily Historical Avg Temp'!$C$4:$C$368,$B54),NA())</f>
        <v>68.25</v>
      </c>
    </row>
    <row r="55" spans="2:17">
      <c r="B55" s="601">
        <f t="shared" ref="B55:B84" si="14">IF(B54="","",IF(B54+1&lt;=DAY(EOMONTH(B4,0)),B54+1,""))</f>
        <v>2</v>
      </c>
      <c r="C55" s="630"/>
      <c r="D55" s="630">
        <f>IF($B55&lt;='Input Data'!$A$1,'Input Data'!AG5,NA())</f>
        <v>109150.66625976563</v>
      </c>
      <c r="E55" s="631">
        <f>IF('Monthly Budget Data'!G6=0,NA(),'Monthly Budget Data'!G6)</f>
        <v>114520</v>
      </c>
      <c r="F55" s="638">
        <f>IF('Input Data'!CI5="",NA(),'Input Data'!CI5)</f>
        <v>75.143055555555563</v>
      </c>
      <c r="G55" s="639">
        <f>IF('Input Data'!CJ5="",NA(),'Input Data'!CJ5)</f>
        <v>75.062083333333334</v>
      </c>
      <c r="H55" s="642">
        <f>IFERROR(AVERAGEIFS('Daily Historical Avg Temp'!$F$4:$F$368,'Daily Historical Avg Temp'!$B$4:$B$368,MONTH($B$4),'Daily Historical Avg Temp'!$C$4:$C$368,$B55),NA())</f>
        <v>74.95</v>
      </c>
      <c r="I55" s="642">
        <f>IFERROR(AVERAGEIFS('Daily Historical Avg Temp'!$G$4:$G$368,'Daily Historical Avg Temp'!$B$4:$B$368,MONTH($B$4),'Daily Historical Avg Temp'!$C$4:$C$368,$B55),NA())</f>
        <v>77.349999999999994</v>
      </c>
      <c r="J55" s="638">
        <v>85</v>
      </c>
      <c r="K55" s="639">
        <v>87</v>
      </c>
      <c r="L55" s="642">
        <f>IFERROR(AVERAGEIFS('Daily Historical Avg Temp'!$D$4:$D$368,'Daily Historical Avg Temp'!$B$4:$B$368,MONTH($B$4),'Daily Historical Avg Temp'!$C$4:$C$368,$B55),NA())</f>
        <v>85.3</v>
      </c>
      <c r="M55" s="642">
        <f>IFERROR(AVERAGEIFS('Daily Historical Avg Temp'!$E$4:$E$368,'Daily Historical Avg Temp'!$B$4:$B$368,MONTH($B$4),'Daily Historical Avg Temp'!$C$4:$C$368,$B55),NA())</f>
        <v>86.75</v>
      </c>
      <c r="N55" s="638">
        <v>68</v>
      </c>
      <c r="O55" s="639">
        <v>68</v>
      </c>
      <c r="P55" s="642">
        <f>IFERROR(AVERAGEIFS('Daily Historical Avg Temp'!$H$4:$H$368,'Daily Historical Avg Temp'!$B$4:$B$368,MONTH($B$4),'Daily Historical Avg Temp'!$C$4:$C$368,$B55),NA())</f>
        <v>64.8</v>
      </c>
      <c r="Q55" s="639">
        <f>IFERROR(AVERAGEIFS('Daily Historical Avg Temp'!$I$4:$I$368,'Daily Historical Avg Temp'!$B$4:$B$368,MONTH($B$4),'Daily Historical Avg Temp'!$C$4:$C$368,$B55),NA())</f>
        <v>67.75</v>
      </c>
    </row>
    <row r="56" spans="2:17">
      <c r="B56" s="601">
        <f t="shared" si="14"/>
        <v>3</v>
      </c>
      <c r="C56" s="630"/>
      <c r="D56" s="630">
        <f>IF($B56&lt;='Input Data'!$A$1,'Input Data'!AG6,NA())</f>
        <v>93148.264526367188</v>
      </c>
      <c r="E56" s="631">
        <f>IF('Monthly Budget Data'!G7=0,NA(),'Monthly Budget Data'!G7)</f>
        <v>114675</v>
      </c>
      <c r="F56" s="638">
        <f>IF('Input Data'!CI6="",NA(),'Input Data'!CI6)</f>
        <v>69.733333333333334</v>
      </c>
      <c r="G56" s="639">
        <f>IF('Input Data'!CJ6="",NA(),'Input Data'!CJ6)</f>
        <v>69.704347826086959</v>
      </c>
      <c r="H56" s="642">
        <f>IFERROR(AVERAGEIFS('Daily Historical Avg Temp'!$F$4:$F$368,'Daily Historical Avg Temp'!$B$4:$B$368,MONTH($B$4),'Daily Historical Avg Temp'!$C$4:$C$368,$B56),NA())</f>
        <v>75.900000000000006</v>
      </c>
      <c r="I56" s="642">
        <f>IFERROR(AVERAGEIFS('Daily Historical Avg Temp'!$G$4:$G$368,'Daily Historical Avg Temp'!$B$4:$B$368,MONTH($B$4),'Daily Historical Avg Temp'!$C$4:$C$368,$B56),NA())</f>
        <v>77.55</v>
      </c>
      <c r="J56" s="638">
        <v>76</v>
      </c>
      <c r="K56" s="639">
        <v>75</v>
      </c>
      <c r="L56" s="642">
        <f>IFERROR(AVERAGEIFS('Daily Historical Avg Temp'!$D$4:$D$368,'Daily Historical Avg Temp'!$B$4:$B$368,MONTH($B$4),'Daily Historical Avg Temp'!$C$4:$C$368,$B56),NA())</f>
        <v>86.95</v>
      </c>
      <c r="M56" s="642">
        <f>IFERROR(AVERAGEIFS('Daily Historical Avg Temp'!$E$4:$E$368,'Daily Historical Avg Temp'!$B$4:$B$368,MONTH($B$4),'Daily Historical Avg Temp'!$C$4:$C$368,$B56),NA())</f>
        <v>88.05</v>
      </c>
      <c r="N56" s="638">
        <v>62</v>
      </c>
      <c r="O56" s="639">
        <v>61</v>
      </c>
      <c r="P56" s="642">
        <f>IFERROR(AVERAGEIFS('Daily Historical Avg Temp'!$H$4:$H$368,'Daily Historical Avg Temp'!$B$4:$B$368,MONTH($B$4),'Daily Historical Avg Temp'!$C$4:$C$368,$B56),NA())</f>
        <v>64.900000000000006</v>
      </c>
      <c r="Q56" s="639">
        <f>IFERROR(AVERAGEIFS('Daily Historical Avg Temp'!$I$4:$I$368,'Daily Historical Avg Temp'!$B$4:$B$368,MONTH($B$4),'Daily Historical Avg Temp'!$C$4:$C$368,$B56),NA())</f>
        <v>67.5</v>
      </c>
    </row>
    <row r="57" spans="2:17">
      <c r="B57" s="601">
        <f t="shared" si="14"/>
        <v>4</v>
      </c>
      <c r="C57" s="630"/>
      <c r="D57" s="630">
        <f>IF($B57&lt;='Input Data'!$A$1,'Input Data'!AG7,NA())</f>
        <v>79313.420043945313</v>
      </c>
      <c r="E57" s="631">
        <f>IF('Monthly Budget Data'!G8=0,NA(),'Monthly Budget Data'!G8)</f>
        <v>102400</v>
      </c>
      <c r="F57" s="638">
        <f>IF('Input Data'!CI7="",NA(),'Input Data'!CI7)</f>
        <v>68.229166666666671</v>
      </c>
      <c r="G57" s="639">
        <f>IF('Input Data'!CJ7="",NA(),'Input Data'!CJ7)</f>
        <v>70.270833333333314</v>
      </c>
      <c r="H57" s="642">
        <f>IFERROR(AVERAGEIFS('Daily Historical Avg Temp'!$F$4:$F$368,'Daily Historical Avg Temp'!$B$4:$B$368,MONTH($B$4),'Daily Historical Avg Temp'!$C$4:$C$368,$B57),NA())</f>
        <v>76.849999999999994</v>
      </c>
      <c r="I57" s="642">
        <f>IFERROR(AVERAGEIFS('Daily Historical Avg Temp'!$G$4:$G$368,'Daily Historical Avg Temp'!$B$4:$B$368,MONTH($B$4),'Daily Historical Avg Temp'!$C$4:$C$368,$B57),NA())</f>
        <v>78.8</v>
      </c>
      <c r="J57" s="638">
        <v>80</v>
      </c>
      <c r="K57" s="639">
        <v>81</v>
      </c>
      <c r="L57" s="642">
        <f>IFERROR(AVERAGEIFS('Daily Historical Avg Temp'!$D$4:$D$368,'Daily Historical Avg Temp'!$B$4:$B$368,MONTH($B$4),'Daily Historical Avg Temp'!$C$4:$C$368,$B57),NA())</f>
        <v>86.1</v>
      </c>
      <c r="M57" s="642">
        <f>IFERROR(AVERAGEIFS('Daily Historical Avg Temp'!$E$4:$E$368,'Daily Historical Avg Temp'!$B$4:$B$368,MONTH($B$4),'Daily Historical Avg Temp'!$C$4:$C$368,$B57),NA())</f>
        <v>87.5</v>
      </c>
      <c r="N57" s="638">
        <v>55</v>
      </c>
      <c r="O57" s="639">
        <v>56</v>
      </c>
      <c r="P57" s="642">
        <f>IFERROR(AVERAGEIFS('Daily Historical Avg Temp'!$H$4:$H$368,'Daily Historical Avg Temp'!$B$4:$B$368,MONTH($B$4),'Daily Historical Avg Temp'!$C$4:$C$368,$B57),NA())</f>
        <v>67.650000000000006</v>
      </c>
      <c r="Q57" s="639">
        <f>IFERROR(AVERAGEIFS('Daily Historical Avg Temp'!$I$4:$I$368,'Daily Historical Avg Temp'!$B$4:$B$368,MONTH($B$4),'Daily Historical Avg Temp'!$C$4:$C$368,$B57),NA())</f>
        <v>70.2</v>
      </c>
    </row>
    <row r="58" spans="2:17">
      <c r="B58" s="601">
        <f t="shared" si="14"/>
        <v>5</v>
      </c>
      <c r="C58" s="630"/>
      <c r="D58" s="630">
        <f>IF($B58&lt;='Input Data'!$A$1,'Input Data'!AG8,NA())</f>
        <v>81735.973449707031</v>
      </c>
      <c r="E58" s="631">
        <f>IF('Monthly Budget Data'!G9=0,NA(),'Monthly Budget Data'!G9)</f>
        <v>103814.23889564232</v>
      </c>
      <c r="F58" s="638">
        <f>IF('Input Data'!CI8="",NA(),'Input Data'!CI8)</f>
        <v>71.362500000000011</v>
      </c>
      <c r="G58" s="639">
        <f>IF('Input Data'!CJ8="",NA(),'Input Data'!CJ8)</f>
        <v>72.662500000000009</v>
      </c>
      <c r="H58" s="642">
        <f>IFERROR(AVERAGEIFS('Daily Historical Avg Temp'!$F$4:$F$368,'Daily Historical Avg Temp'!$B$4:$B$368,MONTH($B$4),'Daily Historical Avg Temp'!$C$4:$C$368,$B58),NA())</f>
        <v>76.05</v>
      </c>
      <c r="I58" s="642">
        <f>IFERROR(AVERAGEIFS('Daily Historical Avg Temp'!$G$4:$G$368,'Daily Historical Avg Temp'!$B$4:$B$368,MONTH($B$4),'Daily Historical Avg Temp'!$C$4:$C$368,$B58),NA())</f>
        <v>78.900000000000006</v>
      </c>
      <c r="J58" s="638">
        <v>82</v>
      </c>
      <c r="K58" s="639">
        <v>83</v>
      </c>
      <c r="L58" s="642">
        <f>IFERROR(AVERAGEIFS('Daily Historical Avg Temp'!$D$4:$D$368,'Daily Historical Avg Temp'!$B$4:$B$368,MONTH($B$4),'Daily Historical Avg Temp'!$C$4:$C$368,$B58),NA())</f>
        <v>85.55</v>
      </c>
      <c r="M58" s="642">
        <f>IFERROR(AVERAGEIFS('Daily Historical Avg Temp'!$E$4:$E$368,'Daily Historical Avg Temp'!$B$4:$B$368,MONTH($B$4),'Daily Historical Avg Temp'!$C$4:$C$368,$B58),NA())</f>
        <v>87.35</v>
      </c>
      <c r="N58" s="638">
        <v>60</v>
      </c>
      <c r="O58" s="639">
        <v>57</v>
      </c>
      <c r="P58" s="642">
        <f>IFERROR(AVERAGEIFS('Daily Historical Avg Temp'!$H$4:$H$368,'Daily Historical Avg Temp'!$B$4:$B$368,MONTH($B$4),'Daily Historical Avg Temp'!$C$4:$C$368,$B58),NA())</f>
        <v>66.599999999999994</v>
      </c>
      <c r="Q58" s="639">
        <f>IFERROR(AVERAGEIFS('Daily Historical Avg Temp'!$I$4:$I$368,'Daily Historical Avg Temp'!$B$4:$B$368,MONTH($B$4),'Daily Historical Avg Temp'!$C$4:$C$368,$B58),NA())</f>
        <v>70</v>
      </c>
    </row>
    <row r="59" spans="2:17">
      <c r="B59" s="601">
        <f t="shared" si="14"/>
        <v>6</v>
      </c>
      <c r="C59" s="630"/>
      <c r="D59" s="630">
        <f>IF($B59&lt;='Input Data'!$A$1,'Input Data'!AG9,NA())</f>
        <v>90682.52783203125</v>
      </c>
      <c r="E59" s="631">
        <f>IF('Monthly Budget Data'!G10=0,NA(),'Monthly Budget Data'!G10)</f>
        <v>102019.04404304497</v>
      </c>
      <c r="F59" s="638">
        <f>IF('Input Data'!CI9="",NA(),'Input Data'!CI9)</f>
        <v>75.679166666666674</v>
      </c>
      <c r="G59" s="639">
        <f>IF('Input Data'!CJ9="",NA(),'Input Data'!CJ9)</f>
        <v>76.745833333333337</v>
      </c>
      <c r="H59" s="642">
        <f>IFERROR(AVERAGEIFS('Daily Historical Avg Temp'!$F$4:$F$368,'Daily Historical Avg Temp'!$B$4:$B$368,MONTH($B$4),'Daily Historical Avg Temp'!$C$4:$C$368,$B59),NA())</f>
        <v>75.3</v>
      </c>
      <c r="I59" s="642">
        <f>IFERROR(AVERAGEIFS('Daily Historical Avg Temp'!$G$4:$G$368,'Daily Historical Avg Temp'!$B$4:$B$368,MONTH($B$4),'Daily Historical Avg Temp'!$C$4:$C$368,$B59),NA())</f>
        <v>77.3</v>
      </c>
      <c r="J59" s="638">
        <v>86</v>
      </c>
      <c r="K59" s="639">
        <v>87</v>
      </c>
      <c r="L59" s="642">
        <f>IFERROR(AVERAGEIFS('Daily Historical Avg Temp'!$D$4:$D$368,'Daily Historical Avg Temp'!$B$4:$B$368,MONTH($B$4),'Daily Historical Avg Temp'!$C$4:$C$368,$B59),NA())</f>
        <v>86.3</v>
      </c>
      <c r="M59" s="642">
        <f>IFERROR(AVERAGEIFS('Daily Historical Avg Temp'!$E$4:$E$368,'Daily Historical Avg Temp'!$B$4:$B$368,MONTH($B$4),'Daily Historical Avg Temp'!$C$4:$C$368,$B59),NA())</f>
        <v>87.45</v>
      </c>
      <c r="N59" s="638">
        <v>63</v>
      </c>
      <c r="O59" s="639">
        <v>64</v>
      </c>
      <c r="P59" s="642">
        <f>IFERROR(AVERAGEIFS('Daily Historical Avg Temp'!$H$4:$H$368,'Daily Historical Avg Temp'!$B$4:$B$368,MONTH($B$4),'Daily Historical Avg Temp'!$C$4:$C$368,$B59),NA())</f>
        <v>64.650000000000006</v>
      </c>
      <c r="Q59" s="639">
        <f>IFERROR(AVERAGEIFS('Daily Historical Avg Temp'!$I$4:$I$368,'Daily Historical Avg Temp'!$B$4:$B$368,MONTH($B$4),'Daily Historical Avg Temp'!$C$4:$C$368,$B59),NA())</f>
        <v>67.400000000000006</v>
      </c>
    </row>
    <row r="60" spans="2:17">
      <c r="B60" s="601">
        <f t="shared" si="14"/>
        <v>7</v>
      </c>
      <c r="C60" s="630"/>
      <c r="D60" s="630">
        <f>IF($B60&lt;='Input Data'!$A$1,'Input Data'!AG10,NA())</f>
        <v>111531.02770996094</v>
      </c>
      <c r="E60" s="631">
        <f>IF('Monthly Budget Data'!G11=0,NA(),'Monthly Budget Data'!G11)</f>
        <v>113767.12141760746</v>
      </c>
      <c r="F60" s="638">
        <f>IF('Input Data'!CI10="",NA(),'Input Data'!CI10)</f>
        <v>79.013888888888886</v>
      </c>
      <c r="G60" s="639">
        <f>IF('Input Data'!CJ10="",NA(),'Input Data'!CJ10)</f>
        <v>79.561805555555551</v>
      </c>
      <c r="H60" s="642">
        <f>IFERROR(AVERAGEIFS('Daily Historical Avg Temp'!$F$4:$F$368,'Daily Historical Avg Temp'!$B$4:$B$368,MONTH($B$4),'Daily Historical Avg Temp'!$C$4:$C$368,$B60),NA())</f>
        <v>76.25</v>
      </c>
      <c r="I60" s="642">
        <f>IFERROR(AVERAGEIFS('Daily Historical Avg Temp'!$G$4:$G$368,'Daily Historical Avg Temp'!$B$4:$B$368,MONTH($B$4),'Daily Historical Avg Temp'!$C$4:$C$368,$B60),NA())</f>
        <v>77.45</v>
      </c>
      <c r="J60" s="638">
        <v>89</v>
      </c>
      <c r="K60" s="639">
        <v>89</v>
      </c>
      <c r="L60" s="642">
        <f>IFERROR(AVERAGEIFS('Daily Historical Avg Temp'!$D$4:$D$368,'Daily Historical Avg Temp'!$B$4:$B$368,MONTH($B$4),'Daily Historical Avg Temp'!$C$4:$C$368,$B60),NA())</f>
        <v>87</v>
      </c>
      <c r="M60" s="642">
        <f>IFERROR(AVERAGEIFS('Daily Historical Avg Temp'!$E$4:$E$368,'Daily Historical Avg Temp'!$B$4:$B$368,MONTH($B$4),'Daily Historical Avg Temp'!$C$4:$C$368,$B60),NA())</f>
        <v>87.7</v>
      </c>
      <c r="N60" s="638">
        <v>68</v>
      </c>
      <c r="O60" s="639">
        <v>72</v>
      </c>
      <c r="P60" s="642">
        <f>IFERROR(AVERAGEIFS('Daily Historical Avg Temp'!$H$4:$H$368,'Daily Historical Avg Temp'!$B$4:$B$368,MONTH($B$4),'Daily Historical Avg Temp'!$C$4:$C$368,$B60),NA())</f>
        <v>65.849999999999994</v>
      </c>
      <c r="Q60" s="639">
        <f>IFERROR(AVERAGEIFS('Daily Historical Avg Temp'!$I$4:$I$368,'Daily Historical Avg Temp'!$B$4:$B$368,MONTH($B$4),'Daily Historical Avg Temp'!$C$4:$C$368,$B60),NA())</f>
        <v>67.3</v>
      </c>
    </row>
    <row r="61" spans="2:17">
      <c r="B61" s="601">
        <f t="shared" si="14"/>
        <v>8</v>
      </c>
      <c r="C61" s="630"/>
      <c r="D61" s="630">
        <f>IF($B61&lt;='Input Data'!$A$1,'Input Data'!AG11,NA())</f>
        <v>114600.33898925781</v>
      </c>
      <c r="E61" s="631">
        <f>IF('Monthly Budget Data'!G12=0,NA(),'Monthly Budget Data'!G12)</f>
        <v>116035.98394454161</v>
      </c>
      <c r="F61" s="638">
        <f>IF('Input Data'!CI11="",NA(),'Input Data'!CI11)</f>
        <v>78.670833333333334</v>
      </c>
      <c r="G61" s="639">
        <f>IF('Input Data'!CJ11="",NA(),'Input Data'!CJ11)</f>
        <v>79.241666666666674</v>
      </c>
      <c r="H61" s="642">
        <f>IFERROR(AVERAGEIFS('Daily Historical Avg Temp'!$F$4:$F$368,'Daily Historical Avg Temp'!$B$4:$B$368,MONTH($B$4),'Daily Historical Avg Temp'!$C$4:$C$368,$B61),NA())</f>
        <v>77.2</v>
      </c>
      <c r="I61" s="642">
        <f>IFERROR(AVERAGEIFS('Daily Historical Avg Temp'!$G$4:$G$368,'Daily Historical Avg Temp'!$B$4:$B$368,MONTH($B$4),'Daily Historical Avg Temp'!$C$4:$C$368,$B61),NA())</f>
        <v>78.8</v>
      </c>
      <c r="J61" s="638">
        <v>89</v>
      </c>
      <c r="K61" s="639">
        <v>87</v>
      </c>
      <c r="L61" s="642">
        <f>IFERROR(AVERAGEIFS('Daily Historical Avg Temp'!$D$4:$D$368,'Daily Historical Avg Temp'!$B$4:$B$368,MONTH($B$4),'Daily Historical Avg Temp'!$C$4:$C$368,$B61),NA())</f>
        <v>87.6</v>
      </c>
      <c r="M61" s="642">
        <f>IFERROR(AVERAGEIFS('Daily Historical Avg Temp'!$E$4:$E$368,'Daily Historical Avg Temp'!$B$4:$B$368,MONTH($B$4),'Daily Historical Avg Temp'!$C$4:$C$368,$B61),NA())</f>
        <v>88.75</v>
      </c>
      <c r="N61" s="638">
        <v>70</v>
      </c>
      <c r="O61" s="639">
        <v>72</v>
      </c>
      <c r="P61" s="642">
        <f>IFERROR(AVERAGEIFS('Daily Historical Avg Temp'!$H$4:$H$368,'Daily Historical Avg Temp'!$B$4:$B$368,MONTH($B$4),'Daily Historical Avg Temp'!$C$4:$C$368,$B61),NA())</f>
        <v>67</v>
      </c>
      <c r="Q61" s="639">
        <f>IFERROR(AVERAGEIFS('Daily Historical Avg Temp'!$I$4:$I$368,'Daily Historical Avg Temp'!$B$4:$B$368,MONTH($B$4),'Daily Historical Avg Temp'!$C$4:$C$368,$B61),NA())</f>
        <v>69.05</v>
      </c>
    </row>
    <row r="62" spans="2:17">
      <c r="B62" s="601">
        <f t="shared" si="14"/>
        <v>9</v>
      </c>
      <c r="C62" s="630"/>
      <c r="D62" s="630">
        <f>IF($B62&lt;='Input Data'!$A$1,'Input Data'!AG12,NA())</f>
        <v>112164.25915527344</v>
      </c>
      <c r="E62" s="631">
        <f>IF('Monthly Budget Data'!G13=0,NA(),'Monthly Budget Data'!G13)</f>
        <v>116375.8272292154</v>
      </c>
      <c r="F62" s="638">
        <f>IF('Input Data'!CI12="",NA(),'Input Data'!CI12)</f>
        <v>76.941666666666677</v>
      </c>
      <c r="G62" s="639">
        <f>IF('Input Data'!CJ12="",NA(),'Input Data'!CJ12)</f>
        <v>78.412500000000009</v>
      </c>
      <c r="H62" s="642">
        <f>IFERROR(AVERAGEIFS('Daily Historical Avg Temp'!$F$4:$F$368,'Daily Historical Avg Temp'!$B$4:$B$368,MONTH($B$4),'Daily Historical Avg Temp'!$C$4:$C$368,$B62),NA())</f>
        <v>76.599999999999994</v>
      </c>
      <c r="I62" s="642">
        <f>IFERROR(AVERAGEIFS('Daily Historical Avg Temp'!$G$4:$G$368,'Daily Historical Avg Temp'!$B$4:$B$368,MONTH($B$4),'Daily Historical Avg Temp'!$C$4:$C$368,$B62),NA())</f>
        <v>78.650000000000006</v>
      </c>
      <c r="J62" s="638">
        <v>87</v>
      </c>
      <c r="K62" s="639">
        <v>87</v>
      </c>
      <c r="L62" s="642">
        <f>IFERROR(AVERAGEIFS('Daily Historical Avg Temp'!$D$4:$D$368,'Daily Historical Avg Temp'!$B$4:$B$368,MONTH($B$4),'Daily Historical Avg Temp'!$C$4:$C$368,$B62),NA())</f>
        <v>86.1</v>
      </c>
      <c r="M62" s="642">
        <f>IFERROR(AVERAGEIFS('Daily Historical Avg Temp'!$E$4:$E$368,'Daily Historical Avg Temp'!$B$4:$B$368,MONTH($B$4),'Daily Historical Avg Temp'!$C$4:$C$368,$B62),NA())</f>
        <v>87.35</v>
      </c>
      <c r="N62" s="638">
        <v>67</v>
      </c>
      <c r="O62" s="639">
        <v>69</v>
      </c>
      <c r="P62" s="642">
        <f>IFERROR(AVERAGEIFS('Daily Historical Avg Temp'!$H$4:$H$368,'Daily Historical Avg Temp'!$B$4:$B$368,MONTH($B$4),'Daily Historical Avg Temp'!$C$4:$C$368,$B62),NA())</f>
        <v>67.349999999999994</v>
      </c>
      <c r="Q62" s="639">
        <f>IFERROR(AVERAGEIFS('Daily Historical Avg Temp'!$I$4:$I$368,'Daily Historical Avg Temp'!$B$4:$B$368,MONTH($B$4),'Daily Historical Avg Temp'!$C$4:$C$368,$B62),NA())</f>
        <v>69.7</v>
      </c>
    </row>
    <row r="63" spans="2:17">
      <c r="B63" s="601">
        <f t="shared" si="14"/>
        <v>10</v>
      </c>
      <c r="C63" s="630"/>
      <c r="D63" s="630">
        <f>IF($B63&lt;='Input Data'!$A$1,'Input Data'!AG13,NA())</f>
        <v>110053.58666992187</v>
      </c>
      <c r="E63" s="631">
        <f>IF('Monthly Budget Data'!G14=0,NA(),'Monthly Budget Data'!G14)</f>
        <v>116730.39442101687</v>
      </c>
      <c r="F63" s="638">
        <f>IF('Input Data'!CI13="",NA(),'Input Data'!CI13)</f>
        <v>74.92916666666666</v>
      </c>
      <c r="G63" s="639">
        <f>IF('Input Data'!CJ13="",NA(),'Input Data'!CJ13)</f>
        <v>78.039130434782606</v>
      </c>
      <c r="H63" s="642">
        <f>IFERROR(AVERAGEIFS('Daily Historical Avg Temp'!$F$4:$F$368,'Daily Historical Avg Temp'!$B$4:$B$368,MONTH($B$4),'Daily Historical Avg Temp'!$C$4:$C$368,$B63),NA())</f>
        <v>76.150000000000006</v>
      </c>
      <c r="I63" s="642">
        <f>IFERROR(AVERAGEIFS('Daily Historical Avg Temp'!$G$4:$G$368,'Daily Historical Avg Temp'!$B$4:$B$368,MONTH($B$4),'Daily Historical Avg Temp'!$C$4:$C$368,$B63),NA())</f>
        <v>77.849999999999994</v>
      </c>
      <c r="J63" s="638">
        <v>87</v>
      </c>
      <c r="K63" s="639">
        <v>88</v>
      </c>
      <c r="L63" s="642">
        <f>IFERROR(AVERAGEIFS('Daily Historical Avg Temp'!$D$4:$D$368,'Daily Historical Avg Temp'!$B$4:$B$368,MONTH($B$4),'Daily Historical Avg Temp'!$C$4:$C$368,$B63),NA())</f>
        <v>86.4</v>
      </c>
      <c r="M63" s="642">
        <f>IFERROR(AVERAGEIFS('Daily Historical Avg Temp'!$E$4:$E$368,'Daily Historical Avg Temp'!$B$4:$B$368,MONTH($B$4),'Daily Historical Avg Temp'!$C$4:$C$368,$B63),NA())</f>
        <v>87.35</v>
      </c>
      <c r="N63" s="638">
        <v>62</v>
      </c>
      <c r="O63" s="639">
        <v>67</v>
      </c>
      <c r="P63" s="642">
        <f>IFERROR(AVERAGEIFS('Daily Historical Avg Temp'!$H$4:$H$368,'Daily Historical Avg Temp'!$B$4:$B$368,MONTH($B$4),'Daily Historical Avg Temp'!$C$4:$C$368,$B63),NA())</f>
        <v>66.05</v>
      </c>
      <c r="Q63" s="639">
        <f>IFERROR(AVERAGEIFS('Daily Historical Avg Temp'!$I$4:$I$368,'Daily Historical Avg Temp'!$B$4:$B$368,MONTH($B$4),'Daily Historical Avg Temp'!$C$4:$C$368,$B63),NA())</f>
        <v>68.5</v>
      </c>
    </row>
    <row r="64" spans="2:17">
      <c r="B64" s="601">
        <f t="shared" si="14"/>
        <v>11</v>
      </c>
      <c r="C64" s="630"/>
      <c r="D64" s="630">
        <f>IF($B64&lt;='Input Data'!$A$1,'Input Data'!AG14,NA())</f>
        <v>109400.60009765625</v>
      </c>
      <c r="E64" s="631">
        <f>IF('Monthly Budget Data'!G15=0,NA(),'Monthly Budget Data'!G15)</f>
        <v>114858.04297679216</v>
      </c>
      <c r="F64" s="638">
        <f>IF('Input Data'!CI14="",NA(),'Input Data'!CI14)</f>
        <v>76.208333333333329</v>
      </c>
      <c r="G64" s="639">
        <f>IF('Input Data'!CJ14="",NA(),'Input Data'!CJ14)</f>
        <v>77.36666666666666</v>
      </c>
      <c r="H64" s="642">
        <f>IFERROR(AVERAGEIFS('Daily Historical Avg Temp'!$F$4:$F$368,'Daily Historical Avg Temp'!$B$4:$B$368,MONTH($B$4),'Daily Historical Avg Temp'!$C$4:$C$368,$B64),NA())</f>
        <v>75.2</v>
      </c>
      <c r="I64" s="642">
        <f>IFERROR(AVERAGEIFS('Daily Historical Avg Temp'!$G$4:$G$368,'Daily Historical Avg Temp'!$B$4:$B$368,MONTH($B$4),'Daily Historical Avg Temp'!$C$4:$C$368,$B64),NA())</f>
        <v>77</v>
      </c>
      <c r="J64" s="638">
        <v>90</v>
      </c>
      <c r="K64" s="639">
        <v>90</v>
      </c>
      <c r="L64" s="642">
        <f>IFERROR(AVERAGEIFS('Daily Historical Avg Temp'!$D$4:$D$368,'Daily Historical Avg Temp'!$B$4:$B$368,MONTH($B$4),'Daily Historical Avg Temp'!$C$4:$C$368,$B64),NA())</f>
        <v>85.75</v>
      </c>
      <c r="M64" s="642">
        <f>IFERROR(AVERAGEIFS('Daily Historical Avg Temp'!$E$4:$E$368,'Daily Historical Avg Temp'!$B$4:$B$368,MONTH($B$4),'Daily Historical Avg Temp'!$C$4:$C$368,$B64),NA())</f>
        <v>86.35</v>
      </c>
      <c r="N64" s="638">
        <v>60</v>
      </c>
      <c r="O64" s="639">
        <v>62</v>
      </c>
      <c r="P64" s="642">
        <f>IFERROR(AVERAGEIFS('Daily Historical Avg Temp'!$H$4:$H$368,'Daily Historical Avg Temp'!$B$4:$B$368,MONTH($B$4),'Daily Historical Avg Temp'!$C$4:$C$368,$B64),NA())</f>
        <v>64.7</v>
      </c>
      <c r="Q64" s="639">
        <f>IFERROR(AVERAGEIFS('Daily Historical Avg Temp'!$I$4:$I$368,'Daily Historical Avg Temp'!$B$4:$B$368,MONTH($B$4),'Daily Historical Avg Temp'!$C$4:$C$368,$B64),NA())</f>
        <v>68</v>
      </c>
    </row>
    <row r="65" spans="2:17">
      <c r="B65" s="601">
        <f t="shared" si="14"/>
        <v>12</v>
      </c>
      <c r="C65" s="630"/>
      <c r="D65" s="630">
        <f>IF($B65&lt;='Input Data'!$A$1,'Input Data'!AG15,NA())</f>
        <v>102643.58178710937</v>
      </c>
      <c r="E65" s="631">
        <f>IF('Monthly Budget Data'!G16=0,NA(),'Monthly Budget Data'!G16)</f>
        <v>106424.90148143264</v>
      </c>
      <c r="F65" s="638">
        <f>IF('Input Data'!CI15="",NA(),'Input Data'!CI15)</f>
        <v>78.191666666666649</v>
      </c>
      <c r="G65" s="639">
        <f>IF('Input Data'!CJ15="",NA(),'Input Data'!CJ15)</f>
        <v>78.526086956521738</v>
      </c>
      <c r="H65" s="642">
        <f>IFERROR(AVERAGEIFS('Daily Historical Avg Temp'!$F$4:$F$368,'Daily Historical Avg Temp'!$B$4:$B$368,MONTH($B$4),'Daily Historical Avg Temp'!$C$4:$C$368,$B65),NA())</f>
        <v>75.349999999999994</v>
      </c>
      <c r="I65" s="642">
        <f>IFERROR(AVERAGEIFS('Daily Historical Avg Temp'!$G$4:$G$368,'Daily Historical Avg Temp'!$B$4:$B$368,MONTH($B$4),'Daily Historical Avg Temp'!$C$4:$C$368,$B65),NA())</f>
        <v>76.95</v>
      </c>
      <c r="J65" s="638">
        <v>90</v>
      </c>
      <c r="K65" s="639">
        <v>89</v>
      </c>
      <c r="L65" s="642">
        <f>IFERROR(AVERAGEIFS('Daily Historical Avg Temp'!$D$4:$D$368,'Daily Historical Avg Temp'!$B$4:$B$368,MONTH($B$4),'Daily Historical Avg Temp'!$C$4:$C$368,$B65),NA())</f>
        <v>85.3</v>
      </c>
      <c r="M65" s="642">
        <f>IFERROR(AVERAGEIFS('Daily Historical Avg Temp'!$E$4:$E$368,'Daily Historical Avg Temp'!$B$4:$B$368,MONTH($B$4),'Daily Historical Avg Temp'!$C$4:$C$368,$B65),NA())</f>
        <v>86.6</v>
      </c>
      <c r="N65" s="638">
        <v>63</v>
      </c>
      <c r="O65" s="639">
        <v>66</v>
      </c>
      <c r="P65" s="642">
        <f>IFERROR(AVERAGEIFS('Daily Historical Avg Temp'!$H$4:$H$368,'Daily Historical Avg Temp'!$B$4:$B$368,MONTH($B$4),'Daily Historical Avg Temp'!$C$4:$C$368,$B65),NA())</f>
        <v>65.849999999999994</v>
      </c>
      <c r="Q65" s="639">
        <f>IFERROR(AVERAGEIFS('Daily Historical Avg Temp'!$I$4:$I$368,'Daily Historical Avg Temp'!$B$4:$B$368,MONTH($B$4),'Daily Historical Avg Temp'!$C$4:$C$368,$B65),NA())</f>
        <v>67.45</v>
      </c>
    </row>
    <row r="66" spans="2:17">
      <c r="B66" s="601">
        <f t="shared" si="14"/>
        <v>13</v>
      </c>
      <c r="C66" s="630"/>
      <c r="D66" s="630">
        <f>IF($B66&lt;='Input Data'!$A$1,'Input Data'!AG16,NA())</f>
        <v>109862.18371582031</v>
      </c>
      <c r="E66" s="631">
        <f>IF('Monthly Budget Data'!G17=0,NA(),'Monthly Budget Data'!G17)</f>
        <v>105011.32798570598</v>
      </c>
      <c r="F66" s="638">
        <f>IF('Input Data'!CI16="",NA(),'Input Data'!CI16)</f>
        <v>82.339130434782618</v>
      </c>
      <c r="G66" s="639">
        <f>IF('Input Data'!CJ16="",NA(),'Input Data'!CJ16)</f>
        <v>83.608333333333348</v>
      </c>
      <c r="H66" s="642">
        <f>IFERROR(AVERAGEIFS('Daily Historical Avg Temp'!$F$4:$F$368,'Daily Historical Avg Temp'!$B$4:$B$368,MONTH($B$4),'Daily Historical Avg Temp'!$C$4:$C$368,$B66),NA())</f>
        <v>74.8</v>
      </c>
      <c r="I66" s="642">
        <f>IFERROR(AVERAGEIFS('Daily Historical Avg Temp'!$G$4:$G$368,'Daily Historical Avg Temp'!$B$4:$B$368,MONTH($B$4),'Daily Historical Avg Temp'!$C$4:$C$368,$B66),NA())</f>
        <v>77.349999999999994</v>
      </c>
      <c r="J66" s="638">
        <v>93</v>
      </c>
      <c r="K66" s="639">
        <v>95</v>
      </c>
      <c r="L66" s="642">
        <f>IFERROR(AVERAGEIFS('Daily Historical Avg Temp'!$D$4:$D$368,'Daily Historical Avg Temp'!$B$4:$B$368,MONTH($B$4),'Daily Historical Avg Temp'!$C$4:$C$368,$B66),NA())</f>
        <v>83.15</v>
      </c>
      <c r="M66" s="642">
        <f>IFERROR(AVERAGEIFS('Daily Historical Avg Temp'!$E$4:$E$368,'Daily Historical Avg Temp'!$B$4:$B$368,MONTH($B$4),'Daily Historical Avg Temp'!$C$4:$C$368,$B66),NA())</f>
        <v>86.05</v>
      </c>
      <c r="N66" s="638">
        <v>72</v>
      </c>
      <c r="O66" s="639">
        <v>73</v>
      </c>
      <c r="P66" s="642">
        <f>IFERROR(AVERAGEIFS('Daily Historical Avg Temp'!$H$4:$H$368,'Daily Historical Avg Temp'!$B$4:$B$368,MONTH($B$4),'Daily Historical Avg Temp'!$C$4:$C$368,$B66),NA())</f>
        <v>66.75</v>
      </c>
      <c r="Q66" s="639">
        <f>IFERROR(AVERAGEIFS('Daily Historical Avg Temp'!$I$4:$I$368,'Daily Historical Avg Temp'!$B$4:$B$368,MONTH($B$4),'Daily Historical Avg Temp'!$C$4:$C$368,$B66),NA())</f>
        <v>68.75</v>
      </c>
    </row>
    <row r="67" spans="2:17">
      <c r="B67" s="601">
        <f t="shared" si="14"/>
        <v>14</v>
      </c>
      <c r="C67" s="630"/>
      <c r="D67" s="630">
        <f>IF($B67&lt;='Input Data'!$A$1,'Input Data'!AG17,NA())</f>
        <v>110969.5849609375</v>
      </c>
      <c r="E67" s="631">
        <f>IF('Monthly Budget Data'!G18=0,NA(),'Monthly Budget Data'!G18)</f>
        <v>116619.94488525062</v>
      </c>
      <c r="F67" s="638">
        <f>IF('Input Data'!CI17="",NA(),'Input Data'!CI17)</f>
        <v>76.297916666666694</v>
      </c>
      <c r="G67" s="639">
        <f>IF('Input Data'!CJ17="",NA(),'Input Data'!CJ17)</f>
        <v>76.157986111111128</v>
      </c>
      <c r="H67" s="642">
        <f>IFERROR(AVERAGEIFS('Daily Historical Avg Temp'!$F$4:$F$368,'Daily Historical Avg Temp'!$B$4:$B$368,MONTH($B$4),'Daily Historical Avg Temp'!$C$4:$C$368,$B67),NA())</f>
        <v>75.599999999999994</v>
      </c>
      <c r="I67" s="642">
        <f>IFERROR(AVERAGEIFS('Daily Historical Avg Temp'!$G$4:$G$368,'Daily Historical Avg Temp'!$B$4:$B$368,MONTH($B$4),'Daily Historical Avg Temp'!$C$4:$C$368,$B67),NA())</f>
        <v>77.599999999999994</v>
      </c>
      <c r="J67" s="638">
        <v>87</v>
      </c>
      <c r="K67" s="639">
        <v>85</v>
      </c>
      <c r="L67" s="642">
        <f>IFERROR(AVERAGEIFS('Daily Historical Avg Temp'!$D$4:$D$368,'Daily Historical Avg Temp'!$B$4:$B$368,MONTH($B$4),'Daily Historical Avg Temp'!$C$4:$C$368,$B67),NA())</f>
        <v>85.35</v>
      </c>
      <c r="M67" s="642">
        <f>IFERROR(AVERAGEIFS('Daily Historical Avg Temp'!$E$4:$E$368,'Daily Historical Avg Temp'!$B$4:$B$368,MONTH($B$4),'Daily Historical Avg Temp'!$C$4:$C$368,$B67),NA())</f>
        <v>87.15</v>
      </c>
      <c r="N67" s="638">
        <v>68</v>
      </c>
      <c r="O67" s="639">
        <v>69</v>
      </c>
      <c r="P67" s="642">
        <f>IFERROR(AVERAGEIFS('Daily Historical Avg Temp'!$H$4:$H$368,'Daily Historical Avg Temp'!$B$4:$B$368,MONTH($B$4),'Daily Historical Avg Temp'!$C$4:$C$368,$B67),NA())</f>
        <v>66.25</v>
      </c>
      <c r="Q67" s="639">
        <f>IFERROR(AVERAGEIFS('Daily Historical Avg Temp'!$I$4:$I$368,'Daily Historical Avg Temp'!$B$4:$B$368,MONTH($B$4),'Daily Historical Avg Temp'!$C$4:$C$368,$B67),NA())</f>
        <v>67.900000000000006</v>
      </c>
    </row>
    <row r="68" spans="2:17">
      <c r="B68" s="601">
        <f t="shared" si="14"/>
        <v>15</v>
      </c>
      <c r="C68" s="630"/>
      <c r="D68" s="630">
        <f>IF($B68&lt;='Input Data'!$A$1,'Input Data'!AG18,NA())</f>
        <v>99917.608032226563</v>
      </c>
      <c r="E68" s="631">
        <f>IF('Monthly Budget Data'!G19=0,NA(),'Monthly Budget Data'!G19)</f>
        <v>118550.52187426221</v>
      </c>
      <c r="F68" s="638">
        <f>IF('Input Data'!CI18="",NA(),'Input Data'!CI18)</f>
        <v>70.795833333333334</v>
      </c>
      <c r="G68" s="639">
        <f>IF('Input Data'!CJ18="",NA(),'Input Data'!CJ18)</f>
        <v>70.920833333333334</v>
      </c>
      <c r="H68" s="642">
        <f>IFERROR(AVERAGEIFS('Daily Historical Avg Temp'!$F$4:$F$368,'Daily Historical Avg Temp'!$B$4:$B$368,MONTH($B$4),'Daily Historical Avg Temp'!$C$4:$C$368,$B68),NA())</f>
        <v>76.25</v>
      </c>
      <c r="I68" s="642">
        <f>IFERROR(AVERAGEIFS('Daily Historical Avg Temp'!$G$4:$G$368,'Daily Historical Avg Temp'!$B$4:$B$368,MONTH($B$4),'Daily Historical Avg Temp'!$C$4:$C$368,$B68),NA())</f>
        <v>77.900000000000006</v>
      </c>
      <c r="J68" s="638">
        <v>78</v>
      </c>
      <c r="K68" s="639">
        <v>77</v>
      </c>
      <c r="L68" s="642">
        <f>IFERROR(AVERAGEIFS('Daily Historical Avg Temp'!$D$4:$D$368,'Daily Historical Avg Temp'!$B$4:$B$368,MONTH($B$4),'Daily Historical Avg Temp'!$C$4:$C$368,$B68),NA())</f>
        <v>85.25</v>
      </c>
      <c r="M68" s="642">
        <f>IFERROR(AVERAGEIFS('Daily Historical Avg Temp'!$E$4:$E$368,'Daily Historical Avg Temp'!$B$4:$B$368,MONTH($B$4),'Daily Historical Avg Temp'!$C$4:$C$368,$B68),NA())</f>
        <v>86.85</v>
      </c>
      <c r="N68" s="638">
        <v>59</v>
      </c>
      <c r="O68" s="639">
        <v>62</v>
      </c>
      <c r="P68" s="642">
        <f>IFERROR(AVERAGEIFS('Daily Historical Avg Temp'!$H$4:$H$368,'Daily Historical Avg Temp'!$B$4:$B$368,MONTH($B$4),'Daily Historical Avg Temp'!$C$4:$C$368,$B68),NA())</f>
        <v>67.150000000000006</v>
      </c>
      <c r="Q68" s="639">
        <f>IFERROR(AVERAGEIFS('Daily Historical Avg Temp'!$I$4:$I$368,'Daily Historical Avg Temp'!$B$4:$B$368,MONTH($B$4),'Daily Historical Avg Temp'!$C$4:$C$368,$B68),NA())</f>
        <v>69.5</v>
      </c>
    </row>
    <row r="69" spans="2:17">
      <c r="B69" s="601">
        <f t="shared" si="14"/>
        <v>16</v>
      </c>
      <c r="C69" s="630"/>
      <c r="D69" s="630">
        <f>IF($B69&lt;='Input Data'!$A$1,'Input Data'!AG19,NA())</f>
        <v>91144.539916992188</v>
      </c>
      <c r="E69" s="631">
        <f>IF('Monthly Budget Data'!G20=0,NA(),'Monthly Budget Data'!G20)</f>
        <v>118584.234120995</v>
      </c>
      <c r="F69" s="638">
        <f>IF('Input Data'!CI19="",NA(),'Input Data'!CI19)</f>
        <v>65.469565217391306</v>
      </c>
      <c r="G69" s="639">
        <f>IF('Input Data'!CJ19="",NA(),'Input Data'!CJ19)</f>
        <v>67.412500000000009</v>
      </c>
      <c r="H69" s="642">
        <f>IFERROR(AVERAGEIFS('Daily Historical Avg Temp'!$F$4:$F$368,'Daily Historical Avg Temp'!$B$4:$B$368,MONTH($B$4),'Daily Historical Avg Temp'!$C$4:$C$368,$B69),NA())</f>
        <v>77.05</v>
      </c>
      <c r="I69" s="642">
        <f>IFERROR(AVERAGEIFS('Daily Historical Avg Temp'!$G$4:$G$368,'Daily Historical Avg Temp'!$B$4:$B$368,MONTH($B$4),'Daily Historical Avg Temp'!$C$4:$C$368,$B69),NA())</f>
        <v>79.3</v>
      </c>
      <c r="J69" s="638">
        <v>77</v>
      </c>
      <c r="K69" s="639">
        <v>77</v>
      </c>
      <c r="L69" s="642">
        <f>IFERROR(AVERAGEIFS('Daily Historical Avg Temp'!$D$4:$D$368,'Daily Historical Avg Temp'!$B$4:$B$368,MONTH($B$4),'Daily Historical Avg Temp'!$C$4:$C$368,$B69),NA())</f>
        <v>86.55</v>
      </c>
      <c r="M69" s="642">
        <f>IFERROR(AVERAGEIFS('Daily Historical Avg Temp'!$E$4:$E$368,'Daily Historical Avg Temp'!$B$4:$B$368,MONTH($B$4),'Daily Historical Avg Temp'!$C$4:$C$368,$B69),NA())</f>
        <v>88.8</v>
      </c>
      <c r="N69" s="638">
        <v>54</v>
      </c>
      <c r="O69" s="639">
        <v>57</v>
      </c>
      <c r="P69" s="642">
        <f>IFERROR(AVERAGEIFS('Daily Historical Avg Temp'!$H$4:$H$368,'Daily Historical Avg Temp'!$B$4:$B$368,MONTH($B$4),'Daily Historical Avg Temp'!$C$4:$C$368,$B69),NA())</f>
        <v>67.849999999999994</v>
      </c>
      <c r="Q69" s="639">
        <f>IFERROR(AVERAGEIFS('Daily Historical Avg Temp'!$I$4:$I$368,'Daily Historical Avg Temp'!$B$4:$B$368,MONTH($B$4),'Daily Historical Avg Temp'!$C$4:$C$368,$B69),NA())</f>
        <v>70.25</v>
      </c>
    </row>
    <row r="70" spans="2:17">
      <c r="B70" s="601">
        <f t="shared" si="14"/>
        <v>17</v>
      </c>
      <c r="C70" s="630"/>
      <c r="D70" s="630">
        <f>IF($B70&lt;='Input Data'!$A$1,'Input Data'!AG20,NA())</f>
        <v>93625.836303710938</v>
      </c>
      <c r="E70" s="631">
        <f>IF('Monthly Budget Data'!G21=0,NA(),'Monthly Budget Data'!G21)</f>
        <v>118664.31817596864</v>
      </c>
      <c r="F70" s="638">
        <f>IF('Input Data'!CI20="",NA(),'Input Data'!CI20)</f>
        <v>68.42083333333332</v>
      </c>
      <c r="G70" s="639">
        <f>IF('Input Data'!CJ20="",NA(),'Input Data'!CJ20)</f>
        <v>69.212499999999991</v>
      </c>
      <c r="H70" s="642">
        <f>IFERROR(AVERAGEIFS('Daily Historical Avg Temp'!$F$4:$F$368,'Daily Historical Avg Temp'!$B$4:$B$368,MONTH($B$4),'Daily Historical Avg Temp'!$C$4:$C$368,$B70),NA())</f>
        <v>77</v>
      </c>
      <c r="I70" s="642">
        <f>IFERROR(AVERAGEIFS('Daily Historical Avg Temp'!$G$4:$G$368,'Daily Historical Avg Temp'!$B$4:$B$368,MONTH($B$4),'Daily Historical Avg Temp'!$C$4:$C$368,$B70),NA())</f>
        <v>79.5</v>
      </c>
      <c r="J70" s="638">
        <v>80</v>
      </c>
      <c r="K70" s="639">
        <v>80</v>
      </c>
      <c r="L70" s="642">
        <f>IFERROR(AVERAGEIFS('Daily Historical Avg Temp'!$D$4:$D$368,'Daily Historical Avg Temp'!$B$4:$B$368,MONTH($B$4),'Daily Historical Avg Temp'!$C$4:$C$368,$B70),NA())</f>
        <v>86.5</v>
      </c>
      <c r="M70" s="642">
        <f>IFERROR(AVERAGEIFS('Daily Historical Avg Temp'!$E$4:$E$368,'Daily Historical Avg Temp'!$B$4:$B$368,MONTH($B$4),'Daily Historical Avg Temp'!$C$4:$C$368,$B70),NA())</f>
        <v>88.8</v>
      </c>
      <c r="N70" s="638">
        <v>54</v>
      </c>
      <c r="O70" s="639">
        <v>57</v>
      </c>
      <c r="P70" s="642">
        <f>IFERROR(AVERAGEIFS('Daily Historical Avg Temp'!$H$4:$H$368,'Daily Historical Avg Temp'!$B$4:$B$368,MONTH($B$4),'Daily Historical Avg Temp'!$C$4:$C$368,$B70),NA())</f>
        <v>67.75</v>
      </c>
      <c r="Q70" s="639">
        <f>IFERROR(AVERAGEIFS('Daily Historical Avg Temp'!$I$4:$I$368,'Daily Historical Avg Temp'!$B$4:$B$368,MONTH($B$4),'Daily Historical Avg Temp'!$C$4:$C$368,$B70),NA())</f>
        <v>70.5</v>
      </c>
    </row>
    <row r="71" spans="2:17">
      <c r="B71" s="601">
        <f t="shared" si="14"/>
        <v>18</v>
      </c>
      <c r="C71" s="630"/>
      <c r="D71" s="630">
        <f>IF($B71&lt;='Input Data'!$A$1,'Input Data'!AG21,NA())</f>
        <v>85524.149169921875</v>
      </c>
      <c r="E71" s="631">
        <f>IF('Monthly Budget Data'!G22=0,NA(),'Monthly Budget Data'!G22)</f>
        <v>117135.68558793914</v>
      </c>
      <c r="F71" s="638">
        <f>IF('Input Data'!CI21="",NA(),'Input Data'!CI21)</f>
        <v>65.596527777777794</v>
      </c>
      <c r="G71" s="639">
        <f>IF('Input Data'!CJ21="",NA(),'Input Data'!CJ21)</f>
        <v>65.8541666666667</v>
      </c>
      <c r="H71" s="642">
        <f>IFERROR(AVERAGEIFS('Daily Historical Avg Temp'!$F$4:$F$368,'Daily Historical Avg Temp'!$B$4:$B$368,MONTH($B$4),'Daily Historical Avg Temp'!$C$4:$C$368,$B71),NA())</f>
        <v>77.099999999999994</v>
      </c>
      <c r="I71" s="642">
        <f>IFERROR(AVERAGEIFS('Daily Historical Avg Temp'!$G$4:$G$368,'Daily Historical Avg Temp'!$B$4:$B$368,MONTH($B$4),'Daily Historical Avg Temp'!$C$4:$C$368,$B71),NA())</f>
        <v>79.3</v>
      </c>
      <c r="J71" s="638">
        <v>72</v>
      </c>
      <c r="K71" s="639">
        <v>72</v>
      </c>
      <c r="L71" s="642">
        <f>IFERROR(AVERAGEIFS('Daily Historical Avg Temp'!$D$4:$D$368,'Daily Historical Avg Temp'!$B$4:$B$368,MONTH($B$4),'Daily Historical Avg Temp'!$C$4:$C$368,$B71),NA())</f>
        <v>86.45</v>
      </c>
      <c r="M71" s="642">
        <f>IFERROR(AVERAGEIFS('Daily Historical Avg Temp'!$E$4:$E$368,'Daily Historical Avg Temp'!$B$4:$B$368,MONTH($B$4),'Daily Historical Avg Temp'!$C$4:$C$368,$B71),NA())</f>
        <v>88.4</v>
      </c>
      <c r="N71" s="638">
        <v>61</v>
      </c>
      <c r="O71" s="639">
        <v>62</v>
      </c>
      <c r="P71" s="642">
        <f>IFERROR(AVERAGEIFS('Daily Historical Avg Temp'!$H$4:$H$368,'Daily Historical Avg Temp'!$B$4:$B$368,MONTH($B$4),'Daily Historical Avg Temp'!$C$4:$C$368,$B71),NA())</f>
        <v>67.55</v>
      </c>
      <c r="Q71" s="639">
        <f>IFERROR(AVERAGEIFS('Daily Historical Avg Temp'!$I$4:$I$368,'Daily Historical Avg Temp'!$B$4:$B$368,MONTH($B$4),'Daily Historical Avg Temp'!$C$4:$C$368,$B71),NA())</f>
        <v>70.3</v>
      </c>
    </row>
    <row r="72" spans="2:17">
      <c r="B72" s="601">
        <f t="shared" si="14"/>
        <v>19</v>
      </c>
      <c r="C72" s="630"/>
      <c r="D72" s="630">
        <f>IF($B72&lt;='Input Data'!$A$1,'Input Data'!AG22,NA())</f>
        <v>81962.553588867188</v>
      </c>
      <c r="E72" s="631">
        <f>IF('Monthly Budget Data'!G23=0,NA(),'Monthly Budget Data'!G23)</f>
        <v>107793.52319266519</v>
      </c>
      <c r="F72" s="638">
        <f>IF('Input Data'!CI22="",NA(),'Input Data'!CI22)</f>
        <v>68.602777777777774</v>
      </c>
      <c r="G72" s="639">
        <f>IF('Input Data'!CJ22="",NA(),'Input Data'!CJ22)</f>
        <v>70.073611111111134</v>
      </c>
      <c r="H72" s="642">
        <f>IFERROR(AVERAGEIFS('Daily Historical Avg Temp'!$F$4:$F$368,'Daily Historical Avg Temp'!$B$4:$B$368,MONTH($B$4),'Daily Historical Avg Temp'!$C$4:$C$368,$B72),NA())</f>
        <v>77.849999999999994</v>
      </c>
      <c r="I72" s="642">
        <f>IFERROR(AVERAGEIFS('Daily Historical Avg Temp'!$G$4:$G$368,'Daily Historical Avg Temp'!$B$4:$B$368,MONTH($B$4),'Daily Historical Avg Temp'!$C$4:$C$368,$B72),NA())</f>
        <v>80.099999999999994</v>
      </c>
      <c r="J72" s="638">
        <v>76</v>
      </c>
      <c r="K72" s="639">
        <v>76</v>
      </c>
      <c r="L72" s="642">
        <f>IFERROR(AVERAGEIFS('Daily Historical Avg Temp'!$D$4:$D$368,'Daily Historical Avg Temp'!$B$4:$B$368,MONTH($B$4),'Daily Historical Avg Temp'!$C$4:$C$368,$B72),NA())</f>
        <v>87.65</v>
      </c>
      <c r="M72" s="642">
        <f>IFERROR(AVERAGEIFS('Daily Historical Avg Temp'!$E$4:$E$368,'Daily Historical Avg Temp'!$B$4:$B$368,MONTH($B$4),'Daily Historical Avg Temp'!$C$4:$C$368,$B72),NA())</f>
        <v>89.55</v>
      </c>
      <c r="N72" s="638">
        <v>64</v>
      </c>
      <c r="O72" s="639">
        <v>65</v>
      </c>
      <c r="P72" s="642">
        <f>IFERROR(AVERAGEIFS('Daily Historical Avg Temp'!$H$4:$H$368,'Daily Historical Avg Temp'!$B$4:$B$368,MONTH($B$4),'Daily Historical Avg Temp'!$C$4:$C$368,$B72),NA())</f>
        <v>68.2</v>
      </c>
      <c r="Q72" s="639">
        <f>IFERROR(AVERAGEIFS('Daily Historical Avg Temp'!$I$4:$I$368,'Daily Historical Avg Temp'!$B$4:$B$368,MONTH($B$4),'Daily Historical Avg Temp'!$C$4:$C$368,$B72),NA())</f>
        <v>70.599999999999994</v>
      </c>
    </row>
    <row r="73" spans="2:17">
      <c r="B73" s="601">
        <f t="shared" si="14"/>
        <v>20</v>
      </c>
      <c r="C73" s="630"/>
      <c r="D73" s="630">
        <f>IF($B73&lt;='Input Data'!$A$1,'Input Data'!AG23,NA())</f>
        <v>90233.19140625</v>
      </c>
      <c r="E73" s="631">
        <f>IF('Monthly Budget Data'!G24=0,NA(),'Monthly Budget Data'!G24)</f>
        <v>105927.27834284451</v>
      </c>
      <c r="F73" s="638">
        <f>IF('Input Data'!CI23="",NA(),'Input Data'!CI23)</f>
        <v>74.066874999999996</v>
      </c>
      <c r="G73" s="639">
        <f>IF('Input Data'!CJ23="",NA(),'Input Data'!CJ23)</f>
        <v>75.812152777777783</v>
      </c>
      <c r="H73" s="642">
        <f>IFERROR(AVERAGEIFS('Daily Historical Avg Temp'!$F$4:$F$368,'Daily Historical Avg Temp'!$B$4:$B$368,MONTH($B$4),'Daily Historical Avg Temp'!$C$4:$C$368,$B73),NA())</f>
        <v>77.45</v>
      </c>
      <c r="I73" s="642">
        <f>IFERROR(AVERAGEIFS('Daily Historical Avg Temp'!$G$4:$G$368,'Daily Historical Avg Temp'!$B$4:$B$368,MONTH($B$4),'Daily Historical Avg Temp'!$C$4:$C$368,$B73),NA())</f>
        <v>79.3</v>
      </c>
      <c r="J73" s="638">
        <v>84</v>
      </c>
      <c r="K73" s="639">
        <v>85</v>
      </c>
      <c r="L73" s="642">
        <f>IFERROR(AVERAGEIFS('Daily Historical Avg Temp'!$D$4:$D$368,'Daily Historical Avg Temp'!$B$4:$B$368,MONTH($B$4),'Daily Historical Avg Temp'!$C$4:$C$368,$B73),NA())</f>
        <v>87.95</v>
      </c>
      <c r="M73" s="642">
        <f>IFERROR(AVERAGEIFS('Daily Historical Avg Temp'!$E$4:$E$368,'Daily Historical Avg Temp'!$B$4:$B$368,MONTH($B$4),'Daily Historical Avg Temp'!$C$4:$C$368,$B73),NA())</f>
        <v>88.5</v>
      </c>
      <c r="N73" s="638">
        <v>69</v>
      </c>
      <c r="O73" s="639">
        <v>69</v>
      </c>
      <c r="P73" s="642">
        <f>IFERROR(AVERAGEIFS('Daily Historical Avg Temp'!$H$4:$H$368,'Daily Historical Avg Temp'!$B$4:$B$368,MONTH($B$4),'Daily Historical Avg Temp'!$C$4:$C$368,$B73),NA())</f>
        <v>67.2</v>
      </c>
      <c r="Q73" s="639">
        <f>IFERROR(AVERAGEIFS('Daily Historical Avg Temp'!$I$4:$I$368,'Daily Historical Avg Temp'!$B$4:$B$368,MONTH($B$4),'Daily Historical Avg Temp'!$C$4:$C$368,$B73),NA())</f>
        <v>69.95</v>
      </c>
    </row>
    <row r="74" spans="2:17">
      <c r="B74" s="601">
        <f t="shared" si="14"/>
        <v>21</v>
      </c>
      <c r="C74" s="630"/>
      <c r="D74" s="630">
        <f>IF($B74&lt;='Input Data'!$A$1,'Input Data'!AG24,NA())</f>
        <v>111037.17980957031</v>
      </c>
      <c r="E74" s="631">
        <f>IF('Monthly Budget Data'!G25=0,NA(),'Monthly Budget Data'!G25)</f>
        <v>117586.17723670957</v>
      </c>
      <c r="F74" s="638">
        <f>IF('Input Data'!CI24="",NA(),'Input Data'!CI24)</f>
        <v>77.607986111111117</v>
      </c>
      <c r="G74" s="639">
        <f>IF('Input Data'!CJ24="",NA(),'Input Data'!CJ24)</f>
        <v>78.649999999999977</v>
      </c>
      <c r="H74" s="642">
        <f>IFERROR(AVERAGEIFS('Daily Historical Avg Temp'!$F$4:$F$368,'Daily Historical Avg Temp'!$B$4:$B$368,MONTH($B$4),'Daily Historical Avg Temp'!$C$4:$C$368,$B74),NA())</f>
        <v>77.5</v>
      </c>
      <c r="I74" s="642">
        <f>IFERROR(AVERAGEIFS('Daily Historical Avg Temp'!$G$4:$G$368,'Daily Historical Avg Temp'!$B$4:$B$368,MONTH($B$4),'Daily Historical Avg Temp'!$C$4:$C$368,$B74),NA())</f>
        <v>79.349999999999994</v>
      </c>
      <c r="J74" s="638">
        <v>90</v>
      </c>
      <c r="K74" s="639">
        <v>90</v>
      </c>
      <c r="L74" s="642">
        <f>IFERROR(AVERAGEIFS('Daily Historical Avg Temp'!$D$4:$D$368,'Daily Historical Avg Temp'!$B$4:$B$368,MONTH($B$4),'Daily Historical Avg Temp'!$C$4:$C$368,$B74),NA())</f>
        <v>86.8</v>
      </c>
      <c r="M74" s="642">
        <f>IFERROR(AVERAGEIFS('Daily Historical Avg Temp'!$E$4:$E$368,'Daily Historical Avg Temp'!$B$4:$B$368,MONTH($B$4),'Daily Historical Avg Temp'!$C$4:$C$368,$B74),NA())</f>
        <v>88.15</v>
      </c>
      <c r="N74" s="638">
        <v>66</v>
      </c>
      <c r="O74" s="639">
        <v>66</v>
      </c>
      <c r="P74" s="642">
        <f>IFERROR(AVERAGEIFS('Daily Historical Avg Temp'!$H$4:$H$368,'Daily Historical Avg Temp'!$B$4:$B$368,MONTH($B$4),'Daily Historical Avg Temp'!$C$4:$C$368,$B74),NA())</f>
        <v>68.2</v>
      </c>
      <c r="Q74" s="639">
        <f>IFERROR(AVERAGEIFS('Daily Historical Avg Temp'!$I$4:$I$368,'Daily Historical Avg Temp'!$B$4:$B$368,MONTH($B$4),'Daily Historical Avg Temp'!$C$4:$C$368,$B74),NA())</f>
        <v>70.650000000000006</v>
      </c>
    </row>
    <row r="75" spans="2:17">
      <c r="B75" s="601">
        <f t="shared" si="14"/>
        <v>22</v>
      </c>
      <c r="C75" s="630"/>
      <c r="D75" s="630">
        <f>IF($B75&lt;='Input Data'!$A$1,'Input Data'!AG25,NA())</f>
        <v>121261.52514648437</v>
      </c>
      <c r="E75" s="631">
        <f>IF('Monthly Budget Data'!G26=0,NA(),'Monthly Budget Data'!G26)</f>
        <v>119747.31808730237</v>
      </c>
      <c r="F75" s="638">
        <f>IF('Input Data'!CI25="",NA(),'Input Data'!CI25)</f>
        <v>80.691666666666663</v>
      </c>
      <c r="G75" s="639">
        <f>IF('Input Data'!CJ25="",NA(),'Input Data'!CJ25)</f>
        <v>82.25833333333334</v>
      </c>
      <c r="H75" s="642">
        <f>IFERROR(AVERAGEIFS('Daily Historical Avg Temp'!$F$4:$F$368,'Daily Historical Avg Temp'!$B$4:$B$368,MONTH($B$4),'Daily Historical Avg Temp'!$C$4:$C$368,$B75),NA())</f>
        <v>76.400000000000006</v>
      </c>
      <c r="I75" s="642">
        <f>IFERROR(AVERAGEIFS('Daily Historical Avg Temp'!$G$4:$G$368,'Daily Historical Avg Temp'!$B$4:$B$368,MONTH($B$4),'Daily Historical Avg Temp'!$C$4:$C$368,$B75),NA())</f>
        <v>78.8</v>
      </c>
      <c r="J75" s="638">
        <v>91</v>
      </c>
      <c r="K75" s="639">
        <v>94</v>
      </c>
      <c r="L75" s="642">
        <f>IFERROR(AVERAGEIFS('Daily Historical Avg Temp'!$D$4:$D$368,'Daily Historical Avg Temp'!$B$4:$B$368,MONTH($B$4),'Daily Historical Avg Temp'!$C$4:$C$368,$B75),NA())</f>
        <v>85.1</v>
      </c>
      <c r="M75" s="642">
        <f>IFERROR(AVERAGEIFS('Daily Historical Avg Temp'!$E$4:$E$368,'Daily Historical Avg Temp'!$B$4:$B$368,MONTH($B$4),'Daily Historical Avg Temp'!$C$4:$C$368,$B75),NA())</f>
        <v>86.7</v>
      </c>
      <c r="N75" s="638">
        <v>68</v>
      </c>
      <c r="O75" s="639">
        <v>68</v>
      </c>
      <c r="P75" s="642">
        <f>IFERROR(AVERAGEIFS('Daily Historical Avg Temp'!$H$4:$H$368,'Daily Historical Avg Temp'!$B$4:$B$368,MONTH($B$4),'Daily Historical Avg Temp'!$C$4:$C$368,$B75),NA())</f>
        <v>68.2</v>
      </c>
      <c r="Q75" s="639">
        <f>IFERROR(AVERAGEIFS('Daily Historical Avg Temp'!$I$4:$I$368,'Daily Historical Avg Temp'!$B$4:$B$368,MONTH($B$4),'Daily Historical Avg Temp'!$C$4:$C$368,$B75),NA())</f>
        <v>70.95</v>
      </c>
    </row>
    <row r="76" spans="2:17">
      <c r="B76" s="601">
        <f t="shared" si="14"/>
        <v>23</v>
      </c>
      <c r="C76" s="630"/>
      <c r="D76" s="630">
        <f>IF($B76&lt;='Input Data'!$A$1,'Input Data'!AG26,NA())</f>
        <v>115380.72412109375</v>
      </c>
      <c r="E76" s="631">
        <f>IF('Monthly Budget Data'!G27=0,NA(),'Monthly Budget Data'!G27)</f>
        <v>120223.01949577969</v>
      </c>
      <c r="F76" s="638">
        <f>IF('Input Data'!CI26="",NA(),'Input Data'!CI26)</f>
        <v>79.297222222222231</v>
      </c>
      <c r="G76" s="639">
        <f>IF('Input Data'!CJ26="",NA(),'Input Data'!CJ26)</f>
        <v>80.166666666666686</v>
      </c>
      <c r="H76" s="642">
        <f>IFERROR(AVERAGEIFS('Daily Historical Avg Temp'!$F$4:$F$368,'Daily Historical Avg Temp'!$B$4:$B$368,MONTH($B$4),'Daily Historical Avg Temp'!$C$4:$C$368,$B76),NA())</f>
        <v>76.599999999999994</v>
      </c>
      <c r="I76" s="642">
        <f>IFERROR(AVERAGEIFS('Daily Historical Avg Temp'!$G$4:$G$368,'Daily Historical Avg Temp'!$B$4:$B$368,MONTH($B$4),'Daily Historical Avg Temp'!$C$4:$C$368,$B76),NA())</f>
        <v>78.75</v>
      </c>
      <c r="J76" s="638">
        <v>87</v>
      </c>
      <c r="K76" s="639">
        <v>87</v>
      </c>
      <c r="L76" s="642">
        <f>IFERROR(AVERAGEIFS('Daily Historical Avg Temp'!$D$4:$D$368,'Daily Historical Avg Temp'!$B$4:$B$368,MONTH($B$4),'Daily Historical Avg Temp'!$C$4:$C$368,$B76),NA())</f>
        <v>85.15</v>
      </c>
      <c r="M76" s="642">
        <f>IFERROR(AVERAGEIFS('Daily Historical Avg Temp'!$E$4:$E$368,'Daily Historical Avg Temp'!$B$4:$B$368,MONTH($B$4),'Daily Historical Avg Temp'!$C$4:$C$368,$B76),NA())</f>
        <v>87.55</v>
      </c>
      <c r="N76" s="638">
        <v>72</v>
      </c>
      <c r="O76" s="639">
        <v>72</v>
      </c>
      <c r="P76" s="642">
        <f>IFERROR(AVERAGEIFS('Daily Historical Avg Temp'!$H$4:$H$368,'Daily Historical Avg Temp'!$B$4:$B$368,MONTH($B$4),'Daily Historical Avg Temp'!$C$4:$C$368,$B76),NA())</f>
        <v>68.099999999999994</v>
      </c>
      <c r="Q76" s="639">
        <f>IFERROR(AVERAGEIFS('Daily Historical Avg Temp'!$I$4:$I$368,'Daily Historical Avg Temp'!$B$4:$B$368,MONTH($B$4),'Daily Historical Avg Temp'!$C$4:$C$368,$B76),NA())</f>
        <v>70.349999999999994</v>
      </c>
    </row>
    <row r="77" spans="2:17">
      <c r="B77" s="601">
        <f t="shared" si="14"/>
        <v>24</v>
      </c>
      <c r="C77" s="630"/>
      <c r="D77" s="630">
        <f>IF($B77&lt;='Input Data'!$A$1,'Input Data'!AG27,NA())</f>
        <v>101087.27038574219</v>
      </c>
      <c r="E77" s="631">
        <f>IF('Monthly Budget Data'!G28=0,NA(),'Monthly Budget Data'!G28)</f>
        <v>120281.06353687547</v>
      </c>
      <c r="F77" s="638">
        <f>IF('Input Data'!CI27="",NA(),'Input Data'!CI27)</f>
        <v>70.632638888888906</v>
      </c>
      <c r="G77" s="639">
        <f>IF('Input Data'!CJ27="",NA(),'Input Data'!CJ27)</f>
        <v>72.995833333333337</v>
      </c>
      <c r="H77" s="642">
        <f>IFERROR(AVERAGEIFS('Daily Historical Avg Temp'!$F$4:$F$368,'Daily Historical Avg Temp'!$B$4:$B$368,MONTH($B$4),'Daily Historical Avg Temp'!$C$4:$C$368,$B77),NA())</f>
        <v>76.400000000000006</v>
      </c>
      <c r="I77" s="642">
        <f>IFERROR(AVERAGEIFS('Daily Historical Avg Temp'!$G$4:$G$368,'Daily Historical Avg Temp'!$B$4:$B$368,MONTH($B$4),'Daily Historical Avg Temp'!$C$4:$C$368,$B77),NA())</f>
        <v>78.849999999999994</v>
      </c>
      <c r="J77" s="638">
        <v>79</v>
      </c>
      <c r="K77" s="639">
        <v>80</v>
      </c>
      <c r="L77" s="642">
        <f>IFERROR(AVERAGEIFS('Daily Historical Avg Temp'!$D$4:$D$368,'Daily Historical Avg Temp'!$B$4:$B$368,MONTH($B$4),'Daily Historical Avg Temp'!$C$4:$C$368,$B77),NA())</f>
        <v>85.6</v>
      </c>
      <c r="M77" s="642">
        <f>IFERROR(AVERAGEIFS('Daily Historical Avg Temp'!$E$4:$E$368,'Daily Historical Avg Temp'!$B$4:$B$368,MONTH($B$4),'Daily Historical Avg Temp'!$C$4:$C$368,$B77),NA())</f>
        <v>88.1</v>
      </c>
      <c r="N77" s="638">
        <v>62</v>
      </c>
      <c r="O77" s="639">
        <v>67</v>
      </c>
      <c r="P77" s="642">
        <f>IFERROR(AVERAGEIFS('Daily Historical Avg Temp'!$H$4:$H$368,'Daily Historical Avg Temp'!$B$4:$B$368,MONTH($B$4),'Daily Historical Avg Temp'!$C$4:$C$368,$B77),NA())</f>
        <v>67.3</v>
      </c>
      <c r="Q77" s="639">
        <f>IFERROR(AVERAGEIFS('Daily Historical Avg Temp'!$I$4:$I$368,'Daily Historical Avg Temp'!$B$4:$B$368,MONTH($B$4),'Daily Historical Avg Temp'!$C$4:$C$368,$B77),NA())</f>
        <v>69.7</v>
      </c>
    </row>
    <row r="78" spans="2:17">
      <c r="B78" s="601">
        <f t="shared" si="14"/>
        <v>25</v>
      </c>
      <c r="C78" s="630"/>
      <c r="D78" s="630">
        <f>IF($B78&lt;='Input Data'!$A$1,'Input Data'!AG28,NA())</f>
        <v>99177.0009765625</v>
      </c>
      <c r="E78" s="631">
        <f>IF('Monthly Budget Data'!G29=0,NA(),'Monthly Budget Data'!G29)</f>
        <v>118607.34797112948</v>
      </c>
      <c r="F78" s="638">
        <f>IF('Input Data'!CI28="",NA(),'Input Data'!CI28)</f>
        <v>69.916666666666671</v>
      </c>
      <c r="G78" s="639">
        <f>IF('Input Data'!CJ28="",NA(),'Input Data'!CJ28)</f>
        <v>72.354166666666671</v>
      </c>
      <c r="H78" s="642">
        <f>IFERROR(AVERAGEIFS('Daily Historical Avg Temp'!$F$4:$F$368,'Daily Historical Avg Temp'!$B$4:$B$368,MONTH($B$4),'Daily Historical Avg Temp'!$C$4:$C$368,$B78),NA())</f>
        <v>77.5</v>
      </c>
      <c r="I78" s="642">
        <f>IFERROR(AVERAGEIFS('Daily Historical Avg Temp'!$G$4:$G$368,'Daily Historical Avg Temp'!$B$4:$B$368,MONTH($B$4),'Daily Historical Avg Temp'!$C$4:$C$368,$B78),NA())</f>
        <v>79.400000000000006</v>
      </c>
      <c r="J78" s="638">
        <v>83</v>
      </c>
      <c r="K78" s="639">
        <v>85</v>
      </c>
      <c r="L78" s="642">
        <f>IFERROR(AVERAGEIFS('Daily Historical Avg Temp'!$D$4:$D$368,'Daily Historical Avg Temp'!$B$4:$B$368,MONTH($B$4),'Daily Historical Avg Temp'!$C$4:$C$368,$B78),NA())</f>
        <v>87.1</v>
      </c>
      <c r="M78" s="642">
        <f>IFERROR(AVERAGEIFS('Daily Historical Avg Temp'!$E$4:$E$368,'Daily Historical Avg Temp'!$B$4:$B$368,MONTH($B$4),'Daily Historical Avg Temp'!$C$4:$C$368,$B78),NA())</f>
        <v>88.15</v>
      </c>
      <c r="N78" s="638">
        <v>55</v>
      </c>
      <c r="O78" s="639">
        <v>57</v>
      </c>
      <c r="P78" s="642">
        <f>IFERROR(AVERAGEIFS('Daily Historical Avg Temp'!$H$4:$H$368,'Daily Historical Avg Temp'!$B$4:$B$368,MONTH($B$4),'Daily Historical Avg Temp'!$C$4:$C$368,$B78),NA())</f>
        <v>68</v>
      </c>
      <c r="Q78" s="639">
        <f>IFERROR(AVERAGEIFS('Daily Historical Avg Temp'!$I$4:$I$368,'Daily Historical Avg Temp'!$B$4:$B$368,MONTH($B$4),'Daily Historical Avg Temp'!$C$4:$C$368,$B78),NA())</f>
        <v>70.55</v>
      </c>
    </row>
    <row r="79" spans="2:17">
      <c r="B79" s="601">
        <f t="shared" si="14"/>
        <v>26</v>
      </c>
      <c r="C79" s="630"/>
      <c r="D79" s="630">
        <f>IF($B79&lt;='Input Data'!$A$1,'Input Data'!AG29,NA())</f>
        <v>99668.9384765625</v>
      </c>
      <c r="E79" s="631">
        <f>IF('Monthly Budget Data'!G30=0,NA(),'Monthly Budget Data'!G30)</f>
        <v>110597.0634477601</v>
      </c>
      <c r="F79" s="638">
        <f>IF('Input Data'!CI29="",NA(),'Input Data'!CI29)</f>
        <v>75</v>
      </c>
      <c r="G79" s="639">
        <f>IF('Input Data'!CJ29="",NA(),'Input Data'!CJ29)</f>
        <v>80</v>
      </c>
      <c r="H79" s="642">
        <f>IFERROR(AVERAGEIFS('Daily Historical Avg Temp'!$F$4:$F$368,'Daily Historical Avg Temp'!$B$4:$B$368,MONTH($B$4),'Daily Historical Avg Temp'!$C$4:$C$368,$B79),NA())</f>
        <v>77</v>
      </c>
      <c r="I79" s="642">
        <f>IFERROR(AVERAGEIFS('Daily Historical Avg Temp'!$G$4:$G$368,'Daily Historical Avg Temp'!$B$4:$B$368,MONTH($B$4),'Daily Historical Avg Temp'!$C$4:$C$368,$B79),NA())</f>
        <v>78.599999999999994</v>
      </c>
      <c r="J79" s="638">
        <v>87</v>
      </c>
      <c r="K79" s="639">
        <v>93</v>
      </c>
      <c r="L79" s="642">
        <f>IFERROR(AVERAGEIFS('Daily Historical Avg Temp'!$D$4:$D$368,'Daily Historical Avg Temp'!$B$4:$B$368,MONTH($B$4),'Daily Historical Avg Temp'!$C$4:$C$368,$B79),NA())</f>
        <v>86</v>
      </c>
      <c r="M79" s="642">
        <f>IFERROR(AVERAGEIFS('Daily Historical Avg Temp'!$E$4:$E$368,'Daily Historical Avg Temp'!$B$4:$B$368,MONTH($B$4),'Daily Historical Avg Temp'!$C$4:$C$368,$B79),NA())</f>
        <v>87.45</v>
      </c>
      <c r="N79" s="638">
        <v>63</v>
      </c>
      <c r="O79" s="639">
        <v>67</v>
      </c>
      <c r="P79" s="642">
        <f>IFERROR(AVERAGEIFS('Daily Historical Avg Temp'!$H$4:$H$368,'Daily Historical Avg Temp'!$B$4:$B$368,MONTH($B$4),'Daily Historical Avg Temp'!$C$4:$C$368,$B79),NA())</f>
        <v>68.150000000000006</v>
      </c>
      <c r="Q79" s="639">
        <f>IFERROR(AVERAGEIFS('Daily Historical Avg Temp'!$I$4:$I$368,'Daily Historical Avg Temp'!$B$4:$B$368,MONTH($B$4),'Daily Historical Avg Temp'!$C$4:$C$368,$B79),NA())</f>
        <v>69.8</v>
      </c>
    </row>
    <row r="80" spans="2:17">
      <c r="B80" s="601">
        <f t="shared" si="14"/>
        <v>27</v>
      </c>
      <c r="C80" s="630"/>
      <c r="D80" s="630">
        <f>IF($B80&lt;='Input Data'!$A$1,'Input Data'!AG30,NA())</f>
        <v>94515.02587890625</v>
      </c>
      <c r="E80" s="631">
        <f>IF('Monthly Budget Data'!G31=0,NA(),'Monthly Budget Data'!G31)</f>
        <v>108001.19387924118</v>
      </c>
      <c r="F80" s="638">
        <f>IF('Input Data'!CI30="",NA(),'Input Data'!CI30)</f>
        <v>74.838657407407396</v>
      </c>
      <c r="G80" s="639">
        <f>IF('Input Data'!CJ30="",NA(),'Input Data'!CJ30)</f>
        <v>77.004999999999995</v>
      </c>
      <c r="H80" s="642">
        <f>IFERROR(AVERAGEIFS('Daily Historical Avg Temp'!$F$4:$F$368,'Daily Historical Avg Temp'!$B$4:$B$368,MONTH($B$4),'Daily Historical Avg Temp'!$C$4:$C$368,$B80),NA())</f>
        <v>76.650000000000006</v>
      </c>
      <c r="I80" s="642">
        <f>IFERROR(AVERAGEIFS('Daily Historical Avg Temp'!$G$4:$G$368,'Daily Historical Avg Temp'!$B$4:$B$368,MONTH($B$4),'Daily Historical Avg Temp'!$C$4:$C$368,$B80),NA())</f>
        <v>78.849999999999994</v>
      </c>
      <c r="J80" s="638">
        <v>87</v>
      </c>
      <c r="K80" s="639">
        <v>91</v>
      </c>
      <c r="L80" s="642">
        <f>IFERROR(AVERAGEIFS('Daily Historical Avg Temp'!$D$4:$D$368,'Daily Historical Avg Temp'!$B$4:$B$368,MONTH($B$4),'Daily Historical Avg Temp'!$C$4:$C$368,$B80),NA())</f>
        <v>85.65</v>
      </c>
      <c r="M80" s="642">
        <f>IFERROR(AVERAGEIFS('Daily Historical Avg Temp'!$E$4:$E$368,'Daily Historical Avg Temp'!$B$4:$B$368,MONTH($B$4),'Daily Historical Avg Temp'!$C$4:$C$368,$B80),NA())</f>
        <v>87.4</v>
      </c>
      <c r="N80" s="638">
        <v>68</v>
      </c>
      <c r="O80" s="639">
        <v>69</v>
      </c>
      <c r="P80" s="642">
        <f>IFERROR(AVERAGEIFS('Daily Historical Avg Temp'!$H$4:$H$368,'Daily Historical Avg Temp'!$B$4:$B$368,MONTH($B$4),'Daily Historical Avg Temp'!$C$4:$C$368,$B80),NA())</f>
        <v>67.5</v>
      </c>
      <c r="Q80" s="639">
        <f>IFERROR(AVERAGEIFS('Daily Historical Avg Temp'!$I$4:$I$368,'Daily Historical Avg Temp'!$B$4:$B$368,MONTH($B$4),'Daily Historical Avg Temp'!$C$4:$C$368,$B80),NA())</f>
        <v>70.55</v>
      </c>
    </row>
    <row r="81" spans="2:17">
      <c r="B81" s="601">
        <f t="shared" si="14"/>
        <v>28</v>
      </c>
      <c r="C81" s="630"/>
      <c r="D81" s="630">
        <f>IF($B81&lt;='Input Data'!$A$1,'Input Data'!AG31,NA())</f>
        <v>94329.477294921875</v>
      </c>
      <c r="E81" s="631">
        <f>IF('Monthly Budget Data'!G32=0,NA(),'Monthly Budget Data'!G32)</f>
        <v>119483.95573796812</v>
      </c>
      <c r="F81" s="638">
        <f>IF('Input Data'!CI31="",NA(),'Input Data'!CI31)</f>
        <v>68.468055555555551</v>
      </c>
      <c r="G81" s="639">
        <f>IF('Input Data'!CJ31="",NA(),'Input Data'!CJ31)</f>
        <v>71.295833333333334</v>
      </c>
      <c r="H81" s="642">
        <f>IFERROR(AVERAGEIFS('Daily Historical Avg Temp'!$F$4:$F$368,'Daily Historical Avg Temp'!$B$4:$B$368,MONTH($B$4),'Daily Historical Avg Temp'!$C$4:$C$368,$B81),NA())</f>
        <v>76.3</v>
      </c>
      <c r="I81" s="642">
        <f>IFERROR(AVERAGEIFS('Daily Historical Avg Temp'!$G$4:$G$368,'Daily Historical Avg Temp'!$B$4:$B$368,MONTH($B$4),'Daily Historical Avg Temp'!$C$4:$C$368,$B81),NA())</f>
        <v>78.05</v>
      </c>
      <c r="J81" s="638">
        <v>75</v>
      </c>
      <c r="K81" s="639">
        <v>78</v>
      </c>
      <c r="L81" s="642">
        <f>IFERROR(AVERAGEIFS('Daily Historical Avg Temp'!$D$4:$D$368,'Daily Historical Avg Temp'!$B$4:$B$368,MONTH($B$4),'Daily Historical Avg Temp'!$C$4:$C$368,$B81),NA())</f>
        <v>85.2</v>
      </c>
      <c r="M81" s="642">
        <f>IFERROR(AVERAGEIFS('Daily Historical Avg Temp'!$E$4:$E$368,'Daily Historical Avg Temp'!$B$4:$B$368,MONTH($B$4),'Daily Historical Avg Temp'!$C$4:$C$368,$B81),NA())</f>
        <v>86.95</v>
      </c>
      <c r="N81" s="638">
        <v>60</v>
      </c>
      <c r="O81" s="639">
        <v>63</v>
      </c>
      <c r="P81" s="642">
        <f>IFERROR(AVERAGEIFS('Daily Historical Avg Temp'!$H$4:$H$368,'Daily Historical Avg Temp'!$B$4:$B$368,MONTH($B$4),'Daily Historical Avg Temp'!$C$4:$C$368,$B81),NA())</f>
        <v>67.7</v>
      </c>
      <c r="Q81" s="639">
        <f>IFERROR(AVERAGEIFS('Daily Historical Avg Temp'!$I$4:$I$368,'Daily Historical Avg Temp'!$B$4:$B$368,MONTH($B$4),'Daily Historical Avg Temp'!$C$4:$C$368,$B81),NA())</f>
        <v>69.349999999999994</v>
      </c>
    </row>
    <row r="82" spans="2:17">
      <c r="B82" s="601">
        <f t="shared" si="14"/>
        <v>29</v>
      </c>
      <c r="C82" s="630"/>
      <c r="D82" s="630">
        <f>IF($B82&lt;='Input Data'!$A$1,'Input Data'!AG32,NA())</f>
        <v>88847.529418945313</v>
      </c>
      <c r="E82" s="631">
        <f>IF('Monthly Budget Data'!G33=0,NA(),'Monthly Budget Data'!G33)</f>
        <v>121402.20204923207</v>
      </c>
      <c r="F82" s="638">
        <f>IF('Input Data'!CI32="",NA(),'Input Data'!CI32)</f>
        <v>63.337499999999999</v>
      </c>
      <c r="G82" s="639">
        <f>IF('Input Data'!CJ32="",NA(),'Input Data'!CJ32)</f>
        <v>66.808333333333337</v>
      </c>
      <c r="H82" s="642">
        <f>IFERROR(AVERAGEIFS('Daily Historical Avg Temp'!$F$4:$F$368,'Daily Historical Avg Temp'!$B$4:$B$368,MONTH($B$4),'Daily Historical Avg Temp'!$C$4:$C$368,$B82),NA())</f>
        <v>76.599999999999994</v>
      </c>
      <c r="I82" s="642">
        <f>IFERROR(AVERAGEIFS('Daily Historical Avg Temp'!$G$4:$G$368,'Daily Historical Avg Temp'!$B$4:$B$368,MONTH($B$4),'Daily Historical Avg Temp'!$C$4:$C$368,$B82),NA())</f>
        <v>78.849999999999994</v>
      </c>
      <c r="J82" s="638">
        <v>75</v>
      </c>
      <c r="K82" s="639">
        <v>78</v>
      </c>
      <c r="L82" s="642">
        <f>IFERROR(AVERAGEIFS('Daily Historical Avg Temp'!$D$4:$D$368,'Daily Historical Avg Temp'!$B$4:$B$368,MONTH($B$4),'Daily Historical Avg Temp'!$C$4:$C$368,$B82),NA())</f>
        <v>85.55</v>
      </c>
      <c r="M82" s="642">
        <f>IFERROR(AVERAGEIFS('Daily Historical Avg Temp'!$E$4:$E$368,'Daily Historical Avg Temp'!$B$4:$B$368,MONTH($B$4),'Daily Historical Avg Temp'!$C$4:$C$368,$B82),NA())</f>
        <v>88.1</v>
      </c>
      <c r="N82" s="638">
        <v>51</v>
      </c>
      <c r="O82" s="639">
        <v>53</v>
      </c>
      <c r="P82" s="642">
        <f>IFERROR(AVERAGEIFS('Daily Historical Avg Temp'!$H$4:$H$368,'Daily Historical Avg Temp'!$B$4:$B$368,MONTH($B$4),'Daily Historical Avg Temp'!$C$4:$C$368,$B82),NA())</f>
        <v>67.8</v>
      </c>
      <c r="Q82" s="639">
        <f>IFERROR(AVERAGEIFS('Daily Historical Avg Temp'!$I$4:$I$368,'Daily Historical Avg Temp'!$B$4:$B$368,MONTH($B$4),'Daily Historical Avg Temp'!$C$4:$C$368,$B82),NA())</f>
        <v>69.900000000000006</v>
      </c>
    </row>
    <row r="83" spans="2:17">
      <c r="B83" s="601">
        <f t="shared" si="14"/>
        <v>30</v>
      </c>
      <c r="C83" s="630"/>
      <c r="D83" s="630" t="e">
        <f>IF($B83&lt;='Input Data'!$A$1,'Input Data'!AG33,NA())</f>
        <v>#N/A</v>
      </c>
      <c r="E83" s="631">
        <f>IF('Monthly Budget Data'!G34=0,NA(),'Monthly Budget Data'!G34)</f>
        <v>121435.89993477584</v>
      </c>
      <c r="F83" s="638" t="e">
        <f>IF('Input Data'!CI33="",NA(),'Input Data'!CI33)</f>
        <v>#N/A</v>
      </c>
      <c r="G83" s="639" t="e">
        <f>IF('Input Data'!CJ33="",NA(),'Input Data'!CJ33)</f>
        <v>#N/A</v>
      </c>
      <c r="H83" s="642">
        <f>IFERROR(AVERAGEIFS('Daily Historical Avg Temp'!$F$4:$F$368,'Daily Historical Avg Temp'!$B$4:$B$368,MONTH($B$4),'Daily Historical Avg Temp'!$C$4:$C$368,$B83),NA())</f>
        <v>76.3</v>
      </c>
      <c r="I83" s="642">
        <f>IFERROR(AVERAGEIFS('Daily Historical Avg Temp'!$G$4:$G$368,'Daily Historical Avg Temp'!$B$4:$B$368,MONTH($B$4),'Daily Historical Avg Temp'!$C$4:$C$368,$B83),NA())</f>
        <v>78.099999999999994</v>
      </c>
      <c r="J83" s="638" t="e">
        <v>#N/A</v>
      </c>
      <c r="K83" s="639" t="e">
        <v>#N/A</v>
      </c>
      <c r="L83" s="642">
        <f>IFERROR(AVERAGEIFS('Daily Historical Avg Temp'!$D$4:$D$368,'Daily Historical Avg Temp'!$B$4:$B$368,MONTH($B$4),'Daily Historical Avg Temp'!$C$4:$C$368,$B83),NA())</f>
        <v>86.05</v>
      </c>
      <c r="M83" s="642">
        <f>IFERROR(AVERAGEIFS('Daily Historical Avg Temp'!$E$4:$E$368,'Daily Historical Avg Temp'!$B$4:$B$368,MONTH($B$4),'Daily Historical Avg Temp'!$C$4:$C$368,$B83),NA())</f>
        <v>87.2</v>
      </c>
      <c r="N83" s="638" t="e">
        <v>#N/A</v>
      </c>
      <c r="O83" s="639" t="e">
        <v>#N/A</v>
      </c>
      <c r="P83" s="642">
        <f>IFERROR(AVERAGEIFS('Daily Historical Avg Temp'!$H$4:$H$368,'Daily Historical Avg Temp'!$B$4:$B$368,MONTH($B$4),'Daily Historical Avg Temp'!$C$4:$C$368,$B83),NA())</f>
        <v>66.599999999999994</v>
      </c>
      <c r="Q83" s="639">
        <f>IFERROR(AVERAGEIFS('Daily Historical Avg Temp'!$I$4:$I$368,'Daily Historical Avg Temp'!$B$4:$B$368,MONTH($B$4),'Daily Historical Avg Temp'!$C$4:$C$368,$B83),NA())</f>
        <v>69.05</v>
      </c>
    </row>
    <row r="84" spans="2:17" ht="13.5" thickBot="1">
      <c r="B84" s="601">
        <f t="shared" si="14"/>
        <v>31</v>
      </c>
      <c r="C84" s="630"/>
      <c r="D84" s="630" t="e">
        <f>IF($B84&lt;='Input Data'!$A$1,'Input Data'!AG34,NA())</f>
        <v>#N/A</v>
      </c>
      <c r="E84" s="631">
        <f>IF('Monthly Budget Data'!G35=0,NA(),'Monthly Budget Data'!G35)</f>
        <v>121319.69592839756</v>
      </c>
      <c r="F84" s="640" t="e">
        <f>IF('Input Data'!CI34="",NA(),'Input Data'!CI34)</f>
        <v>#N/A</v>
      </c>
      <c r="G84" s="641" t="e">
        <f>IF('Input Data'!CJ34="",NA(),'Input Data'!CJ34)</f>
        <v>#N/A</v>
      </c>
      <c r="H84" s="643">
        <f>IFERROR(AVERAGEIFS('Daily Historical Avg Temp'!$F$4:$F$368,'Daily Historical Avg Temp'!$B$4:$B$368,MONTH($B$4),'Daily Historical Avg Temp'!$C$4:$C$368,$B84),NA())</f>
        <v>76.650000000000006</v>
      </c>
      <c r="I84" s="643">
        <f>IFERROR(AVERAGEIFS('Daily Historical Avg Temp'!$G$4:$G$368,'Daily Historical Avg Temp'!$B$4:$B$368,MONTH($B$4),'Daily Historical Avg Temp'!$C$4:$C$368,$B84),NA())</f>
        <v>78.3</v>
      </c>
      <c r="J84" s="640" t="e">
        <v>#N/A</v>
      </c>
      <c r="K84" s="641" t="e">
        <v>#N/A</v>
      </c>
      <c r="L84" s="643">
        <f>IFERROR(AVERAGEIFS('Daily Historical Avg Temp'!$D$4:$D$368,'Daily Historical Avg Temp'!$B$4:$B$368,MONTH($B$4),'Daily Historical Avg Temp'!$C$4:$C$368,$B84),NA())</f>
        <v>86.4</v>
      </c>
      <c r="M84" s="643">
        <f>IFERROR(AVERAGEIFS('Daily Historical Avg Temp'!$E$4:$E$368,'Daily Historical Avg Temp'!$B$4:$B$368,MONTH($B$4),'Daily Historical Avg Temp'!$C$4:$C$368,$B84),NA())</f>
        <v>88.2</v>
      </c>
      <c r="N84" s="640" t="e">
        <v>#N/A</v>
      </c>
      <c r="O84" s="641" t="e">
        <v>#N/A</v>
      </c>
      <c r="P84" s="643">
        <f>IFERROR(AVERAGEIFS('Daily Historical Avg Temp'!$H$4:$H$368,'Daily Historical Avg Temp'!$B$4:$B$368,MONTH($B$4),'Daily Historical Avg Temp'!$C$4:$C$368,$B84),NA())</f>
        <v>66.7</v>
      </c>
      <c r="Q84" s="641">
        <f>IFERROR(AVERAGEIFS('Daily Historical Avg Temp'!$I$4:$I$368,'Daily Historical Avg Temp'!$B$4:$B$368,MONTH($B$4),'Daily Historical Avg Temp'!$C$4:$C$368,$B84),NA())</f>
        <v>68.349999999999994</v>
      </c>
    </row>
    <row r="85" spans="2:17">
      <c r="H85" s="630"/>
      <c r="I85" s="630"/>
    </row>
    <row r="87" spans="2:17">
      <c r="B87" s="601">
        <f>YEAR('Input Data'!A4)</f>
        <v>2014</v>
      </c>
    </row>
    <row r="88" spans="2:17" ht="25.5">
      <c r="B88" s="601" t="s">
        <v>388</v>
      </c>
      <c r="D88" s="647" t="s">
        <v>50</v>
      </c>
      <c r="E88" s="647" t="s">
        <v>67</v>
      </c>
      <c r="F88" s="647" t="s">
        <v>397</v>
      </c>
      <c r="G88" s="647" t="s">
        <v>396</v>
      </c>
    </row>
    <row r="89" spans="2:17">
      <c r="B89" s="601">
        <v>1</v>
      </c>
      <c r="D89" s="659">
        <f>IF('Year to Date'!L27&gt;0,'Year to Date'!L27/1000000,NA())</f>
        <v>3.6316752310791016</v>
      </c>
      <c r="E89" s="659">
        <v>3.2040540259429999</v>
      </c>
      <c r="F89" s="659" t="e">
        <f>IF(MONTH($B$4)=$B89,'OSS Summary'!$F$34/1000000,NA())</f>
        <v>#N/A</v>
      </c>
      <c r="G89" s="659" t="e">
        <f>IF(MONTH($B$4)=$B89,'OSS Summary'!$G$34/1000000,NA())</f>
        <v>#N/A</v>
      </c>
    </row>
    <row r="90" spans="2:17">
      <c r="B90" s="601">
        <v>2</v>
      </c>
      <c r="D90" s="659">
        <f>IF('Year to Date'!L28&gt;0,'Year to Date'!L28/1000000,NA())</f>
        <v>3.0236581121826172</v>
      </c>
      <c r="E90" s="659">
        <v>2.8593655968515184</v>
      </c>
      <c r="F90" s="659" t="e">
        <f>IF(MONTH($B$4)=$B90,'OSS Summary'!$F$34/1000000,NA())</f>
        <v>#N/A</v>
      </c>
      <c r="G90" s="659" t="e">
        <f>IF(MONTH($B$4)=$B90,'OSS Summary'!$G$34/1000000,NA())</f>
        <v>#N/A</v>
      </c>
    </row>
    <row r="91" spans="2:17">
      <c r="B91" s="601">
        <v>3</v>
      </c>
      <c r="D91" s="659">
        <f>IF('Year to Date'!L29&gt;0,'Year to Date'!L29/1000000,NA())</f>
        <v>2.9356230000000001</v>
      </c>
      <c r="E91" s="659">
        <v>2.8114698371906104</v>
      </c>
      <c r="F91" s="659" t="e">
        <f>IF(MONTH($B$4)=$B91,'OSS Summary'!$F$34/1000000,NA())</f>
        <v>#N/A</v>
      </c>
      <c r="G91" s="659" t="e">
        <f>IF(MONTH($B$4)=$B91,'OSS Summary'!$G$34/1000000,NA())</f>
        <v>#N/A</v>
      </c>
    </row>
    <row r="92" spans="2:17">
      <c r="B92" s="601">
        <v>4</v>
      </c>
      <c r="D92" s="659">
        <f>IF('Year to Date'!L30&gt;0,'Year to Date'!L30/1000000,NA())</f>
        <v>2.4681143041381834</v>
      </c>
      <c r="E92" s="659">
        <v>2.5172543277377075</v>
      </c>
      <c r="F92" s="659" t="e">
        <f>IF(MONTH($B$4)=$B92,'OSS Summary'!$F$34/1000000,NA())</f>
        <v>#N/A</v>
      </c>
      <c r="G92" s="659" t="e">
        <f>IF(MONTH($B$4)=$B92,'OSS Summary'!$G$34/1000000,NA())</f>
        <v>#N/A</v>
      </c>
    </row>
    <row r="93" spans="2:17">
      <c r="B93" s="601">
        <v>5</v>
      </c>
      <c r="D93" s="659">
        <f>IF('Year to Date'!L31&gt;0,'Year to Date'!L31/1000000,NA())</f>
        <v>2.7832269130859375</v>
      </c>
      <c r="E93" s="659">
        <v>2.7018435086360864</v>
      </c>
      <c r="F93" s="659" t="e">
        <f>IF(MONTH($B$4)=$B93,'OSS Summary'!$F$34/1000000,NA())</f>
        <v>#N/A</v>
      </c>
      <c r="G93" s="659" t="e">
        <f>IF(MONTH($B$4)=$B93,'OSS Summary'!$G$34/1000000,NA())</f>
        <v>#N/A</v>
      </c>
    </row>
    <row r="94" spans="2:17">
      <c r="B94" s="601">
        <v>6</v>
      </c>
      <c r="D94" s="659">
        <f>IF('Year to Date'!L32&gt;0,'Year to Date'!L32/1000000,NA())</f>
        <v>3.108632946533203</v>
      </c>
      <c r="E94" s="659">
        <v>3.1536199342092037</v>
      </c>
      <c r="F94" s="659" t="e">
        <f>IF(MONTH($B$4)=$B94,'OSS Summary'!$F$34/1000000,NA())</f>
        <v>#N/A</v>
      </c>
      <c r="G94" s="659" t="e">
        <f>IF(MONTH($B$4)=$B94,'OSS Summary'!$G$34/1000000,NA())</f>
        <v>#N/A</v>
      </c>
    </row>
    <row r="95" spans="2:17">
      <c r="B95" s="601">
        <v>7</v>
      </c>
      <c r="D95" s="659" t="e">
        <f>IF('Year to Date'!L33&gt;0,'Year to Date'!L33/1000000,NA())</f>
        <v>#N/A</v>
      </c>
      <c r="E95" s="659">
        <v>3.5428093258800963</v>
      </c>
      <c r="F95" s="659">
        <f>IF(MONTH($B$4)=$B95,'OSS Summary'!$F$34/1000000,NA())</f>
        <v>2.9241707372436525</v>
      </c>
      <c r="G95" s="659">
        <f>IF(MONTH($B$4)=$B95,'OSS Summary'!$G$34/1000000,NA())</f>
        <v>3.3000537300169226</v>
      </c>
    </row>
    <row r="96" spans="2:17">
      <c r="B96" s="601">
        <v>8</v>
      </c>
      <c r="D96" s="659" t="e">
        <f>IF('Year to Date'!L34&gt;0,'Year to Date'!L34/1000000,NA())</f>
        <v>#N/A</v>
      </c>
      <c r="E96" s="659">
        <v>3.5690942982098637</v>
      </c>
      <c r="F96" s="659" t="e">
        <f>IF(MONTH($B$4)=$B96,'OSS Summary'!$F$34/1000000,NA())</f>
        <v>#N/A</v>
      </c>
      <c r="G96" s="659" t="e">
        <f>IF(MONTH($B$4)=$B96,'OSS Summary'!$G$34/1000000,NA())</f>
        <v>#N/A</v>
      </c>
    </row>
    <row r="97" spans="2:7">
      <c r="B97" s="601">
        <v>9</v>
      </c>
      <c r="D97" s="659" t="e">
        <f>IF('Year to Date'!L35&gt;0,'Year to Date'!L35/1000000,NA())</f>
        <v>#N/A</v>
      </c>
      <c r="E97" s="659">
        <v>2.9072251343285096</v>
      </c>
      <c r="F97" s="659" t="e">
        <f>IF(MONTH($B$4)=$B97,'OSS Summary'!$F$34/1000000,NA())</f>
        <v>#N/A</v>
      </c>
      <c r="G97" s="659" t="e">
        <f>IF(MONTH($B$4)=$B97,'OSS Summary'!$G$34/1000000,NA())</f>
        <v>#N/A</v>
      </c>
    </row>
    <row r="98" spans="2:7">
      <c r="B98" s="601">
        <v>10</v>
      </c>
      <c r="D98" s="659" t="e">
        <f>IF('Year to Date'!L36&gt;0,'Year to Date'!L36/1000000,NA())</f>
        <v>#N/A</v>
      </c>
      <c r="E98" s="659">
        <v>2.6590848179377424</v>
      </c>
      <c r="F98" s="659" t="e">
        <f>IF(MONTH($B$4)=$B98,'OSS Summary'!$F$34/1000000,NA())</f>
        <v>#N/A</v>
      </c>
      <c r="G98" s="659" t="e">
        <f>IF(MONTH($B$4)=$B98,'OSS Summary'!$G$34/1000000,NA())</f>
        <v>#N/A</v>
      </c>
    </row>
    <row r="99" spans="2:7">
      <c r="B99" s="601">
        <v>11</v>
      </c>
      <c r="D99" s="659" t="e">
        <f>IF('Year to Date'!L37&gt;0,'Year to Date'!L37/1000000,NA())</f>
        <v>#N/A</v>
      </c>
      <c r="E99" s="659">
        <v>2.692662044855386</v>
      </c>
      <c r="F99" s="659" t="e">
        <f>IF(MONTH($B$4)=$B99,'OSS Summary'!$F$34/1000000,NA())</f>
        <v>#N/A</v>
      </c>
      <c r="G99" s="659" t="e">
        <f>IF(MONTH($B$4)=$B99,'OSS Summary'!$G$34/1000000,NA())</f>
        <v>#N/A</v>
      </c>
    </row>
    <row r="100" spans="2:7">
      <c r="B100" s="601">
        <v>12</v>
      </c>
      <c r="D100" s="659" t="e">
        <f>IF('Year to Date'!L38&gt;0,'Year to Date'!L38/1000000,NA())</f>
        <v>#N/A</v>
      </c>
      <c r="E100" s="659">
        <v>3.0977893819807409</v>
      </c>
      <c r="F100" s="659" t="e">
        <f>IF(MONTH($B$4)=$B100,'OSS Summary'!$F$34/1000000,NA())</f>
        <v>#N/A</v>
      </c>
      <c r="G100" s="659" t="e">
        <f>IF(MONTH($B$4)=$B100,'OSS Summary'!$G$34/1000000,NA())</f>
        <v>#N/A</v>
      </c>
    </row>
  </sheetData>
  <mergeCells count="10">
    <mergeCell ref="C2:Z2"/>
    <mergeCell ref="AC2:AZ2"/>
    <mergeCell ref="BC2:BZ2"/>
    <mergeCell ref="CC2:CZ2"/>
    <mergeCell ref="P52:Q52"/>
    <mergeCell ref="F52:G52"/>
    <mergeCell ref="H52:I52"/>
    <mergeCell ref="J52:K52"/>
    <mergeCell ref="L52:M52"/>
    <mergeCell ref="N52:O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Year to Date</vt:lpstr>
      <vt:lpstr>2014 Budget</vt:lpstr>
      <vt:lpstr>Daily Budget Data</vt:lpstr>
      <vt:lpstr>Monthly Budget Data</vt:lpstr>
      <vt:lpstr>OSS Summary</vt:lpstr>
      <vt:lpstr>Sales Analysis</vt:lpstr>
      <vt:lpstr>Input Data</vt:lpstr>
      <vt:lpstr>Load Temp Charts</vt:lpstr>
      <vt:lpstr>Chart Data</vt:lpstr>
      <vt:lpstr>Daily Historical Avg Temp</vt:lpstr>
      <vt:lpstr>MTD Avg Temp Charts</vt:lpstr>
      <vt:lpstr>MTD Min-Max Temp Charts</vt:lpstr>
      <vt:lpstr>'2014 Budget'!Print_Area</vt:lpstr>
      <vt:lpstr>'Input Data'!Print_Area</vt:lpstr>
      <vt:lpstr>'OSS Summary'!Print_Area</vt:lpstr>
      <vt:lpstr>'Sales Analysis'!Print_Area</vt:lpstr>
      <vt:lpstr>'Year to Date'!Print_Area</vt:lpstr>
      <vt:lpstr>'Sales Analysis'!Print_Titles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2015-01-22T13:48:22Z</dcterms:created>
  <dcterms:modified xsi:type="dcterms:W3CDTF">2015-01-22T14:17:30Z</dcterms:modified>
</cp:coreProperties>
</file>