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20" yWindow="-30" windowWidth="17490" windowHeight="11010" tabRatio="822" activeTab="1"/>
  </bookViews>
  <sheets>
    <sheet name="Functional Assignment" sheetId="1" r:id="rId1"/>
    <sheet name="Allocation" sheetId="4" r:id="rId2"/>
    <sheet name="Summary of Returns" sheetId="28" r:id="rId3"/>
    <sheet name="RGS Unit Cost" sheetId="27" r:id="rId4"/>
    <sheet name="CGS Unit Cost" sheetId="29" r:id="rId5"/>
    <sheet name="IGS Unit Cost" sheetId="30" r:id="rId6"/>
    <sheet name="AAGS Unit Cost" sheetId="31" r:id="rId7"/>
    <sheet name="Daily Utilization Charge" sheetId="2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" localSheetId="3">[1]EGSplit!#REF!</definedName>
    <definedName name="\">[1]EGSplit!#REF!</definedName>
    <definedName name="\\" hidden="1">#REF!</definedName>
    <definedName name="\\\" hidden="1">#REF!</definedName>
    <definedName name="\\\\" localSheetId="3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3">[2]dbase!#REF!</definedName>
    <definedName name="\P">[2]dbase!#REF!</definedName>
    <definedName name="\R" localSheetId="3">#REF!</definedName>
    <definedName name="\R">#REF!</definedName>
    <definedName name="\S" localSheetId="3">[2]dbase!#REF!</definedName>
    <definedName name="\S">[2]dbase!#REF!</definedName>
    <definedName name="\T">#REF!</definedName>
    <definedName name="__123Graph_A" hidden="1">#REF!</definedName>
    <definedName name="__123Graph_B" hidden="1">#REF!</definedName>
    <definedName name="__123Graph_C" localSheetId="3" hidden="1">#REF!</definedName>
    <definedName name="__123Graph_C" hidden="1">#REF!</definedName>
    <definedName name="__123Graph_D" hidden="1">#REF!</definedName>
    <definedName name="__123Graph_E" localSheetId="3" hidden="1">#REF!</definedName>
    <definedName name="__123Graph_E" hidden="1">#REF!</definedName>
    <definedName name="__123Graph_F" hidden="1">#REF!</definedName>
    <definedName name="__123Graph_X" hidden="1">#REF!</definedName>
    <definedName name="_1GAS_FINANCING">#REF!</definedName>
    <definedName name="_2NON_UTILITY" localSheetId="3">#REF!</definedName>
    <definedName name="_3NON_UTILITY">#REF!</definedName>
    <definedName name="_xlnm._FilterDatabase" localSheetId="1" hidden="1">Allocation!$D$2:$E$754</definedName>
    <definedName name="_xlnm._FilterDatabase" localSheetId="0" hidden="1">'Functional Assignment'!$C$1:$D$644</definedName>
    <definedName name="_Order1" hidden="1">0</definedName>
    <definedName name="_Order2" hidden="1">0</definedName>
    <definedName name="_P" localSheetId="3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3">#REF!</definedName>
    <definedName name="Adjust2">#REF!</definedName>
    <definedName name="ADJUSTA">#REF!</definedName>
    <definedName name="ADJUSTAA">#REF!</definedName>
    <definedName name="ADJUSTB" localSheetId="3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3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3">'[3]LGE Sales'!#REF!</definedName>
    <definedName name="Annual_Sales_KU">'[3]LGE Sales'!#REF!</definedName>
    <definedName name="assets">#REF!</definedName>
    <definedName name="Billed_Revenues_Dollars">#REF!</definedName>
    <definedName name="Billed_Sales__KWh">#REF!</definedName>
    <definedName name="BudCol01">[4]BudgetDatabase!$J$5:$J$443</definedName>
    <definedName name="BudCol02">[4]BudgetDatabase!$K$5:$K$443</definedName>
    <definedName name="BudCol03">[4]BudgetDatabase!$L$5:$L$443</definedName>
    <definedName name="BudCol04">[4]BudgetDatabase!$M$5:$M$443</definedName>
    <definedName name="BudCol05">[4]BudgetDatabase!$N$5:$N$443</definedName>
    <definedName name="BudCol06">[4]BudgetDatabase!$O$5:$O$443</definedName>
    <definedName name="BudCol07">[4]BudgetDatabase!$P$5:$P$443</definedName>
    <definedName name="BudCol08">[4]BudgetDatabase!$Q$5:$Q$443</definedName>
    <definedName name="BudCol09">[4]BudgetDatabase!$R$5:$R$443</definedName>
    <definedName name="BudCol10">[4]BudgetDatabase!$S$5:$S$443</definedName>
    <definedName name="BudCol11">[4]BudgetDatabase!$T$5:$T$443</definedName>
    <definedName name="BudCol12">[4]BudgetDatabase!$U$5:$U$443</definedName>
    <definedName name="BudCol13">[4]BudgetDatabase!$V$5:$V$443</definedName>
    <definedName name="BudCol14">[4]BudgetDatabase!$W$5:$W$443</definedName>
    <definedName name="BudCol15">[4]BudgetDatabase!$X$5:$X$443</definedName>
    <definedName name="BudCol16">[4]BudgetDatabase!$Y$5:$Y$443</definedName>
    <definedName name="BudCol17">[4]BudgetDatabase!$Z$5:$Z$443</definedName>
    <definedName name="BudCol18">[4]BudgetDatabase!$AA$5:$AA$443</definedName>
    <definedName name="BudCol19">[4]BudgetDatabase!$AB$5:$AB$443</definedName>
    <definedName name="BudCol20">[4]BudgetDatabase!$AC$5:$AC$443</definedName>
    <definedName name="BudCol21">[4]BudgetDatabase!$AD$5:$AD$443</definedName>
    <definedName name="BudCol22">[4]BudgetDatabase!$AE$5:$AE$443</definedName>
    <definedName name="BudCol23">[4]BudgetDatabase!$AF$5:$AF$443</definedName>
    <definedName name="BudCol24">[4]BudgetDatabase!$AG$5:$AG$443</definedName>
    <definedName name="BudCol25">[4]BudgetDatabase!$AH$5:$AH$443</definedName>
    <definedName name="BudColTmp">[4]BudgetDatabase!$AJ$5:$AJ$443</definedName>
    <definedName name="Choices_Wrapper" localSheetId="3">'RGS Unit Cost'!Choices_Wrapper</definedName>
    <definedName name="Choices_Wrapper">'RGS Unit Cost'!Choices_Wrapper</definedName>
    <definedName name="CM">#REF!</definedName>
    <definedName name="Coal_Annual_KU" localSheetId="3">'[3]LGE Coal'!#REF!</definedName>
    <definedName name="Coal_Annual_KU">'[3]LGE Coal'!#REF!</definedName>
    <definedName name="coal_hide_ku_01" localSheetId="3">'[3]LGE Coal'!#REF!</definedName>
    <definedName name="coal_hide_ku_01">'[3]LGE Coal'!#REF!</definedName>
    <definedName name="coal_hide_lge_01" localSheetId="3">'[3]LGE Coal'!#REF!</definedName>
    <definedName name="coal_hide_lge_01">'[3]LGE Coal'!#REF!</definedName>
    <definedName name="coal_ku_01" localSheetId="3">'[3]LGE Coal'!#REF!</definedName>
    <definedName name="coal_ku_01">'[3]LGE Coal'!#REF!</definedName>
    <definedName name="Comp" localSheetId="3">'RGS Unit Cost'!Comp</definedName>
    <definedName name="Comp">'RGS Unit Cost'!Comp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[4]Input!$K$19</definedName>
    <definedName name="CurReptgYr">[4]Input!$K$21</definedName>
    <definedName name="data">#REF!</definedName>
    <definedName name="DateTimeNow">[4]Input!$AE$12</definedName>
    <definedName name="DEBIT">#REF!</definedName>
    <definedName name="Detail">#REF!</definedName>
    <definedName name="ELEC_NET_OP_INC" localSheetId="3">#REF!</definedName>
    <definedName name="ELEC_NET_OP_INC">#REF!</definedName>
    <definedName name="ELIMS">#REF!</definedName>
    <definedName name="EXHIB1A" localSheetId="3">'[5]#REF'!#REF!</definedName>
    <definedName name="EXHIB1A">'[5]#REF'!#REF!</definedName>
    <definedName name="EXHIB1B">#REF!</definedName>
    <definedName name="EXHIB1C" localSheetId="3">#REF!</definedName>
    <definedName name="EXHIB1C">#REF!</definedName>
    <definedName name="EXHIB2B" localSheetId="3">'[6]Ex 2'!#REF!</definedName>
    <definedName name="EXHIB2B">'[6]Ex 2'!#REF!</definedName>
    <definedName name="EXHIB3">#REF!</definedName>
    <definedName name="EXHIB6" localSheetId="3">'[6]not used Ex 4'!#REF!</definedName>
    <definedName name="EXHIB6">'[6]not used Ex 4'!#REF!</definedName>
    <definedName name="Fac_2000" localSheetId="3">'[3]LGE Base Fuel &amp; FAC'!#REF!</definedName>
    <definedName name="Fac_2000">'[3]LGE Base Fuel &amp; FAC'!#REF!</definedName>
    <definedName name="fac_annual_ku" localSheetId="3">'[3]LGE Base Fuel &amp; FAC'!#REF!</definedName>
    <definedName name="fac_annual_ku">'[3]LGE Base Fuel &amp; FAC'!#REF!</definedName>
    <definedName name="fac_hide_ku_01" localSheetId="3">'[3]LGE Base Fuel &amp; FAC'!#REF!</definedName>
    <definedName name="fac_hide_ku_01">'[3]LGE Base Fuel &amp; FAC'!#REF!</definedName>
    <definedName name="fac_hide_lge_01" localSheetId="3">'[3]LGE Base Fuel &amp; FAC'!#REF!</definedName>
    <definedName name="fac_hide_lge_01">'[3]LGE Base Fuel &amp; FAC'!#REF!</definedName>
    <definedName name="fac_ku_01" localSheetId="3">'[3]LGE Base Fuel &amp; FAC'!#REF!</definedName>
    <definedName name="fac_ku_01">'[3]LGE Base Fuel &amp; FAC'!#REF!</definedName>
    <definedName name="FOOTER" localSheetId="3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3">#REF!</definedName>
    <definedName name="gas_data">#REF!</definedName>
    <definedName name="Gas_Monthly_NetRevenue">#REF!</definedName>
    <definedName name="GAS_NET_OP_INC" localSheetId="3">#REF!</definedName>
    <definedName name="GAS_NET_OP_INC">#REF!</definedName>
    <definedName name="Gas_Sales_Revenues">#REF!</definedName>
    <definedName name="Gccccc" hidden="1">#REF!</definedName>
    <definedName name="GenEx_Annual_KU" localSheetId="3">'[3]LGE Cost of Sales'!#REF!</definedName>
    <definedName name="GenEx_Annual_KU">'[3]LGE Cost of Sales'!#REF!</definedName>
    <definedName name="genex_hide_ku_01" localSheetId="3">'[3]LGE Cost of Sales'!#REF!</definedName>
    <definedName name="genex_hide_ku_01">'[3]LGE Cost of Sales'!#REF!</definedName>
    <definedName name="genex_hide_lge_01" localSheetId="3">'[3]LGE Cost of Sales'!#REF!</definedName>
    <definedName name="genex_hide_lge_01">'[3]LGE Cost of Sales'!#REF!</definedName>
    <definedName name="genex_ku_01" localSheetId="3">'[3]LGE Cost of Sales'!#REF!</definedName>
    <definedName name="genex_ku_01">'[3]LGE Cost of Sales'!#REF!</definedName>
    <definedName name="GGFFS" hidden="1">#REF!</definedName>
    <definedName name="Home_KU">#REF!</definedName>
    <definedName name="IGS" hidden="1">#REF!</definedName>
    <definedName name="INPUT1">#REF!</definedName>
    <definedName name="INPUT2">#REF!</definedName>
    <definedName name="INPUTCOL">#REF!</definedName>
    <definedName name="INPUTROW">#REF!</definedName>
    <definedName name="InputSec01">[4]Input!$M$30</definedName>
    <definedName name="InputSec02">[4]Input!$M$40:$M$75</definedName>
    <definedName name="InputSec03">[4]Input!$K$87:$Q$89</definedName>
    <definedName name="InputSec04">[4]Input!$O$100:$Q$100</definedName>
    <definedName name="InputSec05A">[4]Input!$O$110:$Q$110</definedName>
    <definedName name="InputSec05B">[4]Input!$O$116:$Q$122</definedName>
    <definedName name="InputSec06">[4]Input!$M$133:$O$142</definedName>
    <definedName name="InputSec07">[4]Input!$O$151:$O$181</definedName>
    <definedName name="InputSec08A">[4]Input!$O$259:$O$283</definedName>
    <definedName name="InputSec08B">[4]Input!$G$296:$Q$296</definedName>
    <definedName name="InputSec08C">[4]Input!$I$306:$K$306</definedName>
    <definedName name="InputSec09A">[4]Input!$K$316:$Q$318</definedName>
    <definedName name="InputSec09B">[4]Input!$K$328:$M$330</definedName>
    <definedName name="InputSec10A">[4]Input!$K$345:$O$349</definedName>
    <definedName name="InputSec10B">[4]Input!$K$355:$O$355</definedName>
    <definedName name="InputSec10C">[4]Input!$K$362:$O$364</definedName>
    <definedName name="InputSec10D">[4]Input!$K$370:$O$370</definedName>
    <definedName name="InputSec11">[4]Input!$M$383:$O$391</definedName>
    <definedName name="InputSec12A">[4]Input!$M$406:$M$418</definedName>
    <definedName name="InputSec12B">[4]Input!$M$424</definedName>
    <definedName name="InputSec13">[4]Input!$M$433:$O$433</definedName>
    <definedName name="KUELIMBAL" localSheetId="3">#REF!</definedName>
    <definedName name="KUELIMBAL">#REF!</definedName>
    <definedName name="KUELIMCASH" localSheetId="3">#REF!</definedName>
    <definedName name="KUELIMCASH">#REF!</definedName>
    <definedName name="KUPWRGENIS">#REF!</definedName>
    <definedName name="KWHCol01">[4]KWHDistDatabase!$I$5:$I$425</definedName>
    <definedName name="KWHCol02">[4]KWHDistDatabase!$J$5:$J$425</definedName>
    <definedName name="KWHCol03">[4]KWHDistDatabase!$K$5:$K$425</definedName>
    <definedName name="KWHCol04">[4]KWHDistDatabase!$L$5:$L$425</definedName>
    <definedName name="KWHCol05">[4]KWHDistDatabase!$M$5:$M$425</definedName>
    <definedName name="KWHCol06">[4]KWHDistDatabase!$N$5:$N$425</definedName>
    <definedName name="KWHCol07">[4]KWHDistDatabase!$O$5:$O$425</definedName>
    <definedName name="KWHCol08">[4]KWHDistDatabase!$P$5:$P$425</definedName>
    <definedName name="KWHCol09">[4]KWHDistDatabase!$Q$5:$Q$425</definedName>
    <definedName name="KWHCol10">[4]KWHDistDatabase!$R$5:$R$425</definedName>
    <definedName name="KWHCol11">[4]KWHDistDatabase!$S$5:$S$425</definedName>
    <definedName name="KWHCol12">[4]KWHDistDatabase!$T$5:$T$425</definedName>
    <definedName name="KWHCol13">[4]KWHDistDatabase!$U$5:$U$425</definedName>
    <definedName name="KWHCol14">[4]KWHDistDatabase!$V$5:$V$425</definedName>
    <definedName name="KWHCol15">[4]KWHDistDatabase!$W$5:$W$425</definedName>
    <definedName name="KWHCol16">[4]KWHDistDatabase!$X$5:$X$425</definedName>
    <definedName name="KWHCol17">[4]KWHDistDatabase!$Y$5:$Y$425</definedName>
    <definedName name="KWHCol18">[4]KWHDistDatabase!$Z$5:$Z$425</definedName>
    <definedName name="KWHCol19">[4]KWHDistDatabase!$AA$5:$AA$425</definedName>
    <definedName name="KWHCol20">[4]KWHDistDatabase!$AB$5:$AB$425</definedName>
    <definedName name="KWHCol21">[4]KWHDistDatabase!$AC$5:$AC$425</definedName>
    <definedName name="KWHCol22">[4]KWHDistDatabase!$AD$5:$AD$425</definedName>
    <definedName name="KWHCol23">[4]KWHDistDatabase!$AE$5:$AE$425</definedName>
    <definedName name="KWHCol24">[4]KWHDistDatabase!$AF$5:$AF$425</definedName>
    <definedName name="KWHCol25">[4]KWHDistDatabase!$AG$5:$AG$425</definedName>
    <definedName name="KWHColTmp">[4]KWHDistDatabase!$AI$5:$AI$425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 localSheetId="3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 localSheetId="3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3">'[3]LGE Gross Margin-Inc.Stmt'!#REF!</definedName>
    <definedName name="netrev_hide_ku_01">'[3]LGE Gross Margin-Inc.Stmt'!#REF!</definedName>
    <definedName name="netrev_hide_lge_01" localSheetId="3">'[3]LGE Gross Margin-Inc.Stmt'!#REF!</definedName>
    <definedName name="netrev_hide_lge_01">'[3]LGE Gross Margin-Inc.Stmt'!#REF!</definedName>
    <definedName name="netrev_ku_01" localSheetId="3">'[3]LGE Gross Margin-Inc.Stmt'!#REF!</definedName>
    <definedName name="netrev_ku_01">'[3]LGE Gross Margin-Inc.Stmt'!#REF!</definedName>
    <definedName name="NetRevenue_Annual_KU" localSheetId="3">'[3]LGE Gross Margin-Inc.Stmt'!#REF!</definedName>
    <definedName name="NetRevenue_Annual_KU">'[3]LGE Gross Margin-Inc.Stmt'!#REF!</definedName>
    <definedName name="NetRevenues">#REF!</definedName>
    <definedName name="NextReptgMo">[4]Input!$AE$19</definedName>
    <definedName name="NextReptgYr">[4]Input!$AE$21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1">Allocation!$A$1:$M$632</definedName>
    <definedName name="_xlnm.Print_Area" localSheetId="0">'Functional Assignment'!$A$1:$V$644</definedName>
    <definedName name="_xlnm.Print_Area" localSheetId="3">'RGS Unit Cost'!$B$1:$N$44</definedName>
    <definedName name="_xlnm.Print_Titles" localSheetId="1">Allocation!$A:$E,Allocation!$2:$4</definedName>
    <definedName name="_xlnm.Print_Titles" localSheetId="0">'Functional Assignment'!$A:$D,'Functional Assignment'!$1:$3</definedName>
    <definedName name="PRINT1">#REF!</definedName>
    <definedName name="PWRGENBAL">#REF!</definedName>
    <definedName name="PWRGENCASH">#REF!</definedName>
    <definedName name="QtrbyMonth">#REF!</definedName>
    <definedName name="RangeRptgMo">[7]Main!$K$11</definedName>
    <definedName name="RangeRptgYr">[8]Main!$G$5</definedName>
    <definedName name="REPORT">#REF!</definedName>
    <definedName name="require_hide_ku_01" localSheetId="3">'[3]LGE Require &amp; Source'!#REF!</definedName>
    <definedName name="require_hide_ku_01">'[3]LGE Require &amp; Source'!#REF!</definedName>
    <definedName name="require_hide_lge_01" localSheetId="3">'[3]LGE Require &amp; Source'!#REF!</definedName>
    <definedName name="require_hide_lge_01">'[3]LGE Require &amp; Source'!#REF!</definedName>
    <definedName name="require_ku_01" localSheetId="3">'[3]LGE Require &amp; Source'!#REF!</definedName>
    <definedName name="require_ku_01">'[3]LGE Require &amp; Source'!#REF!</definedName>
    <definedName name="Requirements_Annual_KU" localSheetId="3">'[3]LGE Require &amp; Source'!#REF!</definedName>
    <definedName name="Requirements_Annual_KU">'[3]LGE Require &amp; Source'!#REF!</definedName>
    <definedName name="Requirements_Data" localSheetId="3">'[3]LGE Require &amp; Source'!#REF!</definedName>
    <definedName name="Requirements_Data">'[3]LGE Require &amp; Source'!#REF!</definedName>
    <definedName name="Requirements_KU" localSheetId="3">'[3]LGE Require &amp; Source'!#REF!</definedName>
    <definedName name="Requirements_KU">'[3]LGE Require &amp; Source'!#REF!</definedName>
    <definedName name="RevCol01">#REF!</definedName>
    <definedName name="RevCol01A">#REF!</definedName>
    <definedName name="RevCol01B" localSheetId="3">[9]RevDatabase!#REF!</definedName>
    <definedName name="RevCol01B">[9]RevDatabase!#REF!</definedName>
    <definedName name="RevCol02">#REF!</definedName>
    <definedName name="RevCol02A">#REF!</definedName>
    <definedName name="RevCol02B" localSheetId="3">[9]RevDatabase!#REF!</definedName>
    <definedName name="RevCol02B">[9]RevDatabase!#REF!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3">[9]RevDatabase!#REF!</definedName>
    <definedName name="RevColTmp">[9]RevDatabase!#REF!</definedName>
    <definedName name="RevColTmpA" localSheetId="3">[9]RevDatabase!#REF!</definedName>
    <definedName name="RevColTmpA">[9]RevDatabase!#REF!</definedName>
    <definedName name="RevColTmpB" localSheetId="3">[9]RevDatabase!#REF!</definedName>
    <definedName name="RevColTmpB">[9]RevDatabase!#REF!</definedName>
    <definedName name="revenues_hide_ku_01" localSheetId="3">'[3]KU Other Electric Revenues'!#REF!</definedName>
    <definedName name="revenues_hide_ku_01">'[3]KU Other Electric Revenues'!#REF!</definedName>
    <definedName name="revenues_ku_01" localSheetId="3">'[3]KU Other Electric Revenues'!#REF!</definedName>
    <definedName name="revenues_ku_01">'[3]KU Other Electric Revenues'!#REF!</definedName>
    <definedName name="RPTCOL">#REF!</definedName>
    <definedName name="RPTROW">#REF!</definedName>
    <definedName name="Sales" localSheetId="3">'[3]LGE Sales'!#REF!</definedName>
    <definedName name="Sales">'[3]LGE Sales'!#REF!</definedName>
    <definedName name="sales_hide_ku_01" localSheetId="3">'[3]LGE Sales'!#REF!</definedName>
    <definedName name="sales_hide_ku_01">'[3]LGE Sales'!#REF!</definedName>
    <definedName name="sales_ku_01" localSheetId="3">'[3]LGE Sales'!#REF!</definedName>
    <definedName name="sales_ku_01">'[3]LGE Sales'!#REF!</definedName>
    <definedName name="sales_title_ku" localSheetId="3">'[3]LGE Sales'!#REF!</definedName>
    <definedName name="sales_title_ku">'[3]LGE Sales'!#REF!</definedName>
    <definedName name="SCHEDZ">#REF!</definedName>
    <definedName name="shoot" localSheetId="3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 localSheetId="3">#REF!</definedName>
    <definedName name="SUPPORT6">#REF!</definedName>
    <definedName name="TAX_RATE" localSheetId="3">'[5]#REF'!#REF!</definedName>
    <definedName name="TAX_RATE">'[5]#REF'!#REF!</definedName>
    <definedName name="TempReptgMo">[4]Input!$AG$19</definedName>
    <definedName name="TempReptgYr">[4]Input!$AG$21</definedName>
    <definedName name="TenyrNIAC">#REF!</definedName>
    <definedName name="TenyrRev">#REF!</definedName>
    <definedName name="test" localSheetId="3">'RGS Unit Cost'!test</definedName>
    <definedName name="test">'RGS Unit Cost'!test</definedName>
    <definedName name="Title">#REF!</definedName>
    <definedName name="Title_Choice">#REF!</definedName>
    <definedName name="Titles">#REF!</definedName>
    <definedName name="Titles_KU">#REF!</definedName>
    <definedName name="ttt" localSheetId="3">#REF!</definedName>
    <definedName name="ttt">#REF!</definedName>
    <definedName name="UpdateDate">[4]Input!$M$12</definedName>
    <definedName name="UpdateTime">[4]Input!$O$12</definedName>
    <definedName name="Variance">#REF!</definedName>
    <definedName name="VIEW1">#REF!</definedName>
    <definedName name="vol_rev_annual_ku" localSheetId="3">'[3]LGE Retail Margin'!#REF!</definedName>
    <definedName name="vol_rev_annual_ku">'[3]LGE Retail Margin'!#REF!</definedName>
    <definedName name="vol_rev_hide_ku_monthly" localSheetId="3">'[3]LGE Retail Margin'!#REF!</definedName>
    <definedName name="vol_rev_hide_ku_monthly">'[3]LGE Retail Margin'!#REF!</definedName>
    <definedName name="vol_rev_hide_lge_01" localSheetId="3">'[3]LGE Retail Margin'!#REF!</definedName>
    <definedName name="vol_rev_hide_lge_01">'[3]LGE Retail Margin'!#REF!</definedName>
    <definedName name="vol_rev_ku_monthly" localSheetId="3">'[3]LGE Retail Margin'!#REF!</definedName>
    <definedName name="vol_rev_ku_monthly">'[3]LGE Retail Margin'!#REF!</definedName>
    <definedName name="volrev_data" localSheetId="3">'[3]LGE Retail Margin'!#REF!</definedName>
    <definedName name="volrev_data">'[3]LGE Retail Margin'!#REF!</definedName>
    <definedName name="YTD">#REF!</definedName>
  </definedNames>
  <calcPr calcId="124519"/>
</workbook>
</file>

<file path=xl/calcChain.xml><?xml version="1.0" encoding="utf-8"?>
<calcChain xmlns="http://schemas.openxmlformats.org/spreadsheetml/2006/main">
  <c r="F518" i="1"/>
  <c r="F517"/>
  <c r="F510"/>
  <c r="F509"/>
  <c r="F507"/>
  <c r="F505"/>
  <c r="F504"/>
  <c r="F503"/>
  <c r="F502"/>
  <c r="F501"/>
  <c r="F500"/>
  <c r="F496"/>
  <c r="F490"/>
  <c r="F447"/>
  <c r="F564" i="4" l="1"/>
  <c r="F36" i="1" l="1"/>
  <c r="E20" i="26" l="1"/>
  <c r="K41" i="31" l="1"/>
  <c r="J41"/>
  <c r="M41" i="30"/>
  <c r="K41"/>
  <c r="J41"/>
  <c r="I41"/>
  <c r="M41" i="29"/>
  <c r="K41"/>
  <c r="J41"/>
  <c r="I41"/>
  <c r="K476" i="4"/>
  <c r="N476"/>
  <c r="T566" l="1"/>
  <c r="S566"/>
  <c r="R566"/>
  <c r="N566"/>
  <c r="K566"/>
  <c r="F547" i="1"/>
  <c r="F514"/>
  <c r="K596" i="4"/>
  <c r="K597" s="1"/>
  <c r="J596"/>
  <c r="I596"/>
  <c r="H596"/>
  <c r="F596" s="1"/>
  <c r="G596"/>
  <c r="E41" i="27" s="1"/>
  <c r="F41" s="1"/>
  <c r="G41"/>
  <c r="I583" i="4"/>
  <c r="L41" i="30" s="1"/>
  <c r="U561" i="4"/>
  <c r="F515"/>
  <c r="M602"/>
  <c r="M601" s="1"/>
  <c r="L602"/>
  <c r="L601" s="1"/>
  <c r="J602"/>
  <c r="J601" s="1"/>
  <c r="H602"/>
  <c r="H601" s="1"/>
  <c r="I602"/>
  <c r="I601" s="1"/>
  <c r="U628"/>
  <c r="K602"/>
  <c r="K601" s="1"/>
  <c r="G602"/>
  <c r="F594"/>
  <c r="F588"/>
  <c r="F589"/>
  <c r="V189" i="1"/>
  <c r="Q189"/>
  <c r="K189"/>
  <c r="F462"/>
  <c r="F215"/>
  <c r="U189"/>
  <c r="T189"/>
  <c r="F61"/>
  <c r="I8"/>
  <c r="G7"/>
  <c r="G591" i="4"/>
  <c r="H591"/>
  <c r="I591"/>
  <c r="J591"/>
  <c r="K591"/>
  <c r="L591"/>
  <c r="M591"/>
  <c r="G592"/>
  <c r="H592"/>
  <c r="H593" s="1"/>
  <c r="I592"/>
  <c r="I593" s="1"/>
  <c r="J592"/>
  <c r="J593" s="1"/>
  <c r="K592"/>
  <c r="K593" s="1"/>
  <c r="L592"/>
  <c r="L593" s="1"/>
  <c r="M592"/>
  <c r="M593" s="1"/>
  <c r="G597"/>
  <c r="K584"/>
  <c r="K585"/>
  <c r="M584"/>
  <c r="M585"/>
  <c r="I41" i="27"/>
  <c r="H41"/>
  <c r="U629" i="4"/>
  <c r="N625"/>
  <c r="O625"/>
  <c r="P625"/>
  <c r="Q625"/>
  <c r="R625"/>
  <c r="S625"/>
  <c r="T625"/>
  <c r="F544" i="1"/>
  <c r="E2" i="4"/>
  <c r="F2" s="1"/>
  <c r="G2" s="1"/>
  <c r="G476" s="1"/>
  <c r="I13" i="1"/>
  <c r="I626" s="1"/>
  <c r="I16"/>
  <c r="I17"/>
  <c r="I18"/>
  <c r="I19"/>
  <c r="I20"/>
  <c r="I21"/>
  <c r="I22"/>
  <c r="I23"/>
  <c r="I24"/>
  <c r="I25"/>
  <c r="I26"/>
  <c r="I27"/>
  <c r="D28"/>
  <c r="H28" s="1"/>
  <c r="D29"/>
  <c r="I29" s="1"/>
  <c r="I36"/>
  <c r="I55"/>
  <c r="I56"/>
  <c r="I57"/>
  <c r="I103"/>
  <c r="F638"/>
  <c r="I123"/>
  <c r="I316"/>
  <c r="I149"/>
  <c r="I150"/>
  <c r="I151"/>
  <c r="I152"/>
  <c r="I153"/>
  <c r="I154"/>
  <c r="I155"/>
  <c r="I156"/>
  <c r="I157"/>
  <c r="I158"/>
  <c r="I159"/>
  <c r="F636"/>
  <c r="I321"/>
  <c r="I322"/>
  <c r="I323"/>
  <c r="I324"/>
  <c r="I325"/>
  <c r="I326"/>
  <c r="I327"/>
  <c r="I328"/>
  <c r="I329"/>
  <c r="I330"/>
  <c r="I331"/>
  <c r="I168"/>
  <c r="I169"/>
  <c r="I170"/>
  <c r="I171"/>
  <c r="I172"/>
  <c r="I173"/>
  <c r="I174"/>
  <c r="F637"/>
  <c r="I340"/>
  <c r="I341"/>
  <c r="I342"/>
  <c r="I343"/>
  <c r="I344"/>
  <c r="I345"/>
  <c r="I346"/>
  <c r="I361"/>
  <c r="I194"/>
  <c r="I195"/>
  <c r="I196"/>
  <c r="I198"/>
  <c r="I199"/>
  <c r="I201"/>
  <c r="I202"/>
  <c r="I203"/>
  <c r="I204"/>
  <c r="I205"/>
  <c r="I206"/>
  <c r="I207"/>
  <c r="I208"/>
  <c r="I209"/>
  <c r="I210"/>
  <c r="I211"/>
  <c r="F640"/>
  <c r="I366"/>
  <c r="I367"/>
  <c r="I368"/>
  <c r="I370"/>
  <c r="I371"/>
  <c r="I373"/>
  <c r="I374"/>
  <c r="I375"/>
  <c r="I376"/>
  <c r="I377"/>
  <c r="I378"/>
  <c r="I379"/>
  <c r="I380"/>
  <c r="I381"/>
  <c r="I382"/>
  <c r="I383"/>
  <c r="I234"/>
  <c r="I235"/>
  <c r="I236"/>
  <c r="I237"/>
  <c r="I238"/>
  <c r="I239"/>
  <c r="I240"/>
  <c r="I241"/>
  <c r="F641"/>
  <c r="I406"/>
  <c r="I407"/>
  <c r="I408"/>
  <c r="I409"/>
  <c r="I410"/>
  <c r="I411"/>
  <c r="I412"/>
  <c r="I413"/>
  <c r="I422"/>
  <c r="I423"/>
  <c r="I424"/>
  <c r="I425"/>
  <c r="I426"/>
  <c r="I431"/>
  <c r="I434"/>
  <c r="I144"/>
  <c r="I250"/>
  <c r="I251"/>
  <c r="I252"/>
  <c r="I253"/>
  <c r="I254"/>
  <c r="I259"/>
  <c r="I262"/>
  <c r="F161"/>
  <c r="F176"/>
  <c r="F244"/>
  <c r="F256"/>
  <c r="F333"/>
  <c r="F348"/>
  <c r="F387"/>
  <c r="F416"/>
  <c r="F428"/>
  <c r="Q8"/>
  <c r="Q13"/>
  <c r="Q626" s="1"/>
  <c r="Q16"/>
  <c r="Q17"/>
  <c r="Q18"/>
  <c r="Q19"/>
  <c r="Q20"/>
  <c r="Q21"/>
  <c r="Q22"/>
  <c r="Q23"/>
  <c r="Q24"/>
  <c r="Q25"/>
  <c r="Q26"/>
  <c r="Q27"/>
  <c r="Q28"/>
  <c r="Q29"/>
  <c r="Q36"/>
  <c r="Q55"/>
  <c r="Q56"/>
  <c r="Q57"/>
  <c r="Q103"/>
  <c r="Q123"/>
  <c r="Q316"/>
  <c r="Q149"/>
  <c r="Q150"/>
  <c r="Q151"/>
  <c r="Q152"/>
  <c r="Q153"/>
  <c r="Q154"/>
  <c r="Q155"/>
  <c r="Q156"/>
  <c r="Q157"/>
  <c r="Q158"/>
  <c r="Q159"/>
  <c r="Q321"/>
  <c r="Q322"/>
  <c r="Q323"/>
  <c r="Q324"/>
  <c r="Q325"/>
  <c r="Q326"/>
  <c r="Q327"/>
  <c r="Q328"/>
  <c r="Q329"/>
  <c r="Q330"/>
  <c r="Q331"/>
  <c r="Q168"/>
  <c r="Q169"/>
  <c r="Q170"/>
  <c r="Q171"/>
  <c r="Q172"/>
  <c r="Q173"/>
  <c r="Q174"/>
  <c r="Q340"/>
  <c r="Q341"/>
  <c r="Q342"/>
  <c r="Q343"/>
  <c r="Q344"/>
  <c r="Q345"/>
  <c r="Q346"/>
  <c r="Q361"/>
  <c r="Q194"/>
  <c r="Q195"/>
  <c r="Q196"/>
  <c r="Q198"/>
  <c r="Q199"/>
  <c r="Q201"/>
  <c r="Q202"/>
  <c r="Q203"/>
  <c r="Q204"/>
  <c r="Q205"/>
  <c r="Q206"/>
  <c r="Q207"/>
  <c r="Q208"/>
  <c r="Q209"/>
  <c r="Q210"/>
  <c r="Q211"/>
  <c r="Q366"/>
  <c r="Q367"/>
  <c r="Q368"/>
  <c r="Q370"/>
  <c r="Q371"/>
  <c r="Q373"/>
  <c r="Q374"/>
  <c r="Q375"/>
  <c r="Q376"/>
  <c r="Q377"/>
  <c r="Q378"/>
  <c r="Q379"/>
  <c r="Q380"/>
  <c r="Q381"/>
  <c r="Q382"/>
  <c r="Q383"/>
  <c r="Q234"/>
  <c r="Q235"/>
  <c r="Q236"/>
  <c r="Q237"/>
  <c r="Q238"/>
  <c r="Q239"/>
  <c r="Q240"/>
  <c r="Q241"/>
  <c r="Q406"/>
  <c r="Q407"/>
  <c r="Q408"/>
  <c r="Q409"/>
  <c r="Q410"/>
  <c r="Q411"/>
  <c r="Q412"/>
  <c r="Q413"/>
  <c r="Q422"/>
  <c r="Q423"/>
  <c r="Q424"/>
  <c r="Q425"/>
  <c r="Q426"/>
  <c r="Q431"/>
  <c r="Q434"/>
  <c r="Q144"/>
  <c r="Q250"/>
  <c r="Q251"/>
  <c r="Q252"/>
  <c r="Q253"/>
  <c r="Q254"/>
  <c r="Q259"/>
  <c r="Q262"/>
  <c r="R8"/>
  <c r="R13"/>
  <c r="R626" s="1"/>
  <c r="R16"/>
  <c r="R17"/>
  <c r="R18"/>
  <c r="R19"/>
  <c r="R20"/>
  <c r="R21"/>
  <c r="R22"/>
  <c r="R23"/>
  <c r="R24"/>
  <c r="R25"/>
  <c r="R26"/>
  <c r="R27"/>
  <c r="R28"/>
  <c r="R29"/>
  <c r="R36"/>
  <c r="R55"/>
  <c r="R56"/>
  <c r="R57"/>
  <c r="R103"/>
  <c r="R123"/>
  <c r="R316"/>
  <c r="R149"/>
  <c r="R150"/>
  <c r="R151"/>
  <c r="R152"/>
  <c r="R153"/>
  <c r="R154"/>
  <c r="R155"/>
  <c r="R156"/>
  <c r="R157"/>
  <c r="R158"/>
  <c r="R159"/>
  <c r="R321"/>
  <c r="R322"/>
  <c r="R323"/>
  <c r="R324"/>
  <c r="R325"/>
  <c r="R326"/>
  <c r="R327"/>
  <c r="R328"/>
  <c r="R329"/>
  <c r="R330"/>
  <c r="R331"/>
  <c r="R168"/>
  <c r="R169"/>
  <c r="R170"/>
  <c r="R171"/>
  <c r="R172"/>
  <c r="R173"/>
  <c r="R174"/>
  <c r="R340"/>
  <c r="R341"/>
  <c r="R342"/>
  <c r="R343"/>
  <c r="R344"/>
  <c r="R345"/>
  <c r="R346"/>
  <c r="R361"/>
  <c r="R194"/>
  <c r="R195"/>
  <c r="R196"/>
  <c r="R198"/>
  <c r="R199"/>
  <c r="R201"/>
  <c r="R202"/>
  <c r="R203"/>
  <c r="R204"/>
  <c r="R205"/>
  <c r="R206"/>
  <c r="R207"/>
  <c r="R208"/>
  <c r="R209"/>
  <c r="R210"/>
  <c r="R211"/>
  <c r="R366"/>
  <c r="R367"/>
  <c r="R368"/>
  <c r="R370"/>
  <c r="R371"/>
  <c r="R373"/>
  <c r="R374"/>
  <c r="R375"/>
  <c r="R376"/>
  <c r="R377"/>
  <c r="R378"/>
  <c r="R379"/>
  <c r="R380"/>
  <c r="R381"/>
  <c r="R382"/>
  <c r="R383"/>
  <c r="R234"/>
  <c r="R235"/>
  <c r="R236"/>
  <c r="R237"/>
  <c r="R238"/>
  <c r="R239"/>
  <c r="R240"/>
  <c r="R241"/>
  <c r="R406"/>
  <c r="R407"/>
  <c r="R408"/>
  <c r="R409"/>
  <c r="R410"/>
  <c r="R411"/>
  <c r="R412"/>
  <c r="R413"/>
  <c r="R422"/>
  <c r="R423"/>
  <c r="R424"/>
  <c r="R425"/>
  <c r="R426"/>
  <c r="R431"/>
  <c r="R434"/>
  <c r="R144"/>
  <c r="R250"/>
  <c r="R251"/>
  <c r="R252"/>
  <c r="R253"/>
  <c r="R254"/>
  <c r="R259"/>
  <c r="R262"/>
  <c r="G149"/>
  <c r="G150"/>
  <c r="G151"/>
  <c r="G152"/>
  <c r="G153"/>
  <c r="G154"/>
  <c r="G155"/>
  <c r="G156"/>
  <c r="G157"/>
  <c r="G158"/>
  <c r="G159"/>
  <c r="G321"/>
  <c r="G322"/>
  <c r="G323"/>
  <c r="G324"/>
  <c r="G325"/>
  <c r="G326"/>
  <c r="G327"/>
  <c r="G328"/>
  <c r="G329"/>
  <c r="G330"/>
  <c r="G331"/>
  <c r="G168"/>
  <c r="G169"/>
  <c r="G170"/>
  <c r="G171"/>
  <c r="G172"/>
  <c r="G173"/>
  <c r="G174"/>
  <c r="G340"/>
  <c r="G341"/>
  <c r="G342"/>
  <c r="G343"/>
  <c r="G344"/>
  <c r="G345"/>
  <c r="G346"/>
  <c r="G361"/>
  <c r="G194"/>
  <c r="G195"/>
  <c r="G196"/>
  <c r="G18"/>
  <c r="G21"/>
  <c r="G198"/>
  <c r="G199"/>
  <c r="G201"/>
  <c r="G202"/>
  <c r="G203"/>
  <c r="G204"/>
  <c r="G205"/>
  <c r="G206"/>
  <c r="G207"/>
  <c r="G208"/>
  <c r="G209"/>
  <c r="G210"/>
  <c r="G211"/>
  <c r="G16"/>
  <c r="G17"/>
  <c r="G19"/>
  <c r="G20"/>
  <c r="G22"/>
  <c r="G23"/>
  <c r="G24"/>
  <c r="G25"/>
  <c r="G26"/>
  <c r="G27"/>
  <c r="G29"/>
  <c r="G366"/>
  <c r="G367"/>
  <c r="G368"/>
  <c r="G370"/>
  <c r="G371"/>
  <c r="G373"/>
  <c r="G374"/>
  <c r="G375"/>
  <c r="G376"/>
  <c r="G377"/>
  <c r="G378"/>
  <c r="G379"/>
  <c r="G380"/>
  <c r="G381"/>
  <c r="G382"/>
  <c r="G383"/>
  <c r="G234"/>
  <c r="G235"/>
  <c r="G236"/>
  <c r="G237"/>
  <c r="G238"/>
  <c r="G239"/>
  <c r="G240"/>
  <c r="G241"/>
  <c r="G406"/>
  <c r="G407"/>
  <c r="G408"/>
  <c r="G409"/>
  <c r="G410"/>
  <c r="G411"/>
  <c r="G412"/>
  <c r="G413"/>
  <c r="G422"/>
  <c r="G423"/>
  <c r="G424"/>
  <c r="G425"/>
  <c r="G426"/>
  <c r="G431"/>
  <c r="G434"/>
  <c r="G250"/>
  <c r="G251"/>
  <c r="G252"/>
  <c r="G253"/>
  <c r="G254"/>
  <c r="G259"/>
  <c r="G262"/>
  <c r="G8"/>
  <c r="G13"/>
  <c r="G36"/>
  <c r="G55"/>
  <c r="G56"/>
  <c r="G57"/>
  <c r="J584" i="4"/>
  <c r="J585" s="1"/>
  <c r="H149" i="1"/>
  <c r="H150"/>
  <c r="H151"/>
  <c r="H152"/>
  <c r="H153"/>
  <c r="H154"/>
  <c r="H155"/>
  <c r="H156"/>
  <c r="H157"/>
  <c r="H158"/>
  <c r="H159"/>
  <c r="H321"/>
  <c r="H322"/>
  <c r="H323"/>
  <c r="H324"/>
  <c r="H325"/>
  <c r="H326"/>
  <c r="H327"/>
  <c r="H328"/>
  <c r="H329"/>
  <c r="H330"/>
  <c r="H331"/>
  <c r="H168"/>
  <c r="H169"/>
  <c r="H170"/>
  <c r="H171"/>
  <c r="H172"/>
  <c r="H173"/>
  <c r="H174"/>
  <c r="H340"/>
  <c r="H341"/>
  <c r="H342"/>
  <c r="H343"/>
  <c r="H344"/>
  <c r="H345"/>
  <c r="H346"/>
  <c r="H361"/>
  <c r="H194"/>
  <c r="H195"/>
  <c r="H196"/>
  <c r="H18"/>
  <c r="H21"/>
  <c r="H198"/>
  <c r="H199"/>
  <c r="H201"/>
  <c r="H202"/>
  <c r="H203"/>
  <c r="H204"/>
  <c r="H205"/>
  <c r="H206"/>
  <c r="H207"/>
  <c r="H208"/>
  <c r="H209"/>
  <c r="H210"/>
  <c r="H211"/>
  <c r="H16"/>
  <c r="H17"/>
  <c r="H19"/>
  <c r="H20"/>
  <c r="H22"/>
  <c r="H23"/>
  <c r="H24"/>
  <c r="H25"/>
  <c r="H26"/>
  <c r="H27"/>
  <c r="H29"/>
  <c r="H366"/>
  <c r="H367"/>
  <c r="H368"/>
  <c r="H370"/>
  <c r="H371"/>
  <c r="H373"/>
  <c r="H374"/>
  <c r="H375"/>
  <c r="H376"/>
  <c r="H377"/>
  <c r="H378"/>
  <c r="H379"/>
  <c r="H380"/>
  <c r="H381"/>
  <c r="H382"/>
  <c r="H383"/>
  <c r="H234"/>
  <c r="H235"/>
  <c r="H236"/>
  <c r="H237"/>
  <c r="H238"/>
  <c r="H239"/>
  <c r="H240"/>
  <c r="H241"/>
  <c r="H406"/>
  <c r="H407"/>
  <c r="H408"/>
  <c r="H409"/>
  <c r="H410"/>
  <c r="H411"/>
  <c r="H412"/>
  <c r="H413"/>
  <c r="H422"/>
  <c r="H423"/>
  <c r="H424"/>
  <c r="H425"/>
  <c r="H426"/>
  <c r="H431"/>
  <c r="H434"/>
  <c r="H250"/>
  <c r="H251"/>
  <c r="H252"/>
  <c r="H253"/>
  <c r="H254"/>
  <c r="H259"/>
  <c r="H262"/>
  <c r="H7"/>
  <c r="H8"/>
  <c r="H13"/>
  <c r="H626" s="1"/>
  <c r="H36"/>
  <c r="H55"/>
  <c r="H56"/>
  <c r="H57"/>
  <c r="J316"/>
  <c r="J149"/>
  <c r="J150"/>
  <c r="J151"/>
  <c r="J152"/>
  <c r="J153"/>
  <c r="J154"/>
  <c r="J155"/>
  <c r="J156"/>
  <c r="J157"/>
  <c r="J158"/>
  <c r="J159"/>
  <c r="J321"/>
  <c r="J322"/>
  <c r="J323"/>
  <c r="J324"/>
  <c r="J325"/>
  <c r="J326"/>
  <c r="J327"/>
  <c r="J328"/>
  <c r="J329"/>
  <c r="J330"/>
  <c r="J331"/>
  <c r="J168"/>
  <c r="J169"/>
  <c r="J170"/>
  <c r="J171"/>
  <c r="J172"/>
  <c r="J173"/>
  <c r="J174"/>
  <c r="J340"/>
  <c r="J341"/>
  <c r="J342"/>
  <c r="J343"/>
  <c r="J344"/>
  <c r="J345"/>
  <c r="J346"/>
  <c r="J361"/>
  <c r="J194"/>
  <c r="J195"/>
  <c r="J196"/>
  <c r="J18"/>
  <c r="J21"/>
  <c r="J198"/>
  <c r="J199"/>
  <c r="J201"/>
  <c r="J202"/>
  <c r="J203"/>
  <c r="J204"/>
  <c r="J205"/>
  <c r="J206"/>
  <c r="J207"/>
  <c r="J208"/>
  <c r="J209"/>
  <c r="J210"/>
  <c r="J211"/>
  <c r="J16"/>
  <c r="J17"/>
  <c r="J19"/>
  <c r="J20"/>
  <c r="J22"/>
  <c r="J23"/>
  <c r="J24"/>
  <c r="J25"/>
  <c r="J26"/>
  <c r="J27"/>
  <c r="J29"/>
  <c r="J366"/>
  <c r="J367"/>
  <c r="J368"/>
  <c r="J370"/>
  <c r="J371"/>
  <c r="J373"/>
  <c r="J374"/>
  <c r="J375"/>
  <c r="J376"/>
  <c r="J377"/>
  <c r="J378"/>
  <c r="J379"/>
  <c r="J380"/>
  <c r="J381"/>
  <c r="J382"/>
  <c r="J383"/>
  <c r="J234"/>
  <c r="J235"/>
  <c r="J236"/>
  <c r="J237"/>
  <c r="J238"/>
  <c r="J239"/>
  <c r="J240"/>
  <c r="J241"/>
  <c r="J406"/>
  <c r="J407"/>
  <c r="J408"/>
  <c r="J409"/>
  <c r="J410"/>
  <c r="J411"/>
  <c r="J412"/>
  <c r="J413"/>
  <c r="J422"/>
  <c r="J423"/>
  <c r="J424"/>
  <c r="J425"/>
  <c r="J426"/>
  <c r="J431"/>
  <c r="J434"/>
  <c r="J144"/>
  <c r="J250"/>
  <c r="J251"/>
  <c r="J252"/>
  <c r="J253"/>
  <c r="J254"/>
  <c r="J259"/>
  <c r="J262"/>
  <c r="J7"/>
  <c r="J8"/>
  <c r="J13"/>
  <c r="J626" s="1"/>
  <c r="J36"/>
  <c r="J55"/>
  <c r="J56"/>
  <c r="J57"/>
  <c r="K316"/>
  <c r="K149"/>
  <c r="K150"/>
  <c r="K151"/>
  <c r="K152"/>
  <c r="K153"/>
  <c r="K154"/>
  <c r="K155"/>
  <c r="K156"/>
  <c r="K157"/>
  <c r="K158"/>
  <c r="K159"/>
  <c r="K321"/>
  <c r="K322"/>
  <c r="K323"/>
  <c r="K324"/>
  <c r="K325"/>
  <c r="K326"/>
  <c r="K327"/>
  <c r="K328"/>
  <c r="K329"/>
  <c r="K330"/>
  <c r="K331"/>
  <c r="K168"/>
  <c r="K169"/>
  <c r="K170"/>
  <c r="K171"/>
  <c r="K172"/>
  <c r="K173"/>
  <c r="K174"/>
  <c r="K340"/>
  <c r="K341"/>
  <c r="K342"/>
  <c r="K343"/>
  <c r="K344"/>
  <c r="K345"/>
  <c r="K346"/>
  <c r="K361"/>
  <c r="K194"/>
  <c r="K195"/>
  <c r="K196"/>
  <c r="K18"/>
  <c r="K21"/>
  <c r="K198"/>
  <c r="K199"/>
  <c r="K201"/>
  <c r="K202"/>
  <c r="K203"/>
  <c r="K204"/>
  <c r="K205"/>
  <c r="K206"/>
  <c r="K207"/>
  <c r="K208"/>
  <c r="K209"/>
  <c r="K210"/>
  <c r="K211"/>
  <c r="K16"/>
  <c r="K17"/>
  <c r="K19"/>
  <c r="K20"/>
  <c r="K22"/>
  <c r="K23"/>
  <c r="K24"/>
  <c r="K25"/>
  <c r="K26"/>
  <c r="K27"/>
  <c r="K29"/>
  <c r="K366"/>
  <c r="K367"/>
  <c r="K368"/>
  <c r="K370"/>
  <c r="K371"/>
  <c r="K373"/>
  <c r="K374"/>
  <c r="K375"/>
  <c r="K376"/>
  <c r="K377"/>
  <c r="K378"/>
  <c r="K379"/>
  <c r="K380"/>
  <c r="K381"/>
  <c r="K382"/>
  <c r="K383"/>
  <c r="K234"/>
  <c r="K235"/>
  <c r="K236"/>
  <c r="K237"/>
  <c r="K238"/>
  <c r="K239"/>
  <c r="K240"/>
  <c r="K241"/>
  <c r="K406"/>
  <c r="K407"/>
  <c r="K408"/>
  <c r="K409"/>
  <c r="K410"/>
  <c r="K411"/>
  <c r="K412"/>
  <c r="K413"/>
  <c r="K422"/>
  <c r="K423"/>
  <c r="K424"/>
  <c r="K425"/>
  <c r="K426"/>
  <c r="K431"/>
  <c r="K434"/>
  <c r="K144"/>
  <c r="K250"/>
  <c r="K251"/>
  <c r="K252"/>
  <c r="K253"/>
  <c r="K254"/>
  <c r="K259"/>
  <c r="K262"/>
  <c r="K7"/>
  <c r="K8"/>
  <c r="K13"/>
  <c r="K626" s="1"/>
  <c r="K36"/>
  <c r="K55"/>
  <c r="K56"/>
  <c r="K57"/>
  <c r="L316"/>
  <c r="L149"/>
  <c r="L150"/>
  <c r="L151"/>
  <c r="L152"/>
  <c r="L153"/>
  <c r="L154"/>
  <c r="L155"/>
  <c r="L156"/>
  <c r="L157"/>
  <c r="L158"/>
  <c r="L159"/>
  <c r="L321"/>
  <c r="L322"/>
  <c r="L323"/>
  <c r="L324"/>
  <c r="L325"/>
  <c r="L326"/>
  <c r="L327"/>
  <c r="L328"/>
  <c r="L329"/>
  <c r="L330"/>
  <c r="L331"/>
  <c r="L168"/>
  <c r="L169"/>
  <c r="L170"/>
  <c r="L171"/>
  <c r="L172"/>
  <c r="L173"/>
  <c r="L174"/>
  <c r="L340"/>
  <c r="L341"/>
  <c r="L342"/>
  <c r="L343"/>
  <c r="L344"/>
  <c r="L345"/>
  <c r="L346"/>
  <c r="L361"/>
  <c r="L194"/>
  <c r="L195"/>
  <c r="L196"/>
  <c r="L18"/>
  <c r="L21"/>
  <c r="L198"/>
  <c r="L199"/>
  <c r="L201"/>
  <c r="L202"/>
  <c r="L203"/>
  <c r="L204"/>
  <c r="L205"/>
  <c r="L206"/>
  <c r="L207"/>
  <c r="L208"/>
  <c r="L209"/>
  <c r="L210"/>
  <c r="L211"/>
  <c r="L16"/>
  <c r="L17"/>
  <c r="L19"/>
  <c r="L20"/>
  <c r="L22"/>
  <c r="L23"/>
  <c r="L24"/>
  <c r="L25"/>
  <c r="L26"/>
  <c r="L27"/>
  <c r="L28"/>
  <c r="L29"/>
  <c r="L366"/>
  <c r="L367"/>
  <c r="L368"/>
  <c r="L370"/>
  <c r="L371"/>
  <c r="L373"/>
  <c r="L374"/>
  <c r="L375"/>
  <c r="L376"/>
  <c r="L377"/>
  <c r="L378"/>
  <c r="L379"/>
  <c r="L380"/>
  <c r="L381"/>
  <c r="L382"/>
  <c r="L383"/>
  <c r="L234"/>
  <c r="L235"/>
  <c r="L236"/>
  <c r="L237"/>
  <c r="L238"/>
  <c r="L239"/>
  <c r="L240"/>
  <c r="L241"/>
  <c r="L406"/>
  <c r="L407"/>
  <c r="L408"/>
  <c r="L409"/>
  <c r="L410"/>
  <c r="L411"/>
  <c r="L412"/>
  <c r="L413"/>
  <c r="L422"/>
  <c r="L423"/>
  <c r="L424"/>
  <c r="L425"/>
  <c r="L426"/>
  <c r="L431"/>
  <c r="L434"/>
  <c r="L144"/>
  <c r="L250"/>
  <c r="L251"/>
  <c r="L252"/>
  <c r="L253"/>
  <c r="L254"/>
  <c r="L259"/>
  <c r="L262"/>
  <c r="L8"/>
  <c r="L13"/>
  <c r="L626" s="1"/>
  <c r="L36"/>
  <c r="L55"/>
  <c r="L56"/>
  <c r="L57"/>
  <c r="M316"/>
  <c r="M149"/>
  <c r="M150"/>
  <c r="M151"/>
  <c r="M152"/>
  <c r="M153"/>
  <c r="M154"/>
  <c r="M155"/>
  <c r="M156"/>
  <c r="M157"/>
  <c r="M158"/>
  <c r="M159"/>
  <c r="M321"/>
  <c r="M322"/>
  <c r="M323"/>
  <c r="M324"/>
  <c r="M325"/>
  <c r="M326"/>
  <c r="M327"/>
  <c r="M328"/>
  <c r="M329"/>
  <c r="M330"/>
  <c r="M331"/>
  <c r="M168"/>
  <c r="M169"/>
  <c r="M170"/>
  <c r="M171"/>
  <c r="M172"/>
  <c r="M173"/>
  <c r="M174"/>
  <c r="M340"/>
  <c r="M341"/>
  <c r="M342"/>
  <c r="M343"/>
  <c r="M344"/>
  <c r="M345"/>
  <c r="M346"/>
  <c r="M361"/>
  <c r="M194"/>
  <c r="M195"/>
  <c r="M196"/>
  <c r="M18"/>
  <c r="M21"/>
  <c r="M198"/>
  <c r="M199"/>
  <c r="M201"/>
  <c r="M202"/>
  <c r="M203"/>
  <c r="M204"/>
  <c r="M205"/>
  <c r="M206"/>
  <c r="M207"/>
  <c r="M208"/>
  <c r="M209"/>
  <c r="M210"/>
  <c r="M211"/>
  <c r="M16"/>
  <c r="M17"/>
  <c r="M19"/>
  <c r="M20"/>
  <c r="M22"/>
  <c r="M23"/>
  <c r="M24"/>
  <c r="M25"/>
  <c r="M26"/>
  <c r="M27"/>
  <c r="M29"/>
  <c r="M366"/>
  <c r="M367"/>
  <c r="M368"/>
  <c r="M370"/>
  <c r="M371"/>
  <c r="M373"/>
  <c r="M374"/>
  <c r="M375"/>
  <c r="M376"/>
  <c r="M377"/>
  <c r="M378"/>
  <c r="M379"/>
  <c r="M380"/>
  <c r="M381"/>
  <c r="M382"/>
  <c r="M383"/>
  <c r="M234"/>
  <c r="M235"/>
  <c r="M236"/>
  <c r="M237"/>
  <c r="M238"/>
  <c r="M239"/>
  <c r="M240"/>
  <c r="M241"/>
  <c r="M406"/>
  <c r="M407"/>
  <c r="M408"/>
  <c r="M409"/>
  <c r="M410"/>
  <c r="M411"/>
  <c r="M412"/>
  <c r="M413"/>
  <c r="M422"/>
  <c r="M423"/>
  <c r="M424"/>
  <c r="M425"/>
  <c r="M426"/>
  <c r="M431"/>
  <c r="M434"/>
  <c r="M144"/>
  <c r="M250"/>
  <c r="M251"/>
  <c r="M252"/>
  <c r="M253"/>
  <c r="M254"/>
  <c r="M259"/>
  <c r="M262"/>
  <c r="M8"/>
  <c r="M13"/>
  <c r="M626" s="1"/>
  <c r="M36"/>
  <c r="M55"/>
  <c r="M56"/>
  <c r="M57"/>
  <c r="N316"/>
  <c r="N149"/>
  <c r="N150"/>
  <c r="N151"/>
  <c r="N152"/>
  <c r="N153"/>
  <c r="N154"/>
  <c r="N155"/>
  <c r="N156"/>
  <c r="N157"/>
  <c r="N158"/>
  <c r="N159"/>
  <c r="N321"/>
  <c r="N322"/>
  <c r="N323"/>
  <c r="N324"/>
  <c r="N325"/>
  <c r="N326"/>
  <c r="N327"/>
  <c r="N328"/>
  <c r="N329"/>
  <c r="N330"/>
  <c r="N331"/>
  <c r="N168"/>
  <c r="N169"/>
  <c r="N170"/>
  <c r="N171"/>
  <c r="N172"/>
  <c r="N173"/>
  <c r="N174"/>
  <c r="N340"/>
  <c r="N341"/>
  <c r="N342"/>
  <c r="N343"/>
  <c r="N344"/>
  <c r="N345"/>
  <c r="N346"/>
  <c r="N361"/>
  <c r="N194"/>
  <c r="N195"/>
  <c r="N196"/>
  <c r="N18"/>
  <c r="N21"/>
  <c r="N198"/>
  <c r="N199"/>
  <c r="N201"/>
  <c r="N202"/>
  <c r="N203"/>
  <c r="N204"/>
  <c r="N205"/>
  <c r="N206"/>
  <c r="N207"/>
  <c r="N208"/>
  <c r="N209"/>
  <c r="N210"/>
  <c r="N211"/>
  <c r="N16"/>
  <c r="N17"/>
  <c r="N19"/>
  <c r="N20"/>
  <c r="N22"/>
  <c r="N23"/>
  <c r="N24"/>
  <c r="N25"/>
  <c r="N26"/>
  <c r="N27"/>
  <c r="N29"/>
  <c r="N366"/>
  <c r="N367"/>
  <c r="N368"/>
  <c r="N370"/>
  <c r="N371"/>
  <c r="N373"/>
  <c r="N374"/>
  <c r="N375"/>
  <c r="N376"/>
  <c r="N377"/>
  <c r="N378"/>
  <c r="N379"/>
  <c r="N380"/>
  <c r="N381"/>
  <c r="N382"/>
  <c r="N383"/>
  <c r="N234"/>
  <c r="N235"/>
  <c r="N236"/>
  <c r="N237"/>
  <c r="N238"/>
  <c r="N239"/>
  <c r="N240"/>
  <c r="N241"/>
  <c r="N406"/>
  <c r="N407"/>
  <c r="N408"/>
  <c r="N409"/>
  <c r="N410"/>
  <c r="N411"/>
  <c r="N412"/>
  <c r="N413"/>
  <c r="N422"/>
  <c r="N423"/>
  <c r="N424"/>
  <c r="N425"/>
  <c r="N426"/>
  <c r="N431"/>
  <c r="N434"/>
  <c r="N144"/>
  <c r="N250"/>
  <c r="N251"/>
  <c r="N252"/>
  <c r="N253"/>
  <c r="N254"/>
  <c r="N259"/>
  <c r="N262"/>
  <c r="N7"/>
  <c r="N8"/>
  <c r="N13"/>
  <c r="N36"/>
  <c r="N55"/>
  <c r="N56"/>
  <c r="N57"/>
  <c r="O316"/>
  <c r="O149"/>
  <c r="O150"/>
  <c r="O151"/>
  <c r="O152"/>
  <c r="O153"/>
  <c r="O154"/>
  <c r="O155"/>
  <c r="O156"/>
  <c r="O157"/>
  <c r="O158"/>
  <c r="O159"/>
  <c r="O321"/>
  <c r="O322"/>
  <c r="O323"/>
  <c r="O324"/>
  <c r="O325"/>
  <c r="O326"/>
  <c r="O327"/>
  <c r="O328"/>
  <c r="O329"/>
  <c r="O330"/>
  <c r="O331"/>
  <c r="O168"/>
  <c r="O169"/>
  <c r="O170"/>
  <c r="O171"/>
  <c r="O172"/>
  <c r="O173"/>
  <c r="O174"/>
  <c r="O340"/>
  <c r="O341"/>
  <c r="O342"/>
  <c r="O343"/>
  <c r="O344"/>
  <c r="O345"/>
  <c r="O346"/>
  <c r="O361"/>
  <c r="O194"/>
  <c r="O195"/>
  <c r="O196"/>
  <c r="O18"/>
  <c r="O21"/>
  <c r="O198"/>
  <c r="O199"/>
  <c r="O201"/>
  <c r="O202"/>
  <c r="O203"/>
  <c r="O204"/>
  <c r="O205"/>
  <c r="O206"/>
  <c r="O207"/>
  <c r="O208"/>
  <c r="O209"/>
  <c r="O210"/>
  <c r="O211"/>
  <c r="O16"/>
  <c r="O17"/>
  <c r="O19"/>
  <c r="O20"/>
  <c r="O22"/>
  <c r="O23"/>
  <c r="O24"/>
  <c r="O25"/>
  <c r="O26"/>
  <c r="O27"/>
  <c r="O29"/>
  <c r="O366"/>
  <c r="O367"/>
  <c r="O368"/>
  <c r="O370"/>
  <c r="O371"/>
  <c r="O373"/>
  <c r="O374"/>
  <c r="O375"/>
  <c r="O376"/>
  <c r="O377"/>
  <c r="O378"/>
  <c r="O379"/>
  <c r="O380"/>
  <c r="O381"/>
  <c r="O382"/>
  <c r="O383"/>
  <c r="O234"/>
  <c r="O235"/>
  <c r="O236"/>
  <c r="O237"/>
  <c r="O238"/>
  <c r="O239"/>
  <c r="O240"/>
  <c r="O241"/>
  <c r="O406"/>
  <c r="O407"/>
  <c r="O408"/>
  <c r="O409"/>
  <c r="O410"/>
  <c r="O411"/>
  <c r="O412"/>
  <c r="O413"/>
  <c r="O422"/>
  <c r="O423"/>
  <c r="O424"/>
  <c r="O425"/>
  <c r="O426"/>
  <c r="O431"/>
  <c r="O434"/>
  <c r="O144"/>
  <c r="O250"/>
  <c r="O251"/>
  <c r="O252"/>
  <c r="O253"/>
  <c r="O254"/>
  <c r="O259"/>
  <c r="O262"/>
  <c r="O7"/>
  <c r="O8"/>
  <c r="O13"/>
  <c r="O626" s="1"/>
  <c r="O36"/>
  <c r="O55"/>
  <c r="O56"/>
  <c r="O57"/>
  <c r="P316"/>
  <c r="P149"/>
  <c r="P150"/>
  <c r="P151"/>
  <c r="P152"/>
  <c r="P153"/>
  <c r="P154"/>
  <c r="P155"/>
  <c r="P156"/>
  <c r="P157"/>
  <c r="P158"/>
  <c r="P159"/>
  <c r="P321"/>
  <c r="P322"/>
  <c r="P323"/>
  <c r="P324"/>
  <c r="P325"/>
  <c r="P326"/>
  <c r="P327"/>
  <c r="P328"/>
  <c r="P329"/>
  <c r="P330"/>
  <c r="P331"/>
  <c r="P168"/>
  <c r="P169"/>
  <c r="P170"/>
  <c r="P171"/>
  <c r="P172"/>
  <c r="P173"/>
  <c r="P174"/>
  <c r="P340"/>
  <c r="P341"/>
  <c r="P342"/>
  <c r="P343"/>
  <c r="P344"/>
  <c r="P345"/>
  <c r="P346"/>
  <c r="P361"/>
  <c r="P194"/>
  <c r="P195"/>
  <c r="P196"/>
  <c r="P18"/>
  <c r="P21"/>
  <c r="P198"/>
  <c r="P199"/>
  <c r="P201"/>
  <c r="P202"/>
  <c r="P203"/>
  <c r="P204"/>
  <c r="P205"/>
  <c r="P206"/>
  <c r="P207"/>
  <c r="P208"/>
  <c r="P209"/>
  <c r="P210"/>
  <c r="P211"/>
  <c r="P16"/>
  <c r="P17"/>
  <c r="P19"/>
  <c r="P20"/>
  <c r="P22"/>
  <c r="P23"/>
  <c r="P24"/>
  <c r="P25"/>
  <c r="P26"/>
  <c r="P27"/>
  <c r="P28"/>
  <c r="P29"/>
  <c r="P366"/>
  <c r="P367"/>
  <c r="P368"/>
  <c r="P370"/>
  <c r="P371"/>
  <c r="P373"/>
  <c r="P374"/>
  <c r="P375"/>
  <c r="P376"/>
  <c r="P377"/>
  <c r="P378"/>
  <c r="P379"/>
  <c r="P380"/>
  <c r="P381"/>
  <c r="P382"/>
  <c r="P383"/>
  <c r="P234"/>
  <c r="P235"/>
  <c r="P236"/>
  <c r="P237"/>
  <c r="P238"/>
  <c r="P239"/>
  <c r="P240"/>
  <c r="P241"/>
  <c r="P406"/>
  <c r="P407"/>
  <c r="P408"/>
  <c r="P409"/>
  <c r="P410"/>
  <c r="P411"/>
  <c r="P412"/>
  <c r="P413"/>
  <c r="P422"/>
  <c r="P423"/>
  <c r="P424"/>
  <c r="P425"/>
  <c r="P426"/>
  <c r="P431"/>
  <c r="P434"/>
  <c r="P144"/>
  <c r="P250"/>
  <c r="P251"/>
  <c r="P252"/>
  <c r="P253"/>
  <c r="P254"/>
  <c r="P259"/>
  <c r="P262"/>
  <c r="P7"/>
  <c r="P8"/>
  <c r="P13"/>
  <c r="P626" s="1"/>
  <c r="P36"/>
  <c r="P55"/>
  <c r="P56"/>
  <c r="P57"/>
  <c r="S7"/>
  <c r="S8"/>
  <c r="S13"/>
  <c r="S626" s="1"/>
  <c r="S16"/>
  <c r="S17"/>
  <c r="S18"/>
  <c r="S19"/>
  <c r="S20"/>
  <c r="S21"/>
  <c r="S22"/>
  <c r="S23"/>
  <c r="S24"/>
  <c r="S25"/>
  <c r="S26"/>
  <c r="S27"/>
  <c r="S28"/>
  <c r="S29"/>
  <c r="S36"/>
  <c r="S316"/>
  <c r="S149"/>
  <c r="S150"/>
  <c r="S151"/>
  <c r="S152"/>
  <c r="S153"/>
  <c r="S154"/>
  <c r="S155"/>
  <c r="S156"/>
  <c r="S157"/>
  <c r="S158"/>
  <c r="S159"/>
  <c r="S321"/>
  <c r="S322"/>
  <c r="S323"/>
  <c r="S324"/>
  <c r="S325"/>
  <c r="S326"/>
  <c r="S327"/>
  <c r="S328"/>
  <c r="S329"/>
  <c r="S330"/>
  <c r="S331"/>
  <c r="S168"/>
  <c r="S169"/>
  <c r="S170"/>
  <c r="S171"/>
  <c r="S172"/>
  <c r="S173"/>
  <c r="S174"/>
  <c r="S340"/>
  <c r="S341"/>
  <c r="S342"/>
  <c r="S343"/>
  <c r="S344"/>
  <c r="S345"/>
  <c r="S346"/>
  <c r="S361"/>
  <c r="S194"/>
  <c r="S195"/>
  <c r="S196"/>
  <c r="S198"/>
  <c r="S199"/>
  <c r="S201"/>
  <c r="S202"/>
  <c r="S203"/>
  <c r="S204"/>
  <c r="S205"/>
  <c r="S206"/>
  <c r="S207"/>
  <c r="S208"/>
  <c r="S209"/>
  <c r="S210"/>
  <c r="S211"/>
  <c r="S366"/>
  <c r="S367"/>
  <c r="S368"/>
  <c r="S370"/>
  <c r="S371"/>
  <c r="S373"/>
  <c r="S374"/>
  <c r="S375"/>
  <c r="S376"/>
  <c r="S377"/>
  <c r="S378"/>
  <c r="S379"/>
  <c r="S380"/>
  <c r="S381"/>
  <c r="S382"/>
  <c r="S383"/>
  <c r="S234"/>
  <c r="S235"/>
  <c r="S236"/>
  <c r="S237"/>
  <c r="S238"/>
  <c r="S239"/>
  <c r="S240"/>
  <c r="S241"/>
  <c r="S406"/>
  <c r="S407"/>
  <c r="S408"/>
  <c r="S409"/>
  <c r="S410"/>
  <c r="S411"/>
  <c r="S412"/>
  <c r="S413"/>
  <c r="S422"/>
  <c r="S423"/>
  <c r="S424"/>
  <c r="S425"/>
  <c r="S426"/>
  <c r="S431"/>
  <c r="S434"/>
  <c r="S144"/>
  <c r="S250"/>
  <c r="S251"/>
  <c r="S252"/>
  <c r="S253"/>
  <c r="S254"/>
  <c r="S259"/>
  <c r="S262"/>
  <c r="S55"/>
  <c r="S56"/>
  <c r="S57"/>
  <c r="T7"/>
  <c r="T8"/>
  <c r="T13"/>
  <c r="T16"/>
  <c r="T17"/>
  <c r="T18"/>
  <c r="T19"/>
  <c r="T20"/>
  <c r="T21"/>
  <c r="T22"/>
  <c r="T23"/>
  <c r="T24"/>
  <c r="T25"/>
  <c r="T26"/>
  <c r="T27"/>
  <c r="T28"/>
  <c r="T29"/>
  <c r="T36"/>
  <c r="T316"/>
  <c r="T149"/>
  <c r="T150"/>
  <c r="T151"/>
  <c r="T152"/>
  <c r="T153"/>
  <c r="T154"/>
  <c r="T155"/>
  <c r="T156"/>
  <c r="T157"/>
  <c r="T158"/>
  <c r="T159"/>
  <c r="T321"/>
  <c r="T322"/>
  <c r="T323"/>
  <c r="T324"/>
  <c r="T325"/>
  <c r="T326"/>
  <c r="T327"/>
  <c r="T328"/>
  <c r="T329"/>
  <c r="T330"/>
  <c r="T331"/>
  <c r="T168"/>
  <c r="T169"/>
  <c r="T170"/>
  <c r="T171"/>
  <c r="T172"/>
  <c r="T173"/>
  <c r="T174"/>
  <c r="T340"/>
  <c r="T341"/>
  <c r="T342"/>
  <c r="T343"/>
  <c r="T344"/>
  <c r="T345"/>
  <c r="T346"/>
  <c r="T361"/>
  <c r="T194"/>
  <c r="T195"/>
  <c r="T196"/>
  <c r="T198"/>
  <c r="T199"/>
  <c r="T201"/>
  <c r="T202"/>
  <c r="T203"/>
  <c r="T204"/>
  <c r="T205"/>
  <c r="T206"/>
  <c r="T207"/>
  <c r="T208"/>
  <c r="T209"/>
  <c r="T210"/>
  <c r="T211"/>
  <c r="T366"/>
  <c r="T367"/>
  <c r="T368"/>
  <c r="T370"/>
  <c r="T371"/>
  <c r="T373"/>
  <c r="T374"/>
  <c r="T375"/>
  <c r="T376"/>
  <c r="T377"/>
  <c r="T378"/>
  <c r="T379"/>
  <c r="T380"/>
  <c r="T381"/>
  <c r="T382"/>
  <c r="T383"/>
  <c r="T234"/>
  <c r="T235"/>
  <c r="T236"/>
  <c r="T237"/>
  <c r="T238"/>
  <c r="T239"/>
  <c r="T240"/>
  <c r="T241"/>
  <c r="T406"/>
  <c r="T407"/>
  <c r="T408"/>
  <c r="T409"/>
  <c r="T410"/>
  <c r="T411"/>
  <c r="T412"/>
  <c r="T413"/>
  <c r="T422"/>
  <c r="T423"/>
  <c r="T424"/>
  <c r="T425"/>
  <c r="T426"/>
  <c r="T431"/>
  <c r="T434"/>
  <c r="T144"/>
  <c r="T250"/>
  <c r="T251"/>
  <c r="T252"/>
  <c r="T253"/>
  <c r="T254"/>
  <c r="T259"/>
  <c r="T262"/>
  <c r="T55"/>
  <c r="T56"/>
  <c r="T57"/>
  <c r="U316"/>
  <c r="U149"/>
  <c r="U150"/>
  <c r="U151"/>
  <c r="U152"/>
  <c r="U153"/>
  <c r="U154"/>
  <c r="U155"/>
  <c r="U156"/>
  <c r="U157"/>
  <c r="U158"/>
  <c r="U159"/>
  <c r="U321"/>
  <c r="U322"/>
  <c r="U323"/>
  <c r="U324"/>
  <c r="U325"/>
  <c r="U326"/>
  <c r="U327"/>
  <c r="U328"/>
  <c r="U329"/>
  <c r="U330"/>
  <c r="U331"/>
  <c r="U168"/>
  <c r="U169"/>
  <c r="U170"/>
  <c r="U171"/>
  <c r="U172"/>
  <c r="U173"/>
  <c r="U174"/>
  <c r="U340"/>
  <c r="U341"/>
  <c r="U342"/>
  <c r="U343"/>
  <c r="U344"/>
  <c r="U345"/>
  <c r="U346"/>
  <c r="U361"/>
  <c r="U194"/>
  <c r="U195"/>
  <c r="U196"/>
  <c r="U18"/>
  <c r="U21"/>
  <c r="U198"/>
  <c r="U199"/>
  <c r="U201"/>
  <c r="U202"/>
  <c r="U203"/>
  <c r="U204"/>
  <c r="U205"/>
  <c r="U206"/>
  <c r="U207"/>
  <c r="U208"/>
  <c r="U209"/>
  <c r="U210"/>
  <c r="U211"/>
  <c r="U16"/>
  <c r="U17"/>
  <c r="U19"/>
  <c r="U20"/>
  <c r="U22"/>
  <c r="U23"/>
  <c r="U24"/>
  <c r="U25"/>
  <c r="U26"/>
  <c r="U27"/>
  <c r="U29"/>
  <c r="U366"/>
  <c r="U367"/>
  <c r="U368"/>
  <c r="U370"/>
  <c r="U371"/>
  <c r="U373"/>
  <c r="U374"/>
  <c r="U375"/>
  <c r="U376"/>
  <c r="U377"/>
  <c r="U378"/>
  <c r="U379"/>
  <c r="U380"/>
  <c r="U381"/>
  <c r="U382"/>
  <c r="U383"/>
  <c r="U234"/>
  <c r="U235"/>
  <c r="U236"/>
  <c r="U237"/>
  <c r="U238"/>
  <c r="U239"/>
  <c r="U240"/>
  <c r="U241"/>
  <c r="U406"/>
  <c r="U407"/>
  <c r="U408"/>
  <c r="U409"/>
  <c r="U410"/>
  <c r="U411"/>
  <c r="U412"/>
  <c r="U413"/>
  <c r="U422"/>
  <c r="U423"/>
  <c r="U424"/>
  <c r="U425"/>
  <c r="U426"/>
  <c r="U431"/>
  <c r="U434"/>
  <c r="U144"/>
  <c r="U250"/>
  <c r="U251"/>
  <c r="U252"/>
  <c r="U253"/>
  <c r="U254"/>
  <c r="U259"/>
  <c r="U262"/>
  <c r="U7"/>
  <c r="U8"/>
  <c r="U13"/>
  <c r="U36"/>
  <c r="U55"/>
  <c r="U56"/>
  <c r="U57"/>
  <c r="V316"/>
  <c r="V149"/>
  <c r="V150"/>
  <c r="V151"/>
  <c r="V152"/>
  <c r="V153"/>
  <c r="V154"/>
  <c r="V155"/>
  <c r="V156"/>
  <c r="V157"/>
  <c r="V158"/>
  <c r="V159"/>
  <c r="V321"/>
  <c r="V322"/>
  <c r="V323"/>
  <c r="V324"/>
  <c r="V325"/>
  <c r="V326"/>
  <c r="V327"/>
  <c r="V328"/>
  <c r="V329"/>
  <c r="V330"/>
  <c r="V331"/>
  <c r="V168"/>
  <c r="V169"/>
  <c r="V170"/>
  <c r="V171"/>
  <c r="V172"/>
  <c r="V173"/>
  <c r="V174"/>
  <c r="V340"/>
  <c r="V341"/>
  <c r="V342"/>
  <c r="V343"/>
  <c r="V344"/>
  <c r="V345"/>
  <c r="V346"/>
  <c r="V361"/>
  <c r="V194"/>
  <c r="V195"/>
  <c r="V196"/>
  <c r="V18"/>
  <c r="V21"/>
  <c r="V198"/>
  <c r="V199"/>
  <c r="V201"/>
  <c r="V202"/>
  <c r="V203"/>
  <c r="V204"/>
  <c r="V205"/>
  <c r="V206"/>
  <c r="V207"/>
  <c r="V208"/>
  <c r="V209"/>
  <c r="V210"/>
  <c r="V211"/>
  <c r="V16"/>
  <c r="V17"/>
  <c r="V19"/>
  <c r="V20"/>
  <c r="V22"/>
  <c r="V23"/>
  <c r="V24"/>
  <c r="V25"/>
  <c r="V26"/>
  <c r="V27"/>
  <c r="V28"/>
  <c r="V29"/>
  <c r="V366"/>
  <c r="V367"/>
  <c r="V368"/>
  <c r="V370"/>
  <c r="V371"/>
  <c r="V373"/>
  <c r="V374"/>
  <c r="V375"/>
  <c r="V376"/>
  <c r="V377"/>
  <c r="V378"/>
  <c r="V379"/>
  <c r="V380"/>
  <c r="V381"/>
  <c r="V382"/>
  <c r="V383"/>
  <c r="V234"/>
  <c r="V235"/>
  <c r="V236"/>
  <c r="V237"/>
  <c r="V238"/>
  <c r="V239"/>
  <c r="V240"/>
  <c r="V241"/>
  <c r="V406"/>
  <c r="V407"/>
  <c r="V408"/>
  <c r="V409"/>
  <c r="V410"/>
  <c r="V411"/>
  <c r="V412"/>
  <c r="V413"/>
  <c r="V422"/>
  <c r="V423"/>
  <c r="V424"/>
  <c r="V425"/>
  <c r="V426"/>
  <c r="V431"/>
  <c r="V434"/>
  <c r="V144"/>
  <c r="V250"/>
  <c r="V251"/>
  <c r="V252"/>
  <c r="V253"/>
  <c r="V254"/>
  <c r="V259"/>
  <c r="V262"/>
  <c r="V7"/>
  <c r="V8"/>
  <c r="V13"/>
  <c r="V36"/>
  <c r="V55"/>
  <c r="V56"/>
  <c r="V57"/>
  <c r="G490"/>
  <c r="G491"/>
  <c r="G496"/>
  <c r="G499"/>
  <c r="G500"/>
  <c r="G501"/>
  <c r="G502"/>
  <c r="G503"/>
  <c r="G504"/>
  <c r="G505"/>
  <c r="G506"/>
  <c r="G507"/>
  <c r="G508"/>
  <c r="G509"/>
  <c r="G510"/>
  <c r="G511"/>
  <c r="G512"/>
  <c r="G516"/>
  <c r="H490"/>
  <c r="H491"/>
  <c r="H496"/>
  <c r="H499"/>
  <c r="H501"/>
  <c r="H502"/>
  <c r="H503"/>
  <c r="H504"/>
  <c r="H505"/>
  <c r="H506"/>
  <c r="H507"/>
  <c r="H508"/>
  <c r="H509"/>
  <c r="H510"/>
  <c r="H511"/>
  <c r="H516"/>
  <c r="I490"/>
  <c r="I491"/>
  <c r="I496"/>
  <c r="I499"/>
  <c r="I502"/>
  <c r="I503"/>
  <c r="I504"/>
  <c r="I505"/>
  <c r="I506"/>
  <c r="I507"/>
  <c r="I508"/>
  <c r="I509"/>
  <c r="I510"/>
  <c r="I511"/>
  <c r="I512"/>
  <c r="I516"/>
  <c r="J490"/>
  <c r="J491"/>
  <c r="J496"/>
  <c r="J499"/>
  <c r="J502"/>
  <c r="J503"/>
  <c r="J504"/>
  <c r="J505"/>
  <c r="J506"/>
  <c r="J507"/>
  <c r="J508"/>
  <c r="J509"/>
  <c r="J510"/>
  <c r="J511"/>
  <c r="J512"/>
  <c r="J516"/>
  <c r="K490"/>
  <c r="K491"/>
  <c r="K496"/>
  <c r="K499"/>
  <c r="K501"/>
  <c r="K502"/>
  <c r="K503"/>
  <c r="K504"/>
  <c r="K505"/>
  <c r="K506"/>
  <c r="K507"/>
  <c r="K508"/>
  <c r="K509"/>
  <c r="K510"/>
  <c r="K511"/>
  <c r="K512"/>
  <c r="K516"/>
  <c r="L490"/>
  <c r="L491"/>
  <c r="L496"/>
  <c r="L499"/>
  <c r="L501"/>
  <c r="L502"/>
  <c r="L503"/>
  <c r="L504"/>
  <c r="L505"/>
  <c r="L506"/>
  <c r="L507"/>
  <c r="L508"/>
  <c r="L509"/>
  <c r="L510"/>
  <c r="L511"/>
  <c r="L512"/>
  <c r="L516"/>
  <c r="M490"/>
  <c r="M491"/>
  <c r="M496"/>
  <c r="M499"/>
  <c r="M502"/>
  <c r="M503"/>
  <c r="M504"/>
  <c r="M505"/>
  <c r="M506"/>
  <c r="M507"/>
  <c r="M508"/>
  <c r="M509"/>
  <c r="M510"/>
  <c r="M511"/>
  <c r="M512"/>
  <c r="M516"/>
  <c r="N490"/>
  <c r="N491"/>
  <c r="N496"/>
  <c r="N499"/>
  <c r="N502"/>
  <c r="N503"/>
  <c r="N504"/>
  <c r="N505"/>
  <c r="N506"/>
  <c r="N507"/>
  <c r="N508"/>
  <c r="N509"/>
  <c r="N510"/>
  <c r="N511"/>
  <c r="N512"/>
  <c r="N516"/>
  <c r="O490"/>
  <c r="O491"/>
  <c r="O496"/>
  <c r="O499"/>
  <c r="O502"/>
  <c r="O503"/>
  <c r="O504"/>
  <c r="O505"/>
  <c r="O506"/>
  <c r="O507"/>
  <c r="O508"/>
  <c r="O509"/>
  <c r="O510"/>
  <c r="O511"/>
  <c r="O512"/>
  <c r="O516"/>
  <c r="P490"/>
  <c r="P491"/>
  <c r="P496"/>
  <c r="P499"/>
  <c r="P502"/>
  <c r="P503"/>
  <c r="P504"/>
  <c r="P505"/>
  <c r="P506"/>
  <c r="P507"/>
  <c r="P508"/>
  <c r="P509"/>
  <c r="P510"/>
  <c r="P511"/>
  <c r="P512"/>
  <c r="P516"/>
  <c r="Q490"/>
  <c r="Q491"/>
  <c r="Q496"/>
  <c r="Q499"/>
  <c r="Q502"/>
  <c r="Q503"/>
  <c r="Q504"/>
  <c r="Q505"/>
  <c r="Q506"/>
  <c r="Q507"/>
  <c r="Q508"/>
  <c r="Q509"/>
  <c r="Q510"/>
  <c r="Q511"/>
  <c r="Q512"/>
  <c r="Q516"/>
  <c r="R490"/>
  <c r="R491"/>
  <c r="R496"/>
  <c r="R499"/>
  <c r="R500"/>
  <c r="R501"/>
  <c r="R502"/>
  <c r="R503"/>
  <c r="R504"/>
  <c r="R505"/>
  <c r="R506"/>
  <c r="R507"/>
  <c r="R508"/>
  <c r="R509"/>
  <c r="R510"/>
  <c r="R511"/>
  <c r="R512"/>
  <c r="R516"/>
  <c r="S490"/>
  <c r="S491"/>
  <c r="S496"/>
  <c r="S499"/>
  <c r="S500"/>
  <c r="S501"/>
  <c r="S502"/>
  <c r="S503"/>
  <c r="S504"/>
  <c r="S505"/>
  <c r="S506"/>
  <c r="S507"/>
  <c r="S508"/>
  <c r="S509"/>
  <c r="S510"/>
  <c r="S511"/>
  <c r="S512"/>
  <c r="S516"/>
  <c r="T490"/>
  <c r="T491"/>
  <c r="T496"/>
  <c r="T499"/>
  <c r="T500"/>
  <c r="T501"/>
  <c r="T502"/>
  <c r="T503"/>
  <c r="T504"/>
  <c r="T505"/>
  <c r="T506"/>
  <c r="T507"/>
  <c r="T508"/>
  <c r="T509"/>
  <c r="T510"/>
  <c r="T511"/>
  <c r="T512"/>
  <c r="T516"/>
  <c r="U490"/>
  <c r="U491"/>
  <c r="U496"/>
  <c r="U499"/>
  <c r="U500"/>
  <c r="U501"/>
  <c r="U502"/>
  <c r="U503"/>
  <c r="U504"/>
  <c r="U505"/>
  <c r="U506"/>
  <c r="U507"/>
  <c r="U508"/>
  <c r="U509"/>
  <c r="U510"/>
  <c r="U511"/>
  <c r="U512"/>
  <c r="U516"/>
  <c r="V490"/>
  <c r="V491"/>
  <c r="V496"/>
  <c r="V499"/>
  <c r="V500"/>
  <c r="V501"/>
  <c r="V502"/>
  <c r="V503"/>
  <c r="V504"/>
  <c r="V505"/>
  <c r="V506"/>
  <c r="V507"/>
  <c r="V508"/>
  <c r="V509"/>
  <c r="V510"/>
  <c r="V511"/>
  <c r="V512"/>
  <c r="V516"/>
  <c r="F290"/>
  <c r="G103"/>
  <c r="G104"/>
  <c r="G123"/>
  <c r="H103"/>
  <c r="H123"/>
  <c r="J103"/>
  <c r="J104"/>
  <c r="J123"/>
  <c r="K103"/>
  <c r="K123"/>
  <c r="L103"/>
  <c r="L104"/>
  <c r="L123"/>
  <c r="M103"/>
  <c r="M123"/>
  <c r="N103"/>
  <c r="N123"/>
  <c r="O103"/>
  <c r="O123"/>
  <c r="P103"/>
  <c r="P123"/>
  <c r="S103"/>
  <c r="S123"/>
  <c r="T103"/>
  <c r="T123"/>
  <c r="U103"/>
  <c r="U123"/>
  <c r="V103"/>
  <c r="V123"/>
  <c r="K583" i="4"/>
  <c r="O584"/>
  <c r="O583"/>
  <c r="O591"/>
  <c r="O592"/>
  <c r="O593" s="1"/>
  <c r="O622"/>
  <c r="O602"/>
  <c r="O601" s="1"/>
  <c r="P584"/>
  <c r="P583"/>
  <c r="P591"/>
  <c r="P592"/>
  <c r="P593" s="1"/>
  <c r="P622"/>
  <c r="P602"/>
  <c r="P601" s="1"/>
  <c r="Q584"/>
  <c r="Q583"/>
  <c r="Q591"/>
  <c r="Q592"/>
  <c r="Q622"/>
  <c r="Q602"/>
  <c r="Q601" s="1"/>
  <c r="N477"/>
  <c r="N589"/>
  <c r="N591" s="1"/>
  <c r="N583"/>
  <c r="N584"/>
  <c r="N495"/>
  <c r="R619"/>
  <c r="R621" s="1"/>
  <c r="R598" s="1"/>
  <c r="S619"/>
  <c r="S621" s="1"/>
  <c r="S598" s="1"/>
  <c r="T619"/>
  <c r="T621" s="1"/>
  <c r="T598" s="1"/>
  <c r="K468"/>
  <c r="K477"/>
  <c r="K495"/>
  <c r="R485"/>
  <c r="R495"/>
  <c r="R478"/>
  <c r="S485"/>
  <c r="S495"/>
  <c r="S478"/>
  <c r="T485"/>
  <c r="T495"/>
  <c r="T478"/>
  <c r="F594" i="1"/>
  <c r="U25" i="4"/>
  <c r="U26"/>
  <c r="U474"/>
  <c r="Y474" s="1"/>
  <c r="U588"/>
  <c r="V588" s="1"/>
  <c r="U589"/>
  <c r="V589" s="1"/>
  <c r="U594"/>
  <c r="V594" s="1"/>
  <c r="U596"/>
  <c r="U600"/>
  <c r="V600" s="1"/>
  <c r="G619"/>
  <c r="H619"/>
  <c r="I619"/>
  <c r="J619"/>
  <c r="K619"/>
  <c r="L619"/>
  <c r="M619"/>
  <c r="N619"/>
  <c r="O619"/>
  <c r="P619"/>
  <c r="Q619"/>
  <c r="U622"/>
  <c r="U626"/>
  <c r="V626" s="1"/>
  <c r="U627"/>
  <c r="F493" i="1"/>
  <c r="F522" s="1"/>
  <c r="W580"/>
  <c r="X580"/>
  <c r="W581"/>
  <c r="X581" s="1"/>
  <c r="W582"/>
  <c r="X582" s="1"/>
  <c r="W583"/>
  <c r="X583" s="1"/>
  <c r="W584"/>
  <c r="X584" s="1"/>
  <c r="W585"/>
  <c r="X585" s="1"/>
  <c r="W586"/>
  <c r="X586" s="1"/>
  <c r="W587"/>
  <c r="X587" s="1"/>
  <c r="W588"/>
  <c r="X588" s="1"/>
  <c r="W589"/>
  <c r="X589" s="1"/>
  <c r="W590"/>
  <c r="X590" s="1"/>
  <c r="W591"/>
  <c r="X591" s="1"/>
  <c r="W592"/>
  <c r="X592" s="1"/>
  <c r="U604" i="4"/>
  <c r="V604" s="1"/>
  <c r="H512" i="1"/>
  <c r="F31"/>
  <c r="U624" i="4"/>
  <c r="Q501" i="1"/>
  <c r="Q500"/>
  <c r="P501"/>
  <c r="P500"/>
  <c r="O501"/>
  <c r="O500"/>
  <c r="N501"/>
  <c r="N500"/>
  <c r="M501"/>
  <c r="M500"/>
  <c r="L500"/>
  <c r="L514" s="1"/>
  <c r="K500"/>
  <c r="K514" s="1"/>
  <c r="J501"/>
  <c r="J500"/>
  <c r="I501"/>
  <c r="I500"/>
  <c r="H500"/>
  <c r="J583" i="4"/>
  <c r="L583"/>
  <c r="M583"/>
  <c r="U599"/>
  <c r="V599" s="1"/>
  <c r="F418" i="1"/>
  <c r="F389"/>
  <c r="U28"/>
  <c r="U31" s="1"/>
  <c r="O28"/>
  <c r="O31" s="1"/>
  <c r="M7"/>
  <c r="M10" s="1"/>
  <c r="M102" s="1"/>
  <c r="K28"/>
  <c r="K31" s="1"/>
  <c r="K213" s="1"/>
  <c r="J28"/>
  <c r="J31" s="1"/>
  <c r="G28"/>
  <c r="G31" s="1"/>
  <c r="R7"/>
  <c r="R10" s="1"/>
  <c r="Q7"/>
  <c r="Q10" s="1"/>
  <c r="Q102" s="1"/>
  <c r="F10"/>
  <c r="I28"/>
  <c r="I7"/>
  <c r="I10" s="1"/>
  <c r="I102" s="1"/>
  <c r="F108"/>
  <c r="N28"/>
  <c r="N31" s="1"/>
  <c r="L7"/>
  <c r="L10" s="1"/>
  <c r="F179"/>
  <c r="M28"/>
  <c r="M31" s="1"/>
  <c r="M628" s="1"/>
  <c r="I531" i="4"/>
  <c r="F246" i="1"/>
  <c r="F592" i="4"/>
  <c r="F593" s="1"/>
  <c r="G584"/>
  <c r="G585" s="1"/>
  <c r="J41" i="27"/>
  <c r="G531" i="4"/>
  <c r="G626" i="1"/>
  <c r="R638"/>
  <c r="R200" s="1"/>
  <c r="I594"/>
  <c r="K10"/>
  <c r="F471" i="4"/>
  <c r="U591"/>
  <c r="U592"/>
  <c r="G593"/>
  <c r="F591"/>
  <c r="I590"/>
  <c r="H590"/>
  <c r="G590"/>
  <c r="H584"/>
  <c r="H585" s="1"/>
  <c r="H531"/>
  <c r="K467"/>
  <c r="K504"/>
  <c r="N504"/>
  <c r="T504"/>
  <c r="J531"/>
  <c r="I584"/>
  <c r="I585" s="1"/>
  <c r="M531"/>
  <c r="Q594" i="1"/>
  <c r="Q635" s="1"/>
  <c r="G10"/>
  <c r="G625" s="1"/>
  <c r="N638"/>
  <c r="N110" s="1"/>
  <c r="M428"/>
  <c r="T638"/>
  <c r="T369" s="1"/>
  <c r="J638"/>
  <c r="J200" s="1"/>
  <c r="G594"/>
  <c r="G635" s="1"/>
  <c r="O594"/>
  <c r="U10"/>
  <c r="N594"/>
  <c r="J10"/>
  <c r="H638"/>
  <c r="H372" s="1"/>
  <c r="M594"/>
  <c r="M635" s="1"/>
  <c r="L31"/>
  <c r="L213" s="1"/>
  <c r="Q256"/>
  <c r="Q428"/>
  <c r="K256"/>
  <c r="W377"/>
  <c r="X377" s="1"/>
  <c r="I637"/>
  <c r="I167" s="1"/>
  <c r="I176" s="1"/>
  <c r="M636"/>
  <c r="M320" s="1"/>
  <c r="M333" s="1"/>
  <c r="K428"/>
  <c r="K637"/>
  <c r="Q637"/>
  <c r="Q339" s="1"/>
  <c r="Q348" s="1"/>
  <c r="Q636"/>
  <c r="Q148" s="1"/>
  <c r="Q161" s="1"/>
  <c r="I256"/>
  <c r="M638"/>
  <c r="M369" s="1"/>
  <c r="V626"/>
  <c r="V638"/>
  <c r="V200" s="1"/>
  <c r="P638"/>
  <c r="P369" s="1"/>
  <c r="O636"/>
  <c r="O148" s="1"/>
  <c r="O161" s="1"/>
  <c r="N256"/>
  <c r="L594"/>
  <c r="L637"/>
  <c r="L339" s="1"/>
  <c r="L348" s="1"/>
  <c r="L636"/>
  <c r="L320" s="1"/>
  <c r="L333" s="1"/>
  <c r="H594"/>
  <c r="H635" s="1"/>
  <c r="N626"/>
  <c r="L638"/>
  <c r="L110" s="1"/>
  <c r="G638"/>
  <c r="G372" s="1"/>
  <c r="P594"/>
  <c r="P635" s="1"/>
  <c r="J594"/>
  <c r="W22"/>
  <c r="X22" s="1"/>
  <c r="J636"/>
  <c r="J320" s="1"/>
  <c r="J333" s="1"/>
  <c r="H428"/>
  <c r="W327"/>
  <c r="X327" s="1"/>
  <c r="R256"/>
  <c r="R428"/>
  <c r="Q31"/>
  <c r="Q213" s="1"/>
  <c r="I428"/>
  <c r="W361"/>
  <c r="X361" s="1"/>
  <c r="T637"/>
  <c r="T339" s="1"/>
  <c r="T348" s="1"/>
  <c r="T636"/>
  <c r="H256"/>
  <c r="W171"/>
  <c r="X171" s="1"/>
  <c r="H637"/>
  <c r="H339" s="1"/>
  <c r="H348" s="1"/>
  <c r="H636"/>
  <c r="H148" s="1"/>
  <c r="H161" s="1"/>
  <c r="G256"/>
  <c r="G428"/>
  <c r="G637"/>
  <c r="R637"/>
  <c r="R339" s="1"/>
  <c r="R348" s="1"/>
  <c r="I636"/>
  <c r="I320" s="1"/>
  <c r="I333" s="1"/>
  <c r="I104"/>
  <c r="P256"/>
  <c r="J256"/>
  <c r="J428"/>
  <c r="J637"/>
  <c r="J167" s="1"/>
  <c r="J176" s="1"/>
  <c r="W8"/>
  <c r="X8" s="1"/>
  <c r="W409"/>
  <c r="X409" s="1"/>
  <c r="W210"/>
  <c r="X210" s="1"/>
  <c r="W202"/>
  <c r="X202" s="1"/>
  <c r="W172"/>
  <c r="X172" s="1"/>
  <c r="W159"/>
  <c r="X159" s="1"/>
  <c r="G636"/>
  <c r="R636"/>
  <c r="R148" s="1"/>
  <c r="R161" s="1"/>
  <c r="W55"/>
  <c r="X55" s="1"/>
  <c r="W173"/>
  <c r="X173" s="1"/>
  <c r="H10"/>
  <c r="H102" s="1"/>
  <c r="S594"/>
  <c r="S635" s="1"/>
  <c r="W151"/>
  <c r="X151" s="1"/>
  <c r="N636"/>
  <c r="N148" s="1"/>
  <c r="N161" s="1"/>
  <c r="M637"/>
  <c r="M339" s="1"/>
  <c r="M348" s="1"/>
  <c r="R31"/>
  <c r="R58" s="1"/>
  <c r="L256"/>
  <c r="K594"/>
  <c r="K635" s="1"/>
  <c r="W343"/>
  <c r="X343" s="1"/>
  <c r="K636"/>
  <c r="K148" s="1"/>
  <c r="K161" s="1"/>
  <c r="N475" i="4"/>
  <c r="K41" i="27"/>
  <c r="M41"/>
  <c r="G189" i="1"/>
  <c r="L189"/>
  <c r="P189"/>
  <c r="R594"/>
  <c r="V474" i="4"/>
  <c r="G493" i="1"/>
  <c r="W149"/>
  <c r="X149" s="1"/>
  <c r="U636"/>
  <c r="U320" s="1"/>
  <c r="U333" s="1"/>
  <c r="T626"/>
  <c r="T594"/>
  <c r="V31"/>
  <c r="V628" s="1"/>
  <c r="S256"/>
  <c r="S428"/>
  <c r="W426"/>
  <c r="X426" s="1"/>
  <c r="W422"/>
  <c r="X422" s="1"/>
  <c r="W380"/>
  <c r="X380" s="1"/>
  <c r="W208"/>
  <c r="X208" s="1"/>
  <c r="W196"/>
  <c r="X196" s="1"/>
  <c r="W342"/>
  <c r="X342" s="1"/>
  <c r="W169"/>
  <c r="X169" s="1"/>
  <c r="W321"/>
  <c r="X321" s="1"/>
  <c r="W36"/>
  <c r="X36" s="1"/>
  <c r="W16"/>
  <c r="X16" s="1"/>
  <c r="W491"/>
  <c r="X491" s="1"/>
  <c r="U594"/>
  <c r="U635" s="1"/>
  <c r="U626"/>
  <c r="L493"/>
  <c r="G514"/>
  <c r="V637"/>
  <c r="V167" s="1"/>
  <c r="V176" s="1"/>
  <c r="V636"/>
  <c r="V148" s="1"/>
  <c r="V161" s="1"/>
  <c r="U256"/>
  <c r="U428"/>
  <c r="W205"/>
  <c r="X205" s="1"/>
  <c r="W17"/>
  <c r="X17" s="1"/>
  <c r="S31"/>
  <c r="S623" s="1"/>
  <c r="O256"/>
  <c r="W253"/>
  <c r="X253" s="1"/>
  <c r="W425"/>
  <c r="X425" s="1"/>
  <c r="O428"/>
  <c r="W237"/>
  <c r="X237" s="1"/>
  <c r="P428"/>
  <c r="P637"/>
  <c r="P339" s="1"/>
  <c r="P348" s="1"/>
  <c r="W325"/>
  <c r="X325" s="1"/>
  <c r="P636"/>
  <c r="P320" s="1"/>
  <c r="P333" s="1"/>
  <c r="W413"/>
  <c r="X413" s="1"/>
  <c r="W241"/>
  <c r="X241" s="1"/>
  <c r="W383"/>
  <c r="X383" s="1"/>
  <c r="W379"/>
  <c r="X379" s="1"/>
  <c r="W375"/>
  <c r="X375" s="1"/>
  <c r="W370"/>
  <c r="X370" s="1"/>
  <c r="W21"/>
  <c r="X21" s="1"/>
  <c r="W194"/>
  <c r="X194" s="1"/>
  <c r="W344"/>
  <c r="X344" s="1"/>
  <c r="W340"/>
  <c r="X340" s="1"/>
  <c r="W331"/>
  <c r="X331" s="1"/>
  <c r="W323"/>
  <c r="X323" s="1"/>
  <c r="W154"/>
  <c r="X154" s="1"/>
  <c r="W150"/>
  <c r="X150" s="1"/>
  <c r="W254"/>
  <c r="X254" s="1"/>
  <c r="W250"/>
  <c r="X250" s="1"/>
  <c r="W410"/>
  <c r="X410" s="1"/>
  <c r="W238"/>
  <c r="X238" s="1"/>
  <c r="W376"/>
  <c r="X376" s="1"/>
  <c r="W371"/>
  <c r="X371" s="1"/>
  <c r="W366"/>
  <c r="X366" s="1"/>
  <c r="W211"/>
  <c r="X211" s="1"/>
  <c r="W195"/>
  <c r="X195" s="1"/>
  <c r="W345"/>
  <c r="X345" s="1"/>
  <c r="W168"/>
  <c r="X168" s="1"/>
  <c r="W328"/>
  <c r="X328" s="1"/>
  <c r="W431"/>
  <c r="X431" s="1"/>
  <c r="W407"/>
  <c r="X407" s="1"/>
  <c r="W251"/>
  <c r="X251" s="1"/>
  <c r="T256"/>
  <c r="T31"/>
  <c r="T414" s="1"/>
  <c r="U637"/>
  <c r="U167" s="1"/>
  <c r="U176" s="1"/>
  <c r="W201"/>
  <c r="X201" s="1"/>
  <c r="W18"/>
  <c r="X18" s="1"/>
  <c r="W234"/>
  <c r="X234" s="1"/>
  <c r="N428"/>
  <c r="W406"/>
  <c r="X406" s="1"/>
  <c r="W25"/>
  <c r="X25" s="1"/>
  <c r="W20"/>
  <c r="X20" s="1"/>
  <c r="W207"/>
  <c r="X207" s="1"/>
  <c r="W341"/>
  <c r="X341" s="1"/>
  <c r="N637"/>
  <c r="N339" s="1"/>
  <c r="N348" s="1"/>
  <c r="W324"/>
  <c r="X324" s="1"/>
  <c r="W57"/>
  <c r="X57" s="1"/>
  <c r="W259"/>
  <c r="X259" s="1"/>
  <c r="W423"/>
  <c r="X423" s="1"/>
  <c r="W411"/>
  <c r="X411" s="1"/>
  <c r="W239"/>
  <c r="X239" s="1"/>
  <c r="W381"/>
  <c r="X381" s="1"/>
  <c r="W373"/>
  <c r="X373" s="1"/>
  <c r="W26"/>
  <c r="X26" s="1"/>
  <c r="W204"/>
  <c r="X204" s="1"/>
  <c r="W199"/>
  <c r="X199" s="1"/>
  <c r="W346"/>
  <c r="X346" s="1"/>
  <c r="W329"/>
  <c r="X329" s="1"/>
  <c r="W156"/>
  <c r="X156" s="1"/>
  <c r="W262"/>
  <c r="X262" s="1"/>
  <c r="W240"/>
  <c r="X240" s="1"/>
  <c r="G583" i="4"/>
  <c r="L41" i="27" s="1"/>
  <c r="F478" i="4"/>
  <c r="F480"/>
  <c r="U625"/>
  <c r="V625"/>
  <c r="V624"/>
  <c r="K466"/>
  <c r="H316" i="1"/>
  <c r="M104"/>
  <c r="H104"/>
  <c r="K104"/>
  <c r="T493"/>
  <c r="L531" i="4"/>
  <c r="H189" i="1"/>
  <c r="M189"/>
  <c r="R189"/>
  <c r="I189"/>
  <c r="N189"/>
  <c r="S189"/>
  <c r="F217"/>
  <c r="J189"/>
  <c r="O189"/>
  <c r="F630" i="4"/>
  <c r="R509" s="1"/>
  <c r="F529"/>
  <c r="I581"/>
  <c r="G581"/>
  <c r="H581"/>
  <c r="F584"/>
  <c r="F585" s="1"/>
  <c r="F531"/>
  <c r="T469"/>
  <c r="T471" s="1"/>
  <c r="T480" s="1"/>
  <c r="K469"/>
  <c r="S469"/>
  <c r="S471" s="1"/>
  <c r="R469"/>
  <c r="R471" s="1"/>
  <c r="R480" s="1"/>
  <c r="R562" s="1"/>
  <c r="R564" s="1"/>
  <c r="N469"/>
  <c r="N471" s="1"/>
  <c r="V627"/>
  <c r="U514" i="1"/>
  <c r="W503"/>
  <c r="X503" s="1"/>
  <c r="W499"/>
  <c r="X499" s="1"/>
  <c r="W490"/>
  <c r="X490" s="1"/>
  <c r="R493"/>
  <c r="W13"/>
  <c r="X13" s="1"/>
  <c r="R514"/>
  <c r="U602" i="4"/>
  <c r="F602" s="1"/>
  <c r="G601"/>
  <c r="U580"/>
  <c r="V580" s="1"/>
  <c r="L584"/>
  <c r="L585" s="1"/>
  <c r="T514" i="1"/>
  <c r="W516"/>
  <c r="X516" s="1"/>
  <c r="W496"/>
  <c r="X496" s="1"/>
  <c r="M493"/>
  <c r="V561" i="4"/>
  <c r="U582"/>
  <c r="F582"/>
  <c r="H583"/>
  <c r="F351" i="1"/>
  <c r="F643" s="1"/>
  <c r="K493"/>
  <c r="S10"/>
  <c r="V256"/>
  <c r="I638"/>
  <c r="I110" s="1"/>
  <c r="Q493"/>
  <c r="O493"/>
  <c r="N493"/>
  <c r="V10"/>
  <c r="V102" s="1"/>
  <c r="T10"/>
  <c r="T625" s="1"/>
  <c r="S638"/>
  <c r="S369" s="1"/>
  <c r="O638"/>
  <c r="O372" s="1"/>
  <c r="N10"/>
  <c r="O10"/>
  <c r="O102" s="1"/>
  <c r="Q638"/>
  <c r="Q372" s="1"/>
  <c r="V493"/>
  <c r="U493"/>
  <c r="S493"/>
  <c r="I493"/>
  <c r="H493"/>
  <c r="P10"/>
  <c r="S514"/>
  <c r="P493"/>
  <c r="J493"/>
  <c r="W209"/>
  <c r="X209" s="1"/>
  <c r="W203"/>
  <c r="X203" s="1"/>
  <c r="W198"/>
  <c r="X198" s="1"/>
  <c r="U638"/>
  <c r="U200" s="1"/>
  <c r="W170"/>
  <c r="X170" s="1"/>
  <c r="W326"/>
  <c r="X326" s="1"/>
  <c r="W322"/>
  <c r="X322" s="1"/>
  <c r="W157"/>
  <c r="X157" s="1"/>
  <c r="T428"/>
  <c r="W330"/>
  <c r="X330" s="1"/>
  <c r="W155"/>
  <c r="X155" s="1"/>
  <c r="W367"/>
  <c r="X367" s="1"/>
  <c r="S636"/>
  <c r="S148" s="1"/>
  <c r="S161" s="1"/>
  <c r="W19"/>
  <c r="X19" s="1"/>
  <c r="P31"/>
  <c r="P384" s="1"/>
  <c r="O637"/>
  <c r="O339" s="1"/>
  <c r="O348" s="1"/>
  <c r="W252"/>
  <c r="X252" s="1"/>
  <c r="W424"/>
  <c r="X424" s="1"/>
  <c r="L428"/>
  <c r="K638"/>
  <c r="K372" s="1"/>
  <c r="W504"/>
  <c r="X504" s="1"/>
  <c r="V428"/>
  <c r="W27"/>
  <c r="X27" s="1"/>
  <c r="W23"/>
  <c r="X23" s="1"/>
  <c r="W56"/>
  <c r="X56" s="1"/>
  <c r="W434"/>
  <c r="X434" s="1"/>
  <c r="W412"/>
  <c r="X412" s="1"/>
  <c r="W408"/>
  <c r="X408" s="1"/>
  <c r="W236"/>
  <c r="X236" s="1"/>
  <c r="W382"/>
  <c r="X382" s="1"/>
  <c r="W378"/>
  <c r="X378" s="1"/>
  <c r="W374"/>
  <c r="X374" s="1"/>
  <c r="W368"/>
  <c r="X368" s="1"/>
  <c r="W206"/>
  <c r="X206" s="1"/>
  <c r="S637"/>
  <c r="S167" s="1"/>
  <c r="S176" s="1"/>
  <c r="M256"/>
  <c r="V594"/>
  <c r="W174"/>
  <c r="X174" s="1"/>
  <c r="W153"/>
  <c r="X153" s="1"/>
  <c r="S104"/>
  <c r="R104"/>
  <c r="N104"/>
  <c r="T104"/>
  <c r="P104"/>
  <c r="O104"/>
  <c r="V104"/>
  <c r="Q104"/>
  <c r="U104"/>
  <c r="W508"/>
  <c r="X508" s="1"/>
  <c r="G316"/>
  <c r="W639"/>
  <c r="X639" s="1"/>
  <c r="G144"/>
  <c r="W644"/>
  <c r="X644" s="1"/>
  <c r="K475" i="4"/>
  <c r="S504"/>
  <c r="R504"/>
  <c r="J58" i="1"/>
  <c r="L414"/>
  <c r="R167"/>
  <c r="R176" s="1"/>
  <c r="M372"/>
  <c r="G110"/>
  <c r="L242"/>
  <c r="L641" s="1"/>
  <c r="J197"/>
  <c r="U384"/>
  <c r="U212"/>
  <c r="U628"/>
  <c r="O242"/>
  <c r="O641" s="1"/>
  <c r="O233" s="1"/>
  <c r="O244" s="1"/>
  <c r="O623"/>
  <c r="O212"/>
  <c r="Q384"/>
  <c r="N514"/>
  <c r="I625"/>
  <c r="Q33"/>
  <c r="L148"/>
  <c r="L161" s="1"/>
  <c r="T197"/>
  <c r="J369"/>
  <c r="H144"/>
  <c r="O514" l="1"/>
  <c r="M148"/>
  <c r="M161" s="1"/>
  <c r="Q320"/>
  <c r="Q333" s="1"/>
  <c r="M167"/>
  <c r="M176" s="1"/>
  <c r="V110"/>
  <c r="O414"/>
  <c r="U623"/>
  <c r="P514"/>
  <c r="W123"/>
  <c r="X123" s="1"/>
  <c r="J372"/>
  <c r="U242"/>
  <c r="U641" s="1"/>
  <c r="U385"/>
  <c r="L58"/>
  <c r="L384"/>
  <c r="L212"/>
  <c r="U58"/>
  <c r="T167"/>
  <c r="T176" s="1"/>
  <c r="G369"/>
  <c r="G102"/>
  <c r="W510"/>
  <c r="X510" s="1"/>
  <c r="W506"/>
  <c r="X506" s="1"/>
  <c r="W502"/>
  <c r="X502" s="1"/>
  <c r="U33"/>
  <c r="Q625"/>
  <c r="S628"/>
  <c r="M212"/>
  <c r="N478" i="4"/>
  <c r="R212" i="1"/>
  <c r="J514"/>
  <c r="K212"/>
  <c r="L200"/>
  <c r="W103"/>
  <c r="X103" s="1"/>
  <c r="H197"/>
  <c r="M33"/>
  <c r="W501"/>
  <c r="X501" s="1"/>
  <c r="J628"/>
  <c r="W507"/>
  <c r="X507" s="1"/>
  <c r="M625"/>
  <c r="W500"/>
  <c r="X500" s="1"/>
  <c r="U148"/>
  <c r="U161" s="1"/>
  <c r="H625"/>
  <c r="H200"/>
  <c r="M41" i="31"/>
  <c r="I41"/>
  <c r="L41"/>
  <c r="S197" i="1"/>
  <c r="U584" i="4"/>
  <c r="V596"/>
  <c r="F619"/>
  <c r="R369" i="1"/>
  <c r="V623"/>
  <c r="I514"/>
  <c r="S414"/>
  <c r="O213"/>
  <c r="O384"/>
  <c r="M414"/>
  <c r="M623"/>
  <c r="H320"/>
  <c r="H333" s="1"/>
  <c r="W7"/>
  <c r="X7" s="1"/>
  <c r="S509" i="4"/>
  <c r="Q628" i="1"/>
  <c r="V635"/>
  <c r="P414"/>
  <c r="N200"/>
  <c r="S480" i="4"/>
  <c r="T635" i="1"/>
  <c r="R635"/>
  <c r="J635"/>
  <c r="L635"/>
  <c r="N635"/>
  <c r="O635"/>
  <c r="V591" i="4"/>
  <c r="I635" i="1"/>
  <c r="F642"/>
  <c r="J384"/>
  <c r="U414"/>
  <c r="W512"/>
  <c r="X512" s="1"/>
  <c r="I597" i="4"/>
  <c r="F597" s="1"/>
  <c r="E41" i="30"/>
  <c r="H31" i="1"/>
  <c r="H384" s="1"/>
  <c r="U583" i="4"/>
  <c r="L41" i="29"/>
  <c r="H597" i="4"/>
  <c r="E41" i="29"/>
  <c r="J597" i="4"/>
  <c r="E41" i="31"/>
  <c r="V213" i="1"/>
  <c r="V384"/>
  <c r="S213"/>
  <c r="H351"/>
  <c r="O320"/>
  <c r="O333" s="1"/>
  <c r="J148"/>
  <c r="J161" s="1"/>
  <c r="T212"/>
  <c r="S384"/>
  <c r="H167"/>
  <c r="H176" s="1"/>
  <c r="F292"/>
  <c r="P102"/>
  <c r="N102"/>
  <c r="V625"/>
  <c r="S102"/>
  <c r="F464"/>
  <c r="V582" i="4"/>
  <c r="V592"/>
  <c r="K102" i="1"/>
  <c r="U619" i="4"/>
  <c r="V619" s="1"/>
  <c r="W29" i="1"/>
  <c r="X29" s="1"/>
  <c r="U601" i="4"/>
  <c r="F583"/>
  <c r="V583" s="1"/>
  <c r="G566"/>
  <c r="G504"/>
  <c r="G475"/>
  <c r="G466"/>
  <c r="G529" s="1"/>
  <c r="G467"/>
  <c r="H2"/>
  <c r="H476" s="1"/>
  <c r="G477"/>
  <c r="G468"/>
  <c r="G495"/>
  <c r="G469"/>
  <c r="U593"/>
  <c r="V593" s="1"/>
  <c r="F601"/>
  <c r="K565" s="1"/>
  <c r="V602"/>
  <c r="U585"/>
  <c r="V585" s="1"/>
  <c r="T509"/>
  <c r="V584"/>
  <c r="S562"/>
  <c r="S564" s="1"/>
  <c r="T562"/>
  <c r="T564" s="1"/>
  <c r="J102" i="1"/>
  <c r="U625"/>
  <c r="M58"/>
  <c r="I31"/>
  <c r="K384"/>
  <c r="O58"/>
  <c r="K478" i="4"/>
  <c r="T33" i="1"/>
  <c r="N320"/>
  <c r="N333" s="1"/>
  <c r="R414"/>
  <c r="O625"/>
  <c r="R213"/>
  <c r="J414"/>
  <c r="V369"/>
  <c r="J110"/>
  <c r="Q369"/>
  <c r="P628"/>
  <c r="P625"/>
  <c r="P58"/>
  <c r="O628"/>
  <c r="L369"/>
  <c r="I148"/>
  <c r="I161" s="1"/>
  <c r="I179" s="1"/>
  <c r="U339"/>
  <c r="U348" s="1"/>
  <c r="U351" s="1"/>
  <c r="S339"/>
  <c r="S348" s="1"/>
  <c r="W144"/>
  <c r="X144" s="1"/>
  <c r="O33"/>
  <c r="O197"/>
  <c r="O640" s="1"/>
  <c r="O365" s="1"/>
  <c r="G478" i="4"/>
  <c r="W316" i="1"/>
  <c r="X316" s="1"/>
  <c r="S212"/>
  <c r="P372"/>
  <c r="H385"/>
  <c r="L167"/>
  <c r="L176" s="1"/>
  <c r="L179" s="1"/>
  <c r="M514"/>
  <c r="Q200"/>
  <c r="S625"/>
  <c r="S200"/>
  <c r="P33"/>
  <c r="S372"/>
  <c r="U213"/>
  <c r="J242"/>
  <c r="J641" s="1"/>
  <c r="H110"/>
  <c r="W24"/>
  <c r="X24" s="1"/>
  <c r="W158"/>
  <c r="X158" s="1"/>
  <c r="W152"/>
  <c r="X152" s="1"/>
  <c r="I369"/>
  <c r="S33"/>
  <c r="K320"/>
  <c r="K333" s="1"/>
  <c r="S110"/>
  <c r="J339"/>
  <c r="J348" s="1"/>
  <c r="P242"/>
  <c r="P641" s="1"/>
  <c r="P233" s="1"/>
  <c r="P244" s="1"/>
  <c r="P213"/>
  <c r="T385"/>
  <c r="R385"/>
  <c r="P385"/>
  <c r="P212"/>
  <c r="P167"/>
  <c r="P176" s="1"/>
  <c r="R320"/>
  <c r="R333" s="1"/>
  <c r="R351" s="1"/>
  <c r="J623"/>
  <c r="J385"/>
  <c r="J213"/>
  <c r="V197"/>
  <c r="H369"/>
  <c r="V372"/>
  <c r="W256"/>
  <c r="X256" s="1"/>
  <c r="O351"/>
  <c r="K471" i="4"/>
  <c r="K480" s="1"/>
  <c r="Q110" i="1"/>
  <c r="W594"/>
  <c r="X594" s="1"/>
  <c r="K110"/>
  <c r="T213"/>
  <c r="T58"/>
  <c r="P148"/>
  <c r="P161" s="1"/>
  <c r="O110"/>
  <c r="K414"/>
  <c r="R625"/>
  <c r="W235"/>
  <c r="X235" s="1"/>
  <c r="M179"/>
  <c r="W493"/>
  <c r="X493" s="1"/>
  <c r="W428"/>
  <c r="X428" s="1"/>
  <c r="W189"/>
  <c r="X189" s="1"/>
  <c r="W104"/>
  <c r="X104" s="1"/>
  <c r="V514"/>
  <c r="W637"/>
  <c r="X637" s="1"/>
  <c r="T102"/>
  <c r="Q197"/>
  <c r="O405"/>
  <c r="O416" s="1"/>
  <c r="O200"/>
  <c r="K200"/>
  <c r="K197"/>
  <c r="W636"/>
  <c r="X636" s="1"/>
  <c r="T623"/>
  <c r="O369"/>
  <c r="R384"/>
  <c r="R628"/>
  <c r="T628"/>
  <c r="W638"/>
  <c r="Y638" s="1"/>
  <c r="V320"/>
  <c r="V333" s="1"/>
  <c r="T384"/>
  <c r="O167"/>
  <c r="O176" s="1"/>
  <c r="U110"/>
  <c r="U197"/>
  <c r="U640" s="1"/>
  <c r="U365" s="1"/>
  <c r="R242"/>
  <c r="R641" s="1"/>
  <c r="R405" s="1"/>
  <c r="R416" s="1"/>
  <c r="K628"/>
  <c r="M213"/>
  <c r="R623"/>
  <c r="N480" i="4"/>
  <c r="N562" s="1"/>
  <c r="N564" s="1"/>
  <c r="G33" i="1"/>
  <c r="G385"/>
  <c r="G213"/>
  <c r="G58"/>
  <c r="G628"/>
  <c r="G623"/>
  <c r="G212"/>
  <c r="P405"/>
  <c r="P416" s="1"/>
  <c r="K369"/>
  <c r="U369"/>
  <c r="U372"/>
  <c r="I200"/>
  <c r="I197"/>
  <c r="N625"/>
  <c r="I372"/>
  <c r="V339"/>
  <c r="V348" s="1"/>
  <c r="J33"/>
  <c r="S385"/>
  <c r="N372"/>
  <c r="P197"/>
  <c r="W28"/>
  <c r="X28" s="1"/>
  <c r="S242"/>
  <c r="S641" s="1"/>
  <c r="S405" s="1"/>
  <c r="S416" s="1"/>
  <c r="V33"/>
  <c r="U102"/>
  <c r="P110"/>
  <c r="P200"/>
  <c r="N197"/>
  <c r="I339"/>
  <c r="I348" s="1"/>
  <c r="I351" s="1"/>
  <c r="S58"/>
  <c r="N369"/>
  <c r="V179"/>
  <c r="H514"/>
  <c r="Q514"/>
  <c r="J179"/>
  <c r="Y594"/>
  <c r="U179"/>
  <c r="X638"/>
  <c r="N351"/>
  <c r="P179"/>
  <c r="S320"/>
  <c r="S333" s="1"/>
  <c r="S351" s="1"/>
  <c r="P623"/>
  <c r="T242"/>
  <c r="T641" s="1"/>
  <c r="T233" s="1"/>
  <c r="T244" s="1"/>
  <c r="N167"/>
  <c r="N176" s="1"/>
  <c r="N179" s="1"/>
  <c r="Q167"/>
  <c r="Q176" s="1"/>
  <c r="Q179" s="1"/>
  <c r="M351"/>
  <c r="O385"/>
  <c r="H179"/>
  <c r="S179"/>
  <c r="J351"/>
  <c r="W635"/>
  <c r="X635" s="1"/>
  <c r="S233"/>
  <c r="S244" s="1"/>
  <c r="L33"/>
  <c r="L625"/>
  <c r="L102"/>
  <c r="W10"/>
  <c r="U233"/>
  <c r="U244" s="1"/>
  <c r="U405"/>
  <c r="U416" s="1"/>
  <c r="L405"/>
  <c r="L416" s="1"/>
  <c r="L233"/>
  <c r="L244" s="1"/>
  <c r="N213"/>
  <c r="N385"/>
  <c r="N623"/>
  <c r="N414"/>
  <c r="N58"/>
  <c r="N242"/>
  <c r="N641" s="1"/>
  <c r="N212"/>
  <c r="W31"/>
  <c r="X31" s="1"/>
  <c r="W626"/>
  <c r="X626" s="1"/>
  <c r="Q351"/>
  <c r="O179"/>
  <c r="P351"/>
  <c r="W509"/>
  <c r="X509" s="1"/>
  <c r="W505"/>
  <c r="W511"/>
  <c r="X511" s="1"/>
  <c r="R179"/>
  <c r="J405"/>
  <c r="J416" s="1"/>
  <c r="J233"/>
  <c r="J244" s="1"/>
  <c r="S640"/>
  <c r="S365" s="1"/>
  <c r="T148"/>
  <c r="T161" s="1"/>
  <c r="T179" s="1"/>
  <c r="T320"/>
  <c r="T333" s="1"/>
  <c r="T351" s="1"/>
  <c r="Q58"/>
  <c r="Q242"/>
  <c r="Q641" s="1"/>
  <c r="Q414"/>
  <c r="Q212"/>
  <c r="Q640" s="1"/>
  <c r="Q365" s="1"/>
  <c r="Q385"/>
  <c r="Q623"/>
  <c r="G200"/>
  <c r="G197"/>
  <c r="M197"/>
  <c r="M110"/>
  <c r="M200"/>
  <c r="R110"/>
  <c r="R372"/>
  <c r="R197"/>
  <c r="R640" s="1"/>
  <c r="R365" s="1"/>
  <c r="F33"/>
  <c r="J625"/>
  <c r="K625"/>
  <c r="R102"/>
  <c r="R33"/>
  <c r="G242"/>
  <c r="G384"/>
  <c r="G414"/>
  <c r="K33"/>
  <c r="K58"/>
  <c r="K242"/>
  <c r="K641" s="1"/>
  <c r="K385"/>
  <c r="K623"/>
  <c r="L351"/>
  <c r="J212"/>
  <c r="V242"/>
  <c r="V641" s="1"/>
  <c r="V414"/>
  <c r="V212"/>
  <c r="V640" s="1"/>
  <c r="V365" s="1"/>
  <c r="V385"/>
  <c r="V58"/>
  <c r="G148"/>
  <c r="G320"/>
  <c r="G339"/>
  <c r="G167"/>
  <c r="H242"/>
  <c r="H641" s="1"/>
  <c r="H628"/>
  <c r="L197"/>
  <c r="L640" s="1"/>
  <c r="L365" s="1"/>
  <c r="L372"/>
  <c r="K167"/>
  <c r="K176" s="1"/>
  <c r="K179" s="1"/>
  <c r="K339"/>
  <c r="K348" s="1"/>
  <c r="K351" s="1"/>
  <c r="L385"/>
  <c r="L623"/>
  <c r="L628"/>
  <c r="T110"/>
  <c r="T200"/>
  <c r="T372"/>
  <c r="M385"/>
  <c r="M242"/>
  <c r="M641" s="1"/>
  <c r="M384"/>
  <c r="N33"/>
  <c r="N384"/>
  <c r="N628"/>
  <c r="T640" l="1"/>
  <c r="T365" s="1"/>
  <c r="R233"/>
  <c r="R244" s="1"/>
  <c r="W369"/>
  <c r="X369" s="1"/>
  <c r="S520"/>
  <c r="S39"/>
  <c r="S106" s="1"/>
  <c r="G471" i="4"/>
  <c r="G480" s="1"/>
  <c r="C9" i="28" s="1"/>
  <c r="H623" i="1"/>
  <c r="N640"/>
  <c r="N365" s="1"/>
  <c r="N387" s="1"/>
  <c r="T405"/>
  <c r="T416" s="1"/>
  <c r="H58"/>
  <c r="P640"/>
  <c r="P365" s="1"/>
  <c r="P387" s="1"/>
  <c r="H414"/>
  <c r="U597" i="4"/>
  <c r="G518" i="1"/>
  <c r="S129"/>
  <c r="S38"/>
  <c r="S130"/>
  <c r="S387"/>
  <c r="H213"/>
  <c r="H212"/>
  <c r="H33"/>
  <c r="G41" i="31"/>
  <c r="H41" s="1"/>
  <c r="F41"/>
  <c r="F41" i="29"/>
  <c r="G41"/>
  <c r="H41" s="1"/>
  <c r="V597" i="4"/>
  <c r="G41" i="30"/>
  <c r="H41" s="1"/>
  <c r="F41"/>
  <c r="I384" i="1"/>
  <c r="I242"/>
  <c r="I641" s="1"/>
  <c r="I212"/>
  <c r="I213"/>
  <c r="I33"/>
  <c r="I414"/>
  <c r="I385"/>
  <c r="I628"/>
  <c r="I58"/>
  <c r="I623"/>
  <c r="S565" i="4"/>
  <c r="V601"/>
  <c r="T565"/>
  <c r="R565"/>
  <c r="N565"/>
  <c r="V351" i="1"/>
  <c r="G565" i="4"/>
  <c r="U586"/>
  <c r="H495"/>
  <c r="H504"/>
  <c r="I2"/>
  <c r="I476" s="1"/>
  <c r="H469"/>
  <c r="H467"/>
  <c r="H566"/>
  <c r="H565"/>
  <c r="H466"/>
  <c r="H477"/>
  <c r="H468"/>
  <c r="H475"/>
  <c r="U387" i="1"/>
  <c r="U389" s="1"/>
  <c r="K640"/>
  <c r="K365" s="1"/>
  <c r="K387" s="1"/>
  <c r="K389" s="1"/>
  <c r="O387"/>
  <c r="G562" i="4"/>
  <c r="N37" i="27" s="1"/>
  <c r="P418" i="1"/>
  <c r="P643" s="1"/>
  <c r="P389"/>
  <c r="X505"/>
  <c r="W514"/>
  <c r="X514" s="1"/>
  <c r="C13" i="28"/>
  <c r="K562" i="4"/>
  <c r="K564" s="1"/>
  <c r="N405" i="1"/>
  <c r="N416" s="1"/>
  <c r="N233"/>
  <c r="N244" s="1"/>
  <c r="W33"/>
  <c r="X10"/>
  <c r="W372"/>
  <c r="X372" s="1"/>
  <c r="V387"/>
  <c r="V389" s="1"/>
  <c r="L117"/>
  <c r="H37"/>
  <c r="H111"/>
  <c r="S112"/>
  <c r="H517"/>
  <c r="H519"/>
  <c r="S518"/>
  <c r="N130"/>
  <c r="N529"/>
  <c r="F304" i="4" s="1"/>
  <c r="N519" i="1"/>
  <c r="N527"/>
  <c r="F260" i="4" s="1"/>
  <c r="N632" i="1"/>
  <c r="N624"/>
  <c r="N60"/>
  <c r="N131"/>
  <c r="N518"/>
  <c r="N38"/>
  <c r="N121"/>
  <c r="N59"/>
  <c r="N39"/>
  <c r="N106" s="1"/>
  <c r="N128"/>
  <c r="N122"/>
  <c r="N520"/>
  <c r="N117"/>
  <c r="N129"/>
  <c r="N37"/>
  <c r="N531"/>
  <c r="F348" i="4" s="1"/>
  <c r="N112" i="1"/>
  <c r="N517"/>
  <c r="N111"/>
  <c r="M233"/>
  <c r="M244" s="1"/>
  <c r="M405"/>
  <c r="M416" s="1"/>
  <c r="H233"/>
  <c r="H244" s="1"/>
  <c r="H405"/>
  <c r="H416" s="1"/>
  <c r="G348"/>
  <c r="W348" s="1"/>
  <c r="X348" s="1"/>
  <c r="W339"/>
  <c r="X339" s="1"/>
  <c r="G161"/>
  <c r="W148"/>
  <c r="X148" s="1"/>
  <c r="J640"/>
  <c r="J365" s="1"/>
  <c r="J387" s="1"/>
  <c r="W212"/>
  <c r="X212" s="1"/>
  <c r="S288"/>
  <c r="S105"/>
  <c r="S108" s="1"/>
  <c r="S627"/>
  <c r="S460"/>
  <c r="W58"/>
  <c r="X58" s="1"/>
  <c r="G641"/>
  <c r="W242"/>
  <c r="X242" s="1"/>
  <c r="W102"/>
  <c r="X102" s="1"/>
  <c r="G640"/>
  <c r="W197"/>
  <c r="X197" s="1"/>
  <c r="Q405"/>
  <c r="Q416" s="1"/>
  <c r="Q233"/>
  <c r="Q244" s="1"/>
  <c r="T387"/>
  <c r="L387"/>
  <c r="S111"/>
  <c r="W414"/>
  <c r="X414" s="1"/>
  <c r="W625"/>
  <c r="X625" s="1"/>
  <c r="R387"/>
  <c r="W110"/>
  <c r="X110" s="1"/>
  <c r="Q387"/>
  <c r="J624"/>
  <c r="V129"/>
  <c r="V59"/>
  <c r="V38"/>
  <c r="V632"/>
  <c r="V128"/>
  <c r="V37"/>
  <c r="V131"/>
  <c r="V531"/>
  <c r="F367" i="4" s="1"/>
  <c r="V122" i="1"/>
  <c r="V39"/>
  <c r="V106" s="1"/>
  <c r="G176"/>
  <c r="W176" s="1"/>
  <c r="X176" s="1"/>
  <c r="W167"/>
  <c r="X167" s="1"/>
  <c r="G333"/>
  <c r="W320"/>
  <c r="X320" s="1"/>
  <c r="V405"/>
  <c r="V416" s="1"/>
  <c r="V418" s="1"/>
  <c r="V233"/>
  <c r="V244" s="1"/>
  <c r="K405"/>
  <c r="K416" s="1"/>
  <c r="K233"/>
  <c r="K244" s="1"/>
  <c r="K130"/>
  <c r="K527"/>
  <c r="F252" i="4" s="1"/>
  <c r="K112" i="1"/>
  <c r="K624"/>
  <c r="K111"/>
  <c r="K121"/>
  <c r="K117"/>
  <c r="K129"/>
  <c r="K531"/>
  <c r="F340" i="4" s="1"/>
  <c r="K38" i="1"/>
  <c r="K518"/>
  <c r="K39"/>
  <c r="K106" s="1"/>
  <c r="K131"/>
  <c r="K37"/>
  <c r="K520"/>
  <c r="K529"/>
  <c r="F296" i="4" s="1"/>
  <c r="K128" i="1"/>
  <c r="K122"/>
  <c r="K60"/>
  <c r="K59"/>
  <c r="K517"/>
  <c r="K519"/>
  <c r="K632"/>
  <c r="R131"/>
  <c r="R60"/>
  <c r="R529"/>
  <c r="F310" i="4" s="1"/>
  <c r="R112" i="1"/>
  <c r="R39"/>
  <c r="R106" s="1"/>
  <c r="R111"/>
  <c r="R531"/>
  <c r="F354" i="4" s="1"/>
  <c r="R37" i="1"/>
  <c r="R59"/>
  <c r="R129"/>
  <c r="R624"/>
  <c r="R632"/>
  <c r="R520"/>
  <c r="R117"/>
  <c r="R518"/>
  <c r="R38"/>
  <c r="R128"/>
  <c r="R517"/>
  <c r="R527"/>
  <c r="F266" i="4" s="1"/>
  <c r="R519" i="1"/>
  <c r="R122"/>
  <c r="R130"/>
  <c r="R121"/>
  <c r="F41"/>
  <c r="J38"/>
  <c r="G38"/>
  <c r="G37"/>
  <c r="G527"/>
  <c r="J129"/>
  <c r="L129"/>
  <c r="G529"/>
  <c r="J39"/>
  <c r="J106" s="1"/>
  <c r="J111"/>
  <c r="J520"/>
  <c r="L121"/>
  <c r="L122"/>
  <c r="G112"/>
  <c r="G131"/>
  <c r="J112"/>
  <c r="J527"/>
  <c r="F248" i="4" s="1"/>
  <c r="J529" i="1"/>
  <c r="F292" i="4" s="1"/>
  <c r="J37" i="1"/>
  <c r="G60"/>
  <c r="L518"/>
  <c r="L529"/>
  <c r="F297" i="4" s="1"/>
  <c r="L111" i="1"/>
  <c r="L128"/>
  <c r="L38"/>
  <c r="L520"/>
  <c r="L59"/>
  <c r="L39"/>
  <c r="L106" s="1"/>
  <c r="G632"/>
  <c r="G624"/>
  <c r="J517"/>
  <c r="J122"/>
  <c r="J117"/>
  <c r="L37"/>
  <c r="G130"/>
  <c r="J130"/>
  <c r="J531"/>
  <c r="F336" i="4" s="1"/>
  <c r="L531" i="1"/>
  <c r="F341" i="4" s="1"/>
  <c r="L632" i="1"/>
  <c r="G129"/>
  <c r="G517"/>
  <c r="J518"/>
  <c r="J128"/>
  <c r="J519"/>
  <c r="J131"/>
  <c r="J59"/>
  <c r="G122"/>
  <c r="L131"/>
  <c r="L527"/>
  <c r="F253" i="4" s="1"/>
  <c r="L519" i="1"/>
  <c r="L130"/>
  <c r="L60"/>
  <c r="L517"/>
  <c r="L112"/>
  <c r="L624"/>
  <c r="G117"/>
  <c r="G39"/>
  <c r="G128"/>
  <c r="P531"/>
  <c r="F352" i="4" s="1"/>
  <c r="P519" i="1"/>
  <c r="P527"/>
  <c r="F264" i="4" s="1"/>
  <c r="P131" i="1"/>
  <c r="G520"/>
  <c r="P624"/>
  <c r="G519"/>
  <c r="G111"/>
  <c r="P129"/>
  <c r="U527"/>
  <c r="F276" i="4" s="1"/>
  <c r="P39" i="1"/>
  <c r="P106" s="1"/>
  <c r="P112"/>
  <c r="P128"/>
  <c r="U531"/>
  <c r="F364" i="4" s="1"/>
  <c r="J632" i="1"/>
  <c r="P518"/>
  <c r="P60"/>
  <c r="P37"/>
  <c r="P117"/>
  <c r="H122"/>
  <c r="H529"/>
  <c r="F287" i="4" s="1"/>
  <c r="H117" i="1"/>
  <c r="H527"/>
  <c r="F243" i="4" s="1"/>
  <c r="H520" i="1"/>
  <c r="S117"/>
  <c r="S527"/>
  <c r="F270" i="4" s="1"/>
  <c r="S59" i="1"/>
  <c r="S531"/>
  <c r="F358" i="4" s="1"/>
  <c r="P111" i="1"/>
  <c r="P121"/>
  <c r="H60"/>
  <c r="H128"/>
  <c r="G531"/>
  <c r="H624"/>
  <c r="S519"/>
  <c r="P130"/>
  <c r="H59"/>
  <c r="H632"/>
  <c r="P59"/>
  <c r="P38"/>
  <c r="U37"/>
  <c r="S517"/>
  <c r="S632"/>
  <c r="V518"/>
  <c r="V111"/>
  <c r="P517"/>
  <c r="P122"/>
  <c r="H131"/>
  <c r="H518"/>
  <c r="S131"/>
  <c r="S121"/>
  <c r="U121"/>
  <c r="U131"/>
  <c r="U38"/>
  <c r="U529"/>
  <c r="F320" i="4" s="1"/>
  <c r="U130" i="1"/>
  <c r="U517"/>
  <c r="U39"/>
  <c r="U106" s="1"/>
  <c r="U111"/>
  <c r="U112"/>
  <c r="U518"/>
  <c r="U60"/>
  <c r="O38"/>
  <c r="O518"/>
  <c r="O529"/>
  <c r="F307" i="4" s="1"/>
  <c r="O131" i="1"/>
  <c r="O59"/>
  <c r="O130"/>
  <c r="O60"/>
  <c r="O117"/>
  <c r="O519"/>
  <c r="O531"/>
  <c r="F351" i="4" s="1"/>
  <c r="O122" i="1"/>
  <c r="O37"/>
  <c r="M117"/>
  <c r="M37"/>
  <c r="M632"/>
  <c r="M122"/>
  <c r="M39"/>
  <c r="M106" s="1"/>
  <c r="M128"/>
  <c r="M519"/>
  <c r="M130"/>
  <c r="M38"/>
  <c r="M111"/>
  <c r="I117"/>
  <c r="I60"/>
  <c r="I38"/>
  <c r="G121"/>
  <c r="S60"/>
  <c r="S529"/>
  <c r="F314" i="4" s="1"/>
  <c r="G59" i="1"/>
  <c r="S37"/>
  <c r="S41" s="1"/>
  <c r="H130"/>
  <c r="S122"/>
  <c r="H531"/>
  <c r="F331" i="4" s="1"/>
  <c r="H112" i="1"/>
  <c r="S624"/>
  <c r="V121"/>
  <c r="V60"/>
  <c r="V61" s="1"/>
  <c r="V629" s="1"/>
  <c r="J121"/>
  <c r="P529"/>
  <c r="F308" i="4" s="1"/>
  <c r="P520" i="1"/>
  <c r="P632"/>
  <c r="H129"/>
  <c r="S128"/>
  <c r="U624"/>
  <c r="U128"/>
  <c r="U520"/>
  <c r="U519"/>
  <c r="U59"/>
  <c r="U61" s="1"/>
  <c r="U629" s="1"/>
  <c r="O121"/>
  <c r="O624"/>
  <c r="O517"/>
  <c r="O39"/>
  <c r="O106" s="1"/>
  <c r="O520"/>
  <c r="O112"/>
  <c r="M121"/>
  <c r="M59"/>
  <c r="M517"/>
  <c r="M112"/>
  <c r="M518"/>
  <c r="M131"/>
  <c r="M527"/>
  <c r="F257" i="4" s="1"/>
  <c r="M520" i="1"/>
  <c r="X33"/>
  <c r="I519"/>
  <c r="I131"/>
  <c r="I39"/>
  <c r="I106" s="1"/>
  <c r="I129"/>
  <c r="I122"/>
  <c r="I111"/>
  <c r="I520"/>
  <c r="I130"/>
  <c r="I632"/>
  <c r="T520"/>
  <c r="T59"/>
  <c r="T531"/>
  <c r="F361" i="4" s="1"/>
  <c r="T111" i="1"/>
  <c r="T131"/>
  <c r="T37"/>
  <c r="T517"/>
  <c r="T624"/>
  <c r="T519"/>
  <c r="T39"/>
  <c r="T106" s="1"/>
  <c r="T130"/>
  <c r="Q518"/>
  <c r="Q130"/>
  <c r="Q122"/>
  <c r="Q529"/>
  <c r="F309" i="4" s="1"/>
  <c r="Q111" i="1"/>
  <c r="Q519"/>
  <c r="Q129"/>
  <c r="Q128"/>
  <c r="Q37"/>
  <c r="Q117"/>
  <c r="Q517"/>
  <c r="U122"/>
  <c r="U117"/>
  <c r="U129"/>
  <c r="U632"/>
  <c r="O129"/>
  <c r="O527"/>
  <c r="F263" i="4" s="1"/>
  <c r="O128" i="1"/>
  <c r="O111"/>
  <c r="O632"/>
  <c r="M60"/>
  <c r="M529"/>
  <c r="F301" i="4" s="1"/>
  <c r="M129" i="1"/>
  <c r="M531"/>
  <c r="F345" i="4" s="1"/>
  <c r="M624" i="1"/>
  <c r="I529"/>
  <c r="F291" i="4" s="1"/>
  <c r="I624" i="1"/>
  <c r="I121"/>
  <c r="I112"/>
  <c r="I527"/>
  <c r="F247" i="4" s="1"/>
  <c r="I37" i="1"/>
  <c r="I59"/>
  <c r="I531"/>
  <c r="F335" i="4" s="1"/>
  <c r="I128" i="1"/>
  <c r="I518"/>
  <c r="I517"/>
  <c r="T112"/>
  <c r="T38"/>
  <c r="T128"/>
  <c r="T518"/>
  <c r="T527"/>
  <c r="F273" i="4" s="1"/>
  <c r="T122" i="1"/>
  <c r="T117"/>
  <c r="T60"/>
  <c r="T121"/>
  <c r="T529"/>
  <c r="F317" i="4" s="1"/>
  <c r="T129" i="1"/>
  <c r="T632"/>
  <c r="Q39"/>
  <c r="Q106" s="1"/>
  <c r="Q624"/>
  <c r="Q112"/>
  <c r="Q531"/>
  <c r="F353" i="4" s="1"/>
  <c r="Q632" i="1"/>
  <c r="Q60"/>
  <c r="Q131"/>
  <c r="Q121"/>
  <c r="Q38"/>
  <c r="Q59"/>
  <c r="Q61" s="1"/>
  <c r="Q629" s="1"/>
  <c r="Q527"/>
  <c r="F265" i="4" s="1"/>
  <c r="Q520" i="1"/>
  <c r="S418"/>
  <c r="S389"/>
  <c r="W628"/>
  <c r="X628" s="1"/>
  <c r="H522"/>
  <c r="F198" i="4" s="1"/>
  <c r="W623" i="1"/>
  <c r="X623" s="1"/>
  <c r="W384"/>
  <c r="X384" s="1"/>
  <c r="M640"/>
  <c r="M365" s="1"/>
  <c r="M387" s="1"/>
  <c r="W200"/>
  <c r="X200" s="1"/>
  <c r="J60"/>
  <c r="W385"/>
  <c r="X385" s="1"/>
  <c r="V624"/>
  <c r="V519"/>
  <c r="V117"/>
  <c r="V517"/>
  <c r="V520"/>
  <c r="V529"/>
  <c r="F323" i="4" s="1"/>
  <c r="V112" i="1"/>
  <c r="V527"/>
  <c r="F279" i="4" s="1"/>
  <c r="V130" i="1"/>
  <c r="H39"/>
  <c r="H106" s="1"/>
  <c r="P61" l="1"/>
  <c r="P629" s="1"/>
  <c r="K41"/>
  <c r="W213"/>
  <c r="X213" s="1"/>
  <c r="N389"/>
  <c r="N418"/>
  <c r="H61"/>
  <c r="H629" s="1"/>
  <c r="U418"/>
  <c r="U643" s="1"/>
  <c r="I640"/>
  <c r="I365" s="1"/>
  <c r="I387" s="1"/>
  <c r="I389" s="1"/>
  <c r="H121"/>
  <c r="H38"/>
  <c r="H640"/>
  <c r="H365" s="1"/>
  <c r="H387" s="1"/>
  <c r="H389" s="1"/>
  <c r="I41"/>
  <c r="I61"/>
  <c r="I629" s="1"/>
  <c r="H478" i="4"/>
  <c r="I566"/>
  <c r="I565"/>
  <c r="I466"/>
  <c r="I504"/>
  <c r="I495"/>
  <c r="I475"/>
  <c r="I469"/>
  <c r="I477"/>
  <c r="I468"/>
  <c r="I467"/>
  <c r="J2"/>
  <c r="J476" s="1"/>
  <c r="I405" i="1"/>
  <c r="I416" s="1"/>
  <c r="I233"/>
  <c r="I244" s="1"/>
  <c r="C25" i="28"/>
  <c r="H529" i="4"/>
  <c r="H471"/>
  <c r="N41" i="1"/>
  <c r="V522"/>
  <c r="F234" i="4" s="1"/>
  <c r="K418" i="1"/>
  <c r="K643" s="1"/>
  <c r="N522"/>
  <c r="F215" i="4" s="1"/>
  <c r="N61" i="1"/>
  <c r="N629" s="1"/>
  <c r="I522"/>
  <c r="F202" i="4" s="1"/>
  <c r="K61" i="1"/>
  <c r="K629" s="1"/>
  <c r="O418"/>
  <c r="O643" s="1"/>
  <c r="O389"/>
  <c r="J41"/>
  <c r="G564" i="4"/>
  <c r="S522" i="1"/>
  <c r="F225" i="4" s="1"/>
  <c r="L41" i="1"/>
  <c r="R41"/>
  <c r="K522"/>
  <c r="F207" i="4" s="1"/>
  <c r="W518" i="1"/>
  <c r="X518" s="1"/>
  <c r="C29" i="28"/>
  <c r="K279" i="4"/>
  <c r="G279"/>
  <c r="R279"/>
  <c r="S279"/>
  <c r="H279"/>
  <c r="I279"/>
  <c r="N279"/>
  <c r="J279"/>
  <c r="T279"/>
  <c r="M389" i="1"/>
  <c r="M418"/>
  <c r="R317" i="4"/>
  <c r="N317"/>
  <c r="K317"/>
  <c r="H317"/>
  <c r="I317"/>
  <c r="T317"/>
  <c r="S317"/>
  <c r="G317"/>
  <c r="J317"/>
  <c r="T105" i="1"/>
  <c r="T108" s="1"/>
  <c r="T288"/>
  <c r="T627"/>
  <c r="T460"/>
  <c r="S202" i="4"/>
  <c r="H202"/>
  <c r="J202"/>
  <c r="I30" i="31" s="1"/>
  <c r="I202" i="4"/>
  <c r="I30" i="30" s="1"/>
  <c r="N202" i="4"/>
  <c r="T202"/>
  <c r="K202"/>
  <c r="R202"/>
  <c r="G202"/>
  <c r="R247"/>
  <c r="S247"/>
  <c r="N247"/>
  <c r="T247"/>
  <c r="K247"/>
  <c r="G247"/>
  <c r="I247"/>
  <c r="J247"/>
  <c r="F249"/>
  <c r="H247"/>
  <c r="T291"/>
  <c r="F293"/>
  <c r="I291"/>
  <c r="K291"/>
  <c r="S291"/>
  <c r="N291"/>
  <c r="H291"/>
  <c r="J291"/>
  <c r="R291"/>
  <c r="G291"/>
  <c r="I345"/>
  <c r="T345"/>
  <c r="N345"/>
  <c r="K345"/>
  <c r="R345"/>
  <c r="J345"/>
  <c r="S345"/>
  <c r="G345"/>
  <c r="H345"/>
  <c r="K301"/>
  <c r="G301"/>
  <c r="N301"/>
  <c r="I301"/>
  <c r="H301"/>
  <c r="R301"/>
  <c r="J301"/>
  <c r="S301"/>
  <c r="T301"/>
  <c r="I309"/>
  <c r="J309"/>
  <c r="G309"/>
  <c r="K309"/>
  <c r="N309"/>
  <c r="H309"/>
  <c r="K361"/>
  <c r="R361"/>
  <c r="S361"/>
  <c r="I361"/>
  <c r="G361"/>
  <c r="N361"/>
  <c r="J361"/>
  <c r="T361"/>
  <c r="H361"/>
  <c r="K257"/>
  <c r="I257"/>
  <c r="H257"/>
  <c r="N257"/>
  <c r="J257"/>
  <c r="T257"/>
  <c r="G257"/>
  <c r="R257"/>
  <c r="S257"/>
  <c r="J308"/>
  <c r="T308"/>
  <c r="G308"/>
  <c r="S308"/>
  <c r="H308"/>
  <c r="I308"/>
  <c r="R308"/>
  <c r="K308"/>
  <c r="N308"/>
  <c r="T331"/>
  <c r="S331"/>
  <c r="R331"/>
  <c r="J331"/>
  <c r="G331"/>
  <c r="K331"/>
  <c r="H331"/>
  <c r="N331"/>
  <c r="I331"/>
  <c r="G61" i="1"/>
  <c r="W59"/>
  <c r="X59" s="1"/>
  <c r="I627"/>
  <c r="I460"/>
  <c r="I105"/>
  <c r="I108" s="1"/>
  <c r="I288"/>
  <c r="M460"/>
  <c r="M288"/>
  <c r="M105"/>
  <c r="M108" s="1"/>
  <c r="M627"/>
  <c r="H307" i="4"/>
  <c r="R307"/>
  <c r="T307"/>
  <c r="G307"/>
  <c r="J307"/>
  <c r="N307"/>
  <c r="I307"/>
  <c r="K307"/>
  <c r="S307"/>
  <c r="F311"/>
  <c r="O288" i="1"/>
  <c r="O627"/>
  <c r="O105"/>
  <c r="O108" s="1"/>
  <c r="O460"/>
  <c r="N320" i="4"/>
  <c r="T320"/>
  <c r="H320"/>
  <c r="R320"/>
  <c r="J320"/>
  <c r="I320"/>
  <c r="G320"/>
  <c r="S320"/>
  <c r="K320"/>
  <c r="F330"/>
  <c r="W531" i="1"/>
  <c r="X531" s="1"/>
  <c r="J243" i="4"/>
  <c r="N243"/>
  <c r="T243"/>
  <c r="R243"/>
  <c r="G243"/>
  <c r="S243"/>
  <c r="K243"/>
  <c r="H243"/>
  <c r="I243"/>
  <c r="N287"/>
  <c r="G287"/>
  <c r="I287"/>
  <c r="J287"/>
  <c r="K287"/>
  <c r="R287"/>
  <c r="T287"/>
  <c r="S287"/>
  <c r="H287"/>
  <c r="S264"/>
  <c r="K264"/>
  <c r="H264"/>
  <c r="R264"/>
  <c r="G264"/>
  <c r="N264"/>
  <c r="I264"/>
  <c r="T264"/>
  <c r="J264"/>
  <c r="K352"/>
  <c r="N352"/>
  <c r="I352"/>
  <c r="R352"/>
  <c r="S352"/>
  <c r="T352"/>
  <c r="H352"/>
  <c r="G352"/>
  <c r="J352"/>
  <c r="G106" i="1"/>
  <c r="W106" s="1"/>
  <c r="X106" s="1"/>
  <c r="W39"/>
  <c r="X39" s="1"/>
  <c r="K253" i="4"/>
  <c r="S253"/>
  <c r="H253"/>
  <c r="J253"/>
  <c r="T253"/>
  <c r="G253"/>
  <c r="R253"/>
  <c r="I253"/>
  <c r="N253"/>
  <c r="G522" i="1"/>
  <c r="W517"/>
  <c r="X517" s="1"/>
  <c r="K336" i="4"/>
  <c r="I336"/>
  <c r="R336"/>
  <c r="H336"/>
  <c r="G336"/>
  <c r="S336"/>
  <c r="T336"/>
  <c r="N336"/>
  <c r="J336"/>
  <c r="L105" i="1"/>
  <c r="L108" s="1"/>
  <c r="L460"/>
  <c r="L288"/>
  <c r="L627"/>
  <c r="F15" i="4"/>
  <c r="R248"/>
  <c r="K248"/>
  <c r="T248"/>
  <c r="H248"/>
  <c r="I248"/>
  <c r="S248"/>
  <c r="G248"/>
  <c r="J248"/>
  <c r="N248"/>
  <c r="F242"/>
  <c r="W527" i="1"/>
  <c r="X527" s="1"/>
  <c r="G627"/>
  <c r="G460"/>
  <c r="G288"/>
  <c r="G105"/>
  <c r="W38"/>
  <c r="X38" s="1"/>
  <c r="F63"/>
  <c r="F97" s="1"/>
  <c r="F133" s="1"/>
  <c r="K266" i="4"/>
  <c r="G266"/>
  <c r="H266"/>
  <c r="N266"/>
  <c r="I266"/>
  <c r="J266"/>
  <c r="J354"/>
  <c r="N354"/>
  <c r="K354"/>
  <c r="I354"/>
  <c r="G354"/>
  <c r="H354"/>
  <c r="G310"/>
  <c r="K310"/>
  <c r="H310"/>
  <c r="I310"/>
  <c r="N310"/>
  <c r="J310"/>
  <c r="I296"/>
  <c r="H296"/>
  <c r="R296"/>
  <c r="S296"/>
  <c r="N296"/>
  <c r="G296"/>
  <c r="T296"/>
  <c r="J296"/>
  <c r="K296"/>
  <c r="F298"/>
  <c r="I340"/>
  <c r="J340"/>
  <c r="K340"/>
  <c r="S340"/>
  <c r="G340"/>
  <c r="H340"/>
  <c r="T340"/>
  <c r="F342"/>
  <c r="R340"/>
  <c r="N340"/>
  <c r="G351" i="1"/>
  <c r="W333"/>
  <c r="V105"/>
  <c r="V108" s="1"/>
  <c r="V627"/>
  <c r="V460"/>
  <c r="V288"/>
  <c r="Q389"/>
  <c r="Q418"/>
  <c r="R389"/>
  <c r="R418"/>
  <c r="T418"/>
  <c r="T389"/>
  <c r="N193"/>
  <c r="N215" s="1"/>
  <c r="H193"/>
  <c r="H215" s="1"/>
  <c r="Q193"/>
  <c r="Q215" s="1"/>
  <c r="K193"/>
  <c r="K215" s="1"/>
  <c r="G365"/>
  <c r="L193"/>
  <c r="L215" s="1"/>
  <c r="U193"/>
  <c r="U215" s="1"/>
  <c r="T193"/>
  <c r="T215" s="1"/>
  <c r="W640"/>
  <c r="X640" s="1"/>
  <c r="V193"/>
  <c r="V215" s="1"/>
  <c r="P193"/>
  <c r="P215" s="1"/>
  <c r="R193"/>
  <c r="R215" s="1"/>
  <c r="J193"/>
  <c r="J215" s="1"/>
  <c r="M193"/>
  <c r="M215" s="1"/>
  <c r="O193"/>
  <c r="O215" s="1"/>
  <c r="I193"/>
  <c r="I215" s="1"/>
  <c r="G193"/>
  <c r="S193"/>
  <c r="S215" s="1"/>
  <c r="G405"/>
  <c r="G233"/>
  <c r="W641"/>
  <c r="X641" s="1"/>
  <c r="J389"/>
  <c r="J418"/>
  <c r="G179"/>
  <c r="W161"/>
  <c r="T522"/>
  <c r="F228" i="4" s="1"/>
  <c r="M522" i="1"/>
  <c r="F212" i="4" s="1"/>
  <c r="O522" i="1"/>
  <c r="F218" i="4" s="1"/>
  <c r="O61" i="1"/>
  <c r="O629" s="1"/>
  <c r="U522"/>
  <c r="F231" i="4" s="1"/>
  <c r="U41" i="1"/>
  <c r="S61"/>
  <c r="S629" s="1"/>
  <c r="W519"/>
  <c r="X519" s="1"/>
  <c r="W520"/>
  <c r="X520" s="1"/>
  <c r="L522"/>
  <c r="F208" i="4" s="1"/>
  <c r="F209" s="1"/>
  <c r="W122" i="1"/>
  <c r="X122" s="1"/>
  <c r="W130"/>
  <c r="X130" s="1"/>
  <c r="J522"/>
  <c r="F203" i="4" s="1"/>
  <c r="W632" i="1"/>
  <c r="X632" s="1"/>
  <c r="L61"/>
  <c r="L629" s="1"/>
  <c r="W131"/>
  <c r="X131" s="1"/>
  <c r="R61"/>
  <c r="R629" s="1"/>
  <c r="J323" i="4"/>
  <c r="H323"/>
  <c r="G323"/>
  <c r="I323"/>
  <c r="S323"/>
  <c r="T323"/>
  <c r="N323"/>
  <c r="R323"/>
  <c r="K323"/>
  <c r="R234"/>
  <c r="K234"/>
  <c r="T234"/>
  <c r="I234"/>
  <c r="H234"/>
  <c r="S234"/>
  <c r="N234"/>
  <c r="G234"/>
  <c r="J234"/>
  <c r="K353"/>
  <c r="G353"/>
  <c r="N353"/>
  <c r="I353"/>
  <c r="J353"/>
  <c r="H353"/>
  <c r="I198"/>
  <c r="N198"/>
  <c r="S198"/>
  <c r="T198"/>
  <c r="G198"/>
  <c r="J198"/>
  <c r="K198"/>
  <c r="R198"/>
  <c r="H198"/>
  <c r="S643" i="1"/>
  <c r="N265" i="4"/>
  <c r="K265"/>
  <c r="G265"/>
  <c r="I265"/>
  <c r="J265"/>
  <c r="H265"/>
  <c r="Q105" i="1"/>
  <c r="Q108" s="1"/>
  <c r="Q460"/>
  <c r="Q288"/>
  <c r="Q627"/>
  <c r="N273" i="4"/>
  <c r="S273"/>
  <c r="G273"/>
  <c r="J273"/>
  <c r="T273"/>
  <c r="H273"/>
  <c r="R273"/>
  <c r="K273"/>
  <c r="I273"/>
  <c r="S335"/>
  <c r="K335"/>
  <c r="K337" s="1"/>
  <c r="F337"/>
  <c r="N335"/>
  <c r="N337" s="1"/>
  <c r="T335"/>
  <c r="T337" s="1"/>
  <c r="H335"/>
  <c r="I335"/>
  <c r="J335"/>
  <c r="J337" s="1"/>
  <c r="R335"/>
  <c r="R337" s="1"/>
  <c r="G335"/>
  <c r="I63" i="1"/>
  <c r="F14" i="4"/>
  <c r="H263"/>
  <c r="S263"/>
  <c r="S267" s="1"/>
  <c r="K263"/>
  <c r="J263"/>
  <c r="J267" s="1"/>
  <c r="T263"/>
  <c r="T267" s="1"/>
  <c r="R263"/>
  <c r="R267" s="1"/>
  <c r="G263"/>
  <c r="N263"/>
  <c r="N267" s="1"/>
  <c r="I263"/>
  <c r="F267"/>
  <c r="F38"/>
  <c r="S63" i="1"/>
  <c r="I351" i="4"/>
  <c r="I355" s="1"/>
  <c r="S351"/>
  <c r="S355" s="1"/>
  <c r="G351"/>
  <c r="H351"/>
  <c r="K351"/>
  <c r="J351"/>
  <c r="J355" s="1"/>
  <c r="R351"/>
  <c r="T351"/>
  <c r="T355" s="1"/>
  <c r="N351"/>
  <c r="F355"/>
  <c r="U627" i="1"/>
  <c r="U105"/>
  <c r="U108" s="1"/>
  <c r="U288"/>
  <c r="U460"/>
  <c r="P288"/>
  <c r="P105"/>
  <c r="P108" s="1"/>
  <c r="P627"/>
  <c r="P460"/>
  <c r="S364" i="4"/>
  <c r="R364"/>
  <c r="K364"/>
  <c r="H364"/>
  <c r="J364"/>
  <c r="T364"/>
  <c r="G364"/>
  <c r="N364"/>
  <c r="I364"/>
  <c r="R276"/>
  <c r="T276"/>
  <c r="N276"/>
  <c r="I276"/>
  <c r="G276"/>
  <c r="H276"/>
  <c r="S276"/>
  <c r="K276"/>
  <c r="J276"/>
  <c r="I341"/>
  <c r="N341"/>
  <c r="G341"/>
  <c r="T341"/>
  <c r="K341"/>
  <c r="J341"/>
  <c r="H341"/>
  <c r="S341"/>
  <c r="R341"/>
  <c r="F20"/>
  <c r="L63" i="1"/>
  <c r="K297" i="4"/>
  <c r="G297"/>
  <c r="N297"/>
  <c r="J297"/>
  <c r="S297"/>
  <c r="H297"/>
  <c r="I297"/>
  <c r="R297"/>
  <c r="T297"/>
  <c r="R292"/>
  <c r="S292"/>
  <c r="I292"/>
  <c r="J292"/>
  <c r="N292"/>
  <c r="H292"/>
  <c r="K292"/>
  <c r="T292"/>
  <c r="G292"/>
  <c r="F286"/>
  <c r="W529" i="1"/>
  <c r="X529" s="1"/>
  <c r="G41"/>
  <c r="W37"/>
  <c r="X37" s="1"/>
  <c r="J460"/>
  <c r="J105"/>
  <c r="J108" s="1"/>
  <c r="J627"/>
  <c r="J288"/>
  <c r="F34" i="4"/>
  <c r="R63" i="1"/>
  <c r="R105"/>
  <c r="R108" s="1"/>
  <c r="R460"/>
  <c r="R288"/>
  <c r="R627"/>
  <c r="J207" i="4"/>
  <c r="I207"/>
  <c r="G207"/>
  <c r="N207"/>
  <c r="K207"/>
  <c r="R207"/>
  <c r="H207"/>
  <c r="T207"/>
  <c r="S207"/>
  <c r="F19"/>
  <c r="K63" i="1"/>
  <c r="K460"/>
  <c r="K288"/>
  <c r="K105"/>
  <c r="K108" s="1"/>
  <c r="K627"/>
  <c r="T252" i="4"/>
  <c r="T254" s="1"/>
  <c r="K252"/>
  <c r="H252"/>
  <c r="H254" s="1"/>
  <c r="G252"/>
  <c r="R252"/>
  <c r="R254" s="1"/>
  <c r="N252"/>
  <c r="S252"/>
  <c r="S254" s="1"/>
  <c r="J252"/>
  <c r="J254" s="1"/>
  <c r="F254"/>
  <c r="I252"/>
  <c r="I254" s="1"/>
  <c r="V643" i="1"/>
  <c r="G367" i="4"/>
  <c r="R367"/>
  <c r="N367"/>
  <c r="T367"/>
  <c r="H367"/>
  <c r="J367"/>
  <c r="I367"/>
  <c r="K367"/>
  <c r="S367"/>
  <c r="L389" i="1"/>
  <c r="L418"/>
  <c r="S116"/>
  <c r="S115"/>
  <c r="S113"/>
  <c r="S631"/>
  <c r="S114"/>
  <c r="N63"/>
  <c r="F27" i="4"/>
  <c r="N215"/>
  <c r="K215"/>
  <c r="I215"/>
  <c r="R215"/>
  <c r="H215"/>
  <c r="T215"/>
  <c r="S215"/>
  <c r="G215"/>
  <c r="J215"/>
  <c r="T348"/>
  <c r="G348"/>
  <c r="K348"/>
  <c r="J348"/>
  <c r="N348"/>
  <c r="R348"/>
  <c r="I348"/>
  <c r="H348"/>
  <c r="S348"/>
  <c r="N460" i="1"/>
  <c r="N627"/>
  <c r="N105"/>
  <c r="N108" s="1"/>
  <c r="N288"/>
  <c r="T260" i="4"/>
  <c r="R260"/>
  <c r="H260"/>
  <c r="N260"/>
  <c r="J260"/>
  <c r="I260"/>
  <c r="G260"/>
  <c r="K260"/>
  <c r="S260"/>
  <c r="J304"/>
  <c r="K304"/>
  <c r="H304"/>
  <c r="T304"/>
  <c r="I304"/>
  <c r="N304"/>
  <c r="G304"/>
  <c r="R304"/>
  <c r="S304"/>
  <c r="N643" i="1"/>
  <c r="H41"/>
  <c r="Q522"/>
  <c r="F220" i="4" s="1"/>
  <c r="Q41" i="1"/>
  <c r="T41"/>
  <c r="T61"/>
  <c r="T629" s="1"/>
  <c r="M61"/>
  <c r="M629" s="1"/>
  <c r="W121"/>
  <c r="X121" s="1"/>
  <c r="M41"/>
  <c r="O41"/>
  <c r="P522"/>
  <c r="F219" i="4" s="1"/>
  <c r="P41" i="1"/>
  <c r="W111"/>
  <c r="X111" s="1"/>
  <c r="W128"/>
  <c r="X128" s="1"/>
  <c r="W117"/>
  <c r="X117" s="1"/>
  <c r="J61"/>
  <c r="J629" s="1"/>
  <c r="W129"/>
  <c r="X129" s="1"/>
  <c r="W624"/>
  <c r="X624" s="1"/>
  <c r="W60"/>
  <c r="X60" s="1"/>
  <c r="W112"/>
  <c r="X112" s="1"/>
  <c r="R522"/>
  <c r="F221" i="4" s="1"/>
  <c r="V41" i="1"/>
  <c r="H337" i="4" l="1"/>
  <c r="H355"/>
  <c r="I418" i="1"/>
  <c r="I643" s="1"/>
  <c r="H418"/>
  <c r="H643" s="1"/>
  <c r="H460"/>
  <c r="H105"/>
  <c r="H108" s="1"/>
  <c r="H627"/>
  <c r="H288"/>
  <c r="N254" i="4"/>
  <c r="K254"/>
  <c r="N355"/>
  <c r="R355"/>
  <c r="K355"/>
  <c r="I267"/>
  <c r="K267"/>
  <c r="H267"/>
  <c r="I337"/>
  <c r="S337"/>
  <c r="R311"/>
  <c r="F32" i="31"/>
  <c r="J32" i="30"/>
  <c r="L32"/>
  <c r="L32" i="31"/>
  <c r="I32" i="30"/>
  <c r="F32"/>
  <c r="J32" i="31"/>
  <c r="E32"/>
  <c r="E32" i="30"/>
  <c r="I32" i="31"/>
  <c r="S311" i="4"/>
  <c r="H480"/>
  <c r="J467"/>
  <c r="J495"/>
  <c r="J468"/>
  <c r="J477"/>
  <c r="J566"/>
  <c r="J565"/>
  <c r="J469"/>
  <c r="J475"/>
  <c r="J478" s="1"/>
  <c r="K2"/>
  <c r="L2" s="1"/>
  <c r="L476" s="1"/>
  <c r="J466"/>
  <c r="J504"/>
  <c r="I529"/>
  <c r="I471"/>
  <c r="I478"/>
  <c r="T311"/>
  <c r="N631" i="1"/>
  <c r="N115"/>
  <c r="N114"/>
  <c r="N116"/>
  <c r="N113"/>
  <c r="N459"/>
  <c r="N454"/>
  <c r="N97"/>
  <c r="N283"/>
  <c r="N457"/>
  <c r="N537"/>
  <c r="N285"/>
  <c r="N279"/>
  <c r="N451"/>
  <c r="N282"/>
  <c r="N542"/>
  <c r="N541"/>
  <c r="N287"/>
  <c r="N547"/>
  <c r="F439" i="4" s="1"/>
  <c r="N538" i="1"/>
  <c r="N455"/>
  <c r="L643"/>
  <c r="K113"/>
  <c r="K631"/>
  <c r="K116"/>
  <c r="K115"/>
  <c r="K114"/>
  <c r="S19" i="4"/>
  <c r="H19"/>
  <c r="N19"/>
  <c r="G19"/>
  <c r="K19"/>
  <c r="T19"/>
  <c r="R19"/>
  <c r="I19"/>
  <c r="L19"/>
  <c r="J19"/>
  <c r="F21"/>
  <c r="C12" i="26"/>
  <c r="R116" i="1"/>
  <c r="R631"/>
  <c r="R113"/>
  <c r="R115"/>
  <c r="R114"/>
  <c r="H34" i="4"/>
  <c r="L34"/>
  <c r="I34"/>
  <c r="G34"/>
  <c r="N34"/>
  <c r="J34"/>
  <c r="K34"/>
  <c r="G63" i="1"/>
  <c r="F9" i="4"/>
  <c r="W41" i="1"/>
  <c r="X41" s="1"/>
  <c r="I286" i="4"/>
  <c r="I288" s="1"/>
  <c r="G286"/>
  <c r="S286"/>
  <c r="S288" s="1"/>
  <c r="K286"/>
  <c r="K288" s="1"/>
  <c r="R286"/>
  <c r="R288" s="1"/>
  <c r="T286"/>
  <c r="T288" s="1"/>
  <c r="H286"/>
  <c r="H288" s="1"/>
  <c r="L286"/>
  <c r="J286"/>
  <c r="J288" s="1"/>
  <c r="N286"/>
  <c r="N288" s="1"/>
  <c r="F288"/>
  <c r="J20"/>
  <c r="S20"/>
  <c r="H20"/>
  <c r="N20"/>
  <c r="I20"/>
  <c r="L20"/>
  <c r="K20"/>
  <c r="R20"/>
  <c r="G20"/>
  <c r="T20"/>
  <c r="P116" i="1"/>
  <c r="P115"/>
  <c r="P631"/>
  <c r="P113"/>
  <c r="P114"/>
  <c r="G355" i="4"/>
  <c r="S454" i="1"/>
  <c r="U537"/>
  <c r="S542"/>
  <c r="S455"/>
  <c r="S97"/>
  <c r="S285"/>
  <c r="S279"/>
  <c r="S541"/>
  <c r="S459"/>
  <c r="S287"/>
  <c r="S282"/>
  <c r="S451"/>
  <c r="S538"/>
  <c r="S547"/>
  <c r="F449" i="4" s="1"/>
  <c r="S283" i="1"/>
  <c r="S457"/>
  <c r="K14" i="4"/>
  <c r="T14"/>
  <c r="S14"/>
  <c r="R14"/>
  <c r="F16"/>
  <c r="H14"/>
  <c r="N14"/>
  <c r="G14"/>
  <c r="I14"/>
  <c r="L14"/>
  <c r="J14"/>
  <c r="G337"/>
  <c r="Q114" i="1"/>
  <c r="Q631"/>
  <c r="Q115"/>
  <c r="Q113"/>
  <c r="Q116"/>
  <c r="H203" i="4"/>
  <c r="J30" i="29" s="1"/>
  <c r="L203" i="4"/>
  <c r="I203"/>
  <c r="J30" i="30" s="1"/>
  <c r="T203" i="4"/>
  <c r="R203"/>
  <c r="G203"/>
  <c r="J203"/>
  <c r="J30" i="31" s="1"/>
  <c r="N203" i="4"/>
  <c r="S203"/>
  <c r="K203"/>
  <c r="J231"/>
  <c r="I231"/>
  <c r="S231"/>
  <c r="G231"/>
  <c r="K231"/>
  <c r="L231"/>
  <c r="T231"/>
  <c r="H231"/>
  <c r="N231"/>
  <c r="R231"/>
  <c r="I218"/>
  <c r="L30" i="30" s="1"/>
  <c r="T218" i="4"/>
  <c r="R218"/>
  <c r="H218"/>
  <c r="J218"/>
  <c r="L30" i="31" s="1"/>
  <c r="S218" i="4"/>
  <c r="N218"/>
  <c r="L218"/>
  <c r="K218"/>
  <c r="G218"/>
  <c r="F222"/>
  <c r="T228"/>
  <c r="N228"/>
  <c r="K228"/>
  <c r="I228"/>
  <c r="J228"/>
  <c r="S228"/>
  <c r="H228"/>
  <c r="G228"/>
  <c r="R228"/>
  <c r="L228"/>
  <c r="G244" i="1"/>
  <c r="W233"/>
  <c r="S246"/>
  <c r="S217"/>
  <c r="I217"/>
  <c r="I246"/>
  <c r="M246"/>
  <c r="M217"/>
  <c r="R217"/>
  <c r="R246"/>
  <c r="V217"/>
  <c r="V246"/>
  <c r="T217"/>
  <c r="T246"/>
  <c r="L246"/>
  <c r="L217"/>
  <c r="K217"/>
  <c r="K246"/>
  <c r="H246"/>
  <c r="H217"/>
  <c r="R643"/>
  <c r="Q643"/>
  <c r="W351"/>
  <c r="X351" s="1"/>
  <c r="X333"/>
  <c r="G108"/>
  <c r="W105"/>
  <c r="X105" s="1"/>
  <c r="J32" i="27"/>
  <c r="N15" i="4"/>
  <c r="G15"/>
  <c r="K15"/>
  <c r="R15"/>
  <c r="S15"/>
  <c r="J15"/>
  <c r="T15"/>
  <c r="H15"/>
  <c r="I15"/>
  <c r="L15"/>
  <c r="L116" i="1"/>
  <c r="L113"/>
  <c r="L631"/>
  <c r="L114"/>
  <c r="L115"/>
  <c r="S330" i="4"/>
  <c r="S332" s="1"/>
  <c r="T330"/>
  <c r="T332" s="1"/>
  <c r="G330"/>
  <c r="K330"/>
  <c r="K332" s="1"/>
  <c r="H330"/>
  <c r="H332" s="1"/>
  <c r="L330"/>
  <c r="I330"/>
  <c r="I332" s="1"/>
  <c r="N330"/>
  <c r="N332" s="1"/>
  <c r="R330"/>
  <c r="R332" s="1"/>
  <c r="F332"/>
  <c r="J330"/>
  <c r="J332" s="1"/>
  <c r="G311"/>
  <c r="L32" i="27"/>
  <c r="G293" i="4"/>
  <c r="D14" i="26"/>
  <c r="I32" i="29"/>
  <c r="H249" i="4"/>
  <c r="T115" i="1"/>
  <c r="T113"/>
  <c r="T116"/>
  <c r="T114"/>
  <c r="T631"/>
  <c r="M643"/>
  <c r="R342" i="4"/>
  <c r="T342"/>
  <c r="H342"/>
  <c r="S342"/>
  <c r="J342"/>
  <c r="T298"/>
  <c r="N298"/>
  <c r="R298"/>
  <c r="F32" i="29"/>
  <c r="W460" i="1"/>
  <c r="X460" s="1"/>
  <c r="E32" i="29"/>
  <c r="H293" i="4"/>
  <c r="S293"/>
  <c r="I293"/>
  <c r="T293"/>
  <c r="J249"/>
  <c r="I249"/>
  <c r="K249"/>
  <c r="N249"/>
  <c r="R249"/>
  <c r="R204"/>
  <c r="F204"/>
  <c r="I204"/>
  <c r="J204"/>
  <c r="S204"/>
  <c r="V63" i="1"/>
  <c r="F47" i="4"/>
  <c r="F32"/>
  <c r="P63" i="1"/>
  <c r="F31" i="4"/>
  <c r="O63" i="1"/>
  <c r="F33" i="4"/>
  <c r="Q63" i="1"/>
  <c r="H63"/>
  <c r="F10" i="4"/>
  <c r="H114" i="1"/>
  <c r="H113"/>
  <c r="H115"/>
  <c r="H116"/>
  <c r="H631"/>
  <c r="H221" i="4"/>
  <c r="F30" i="29" s="1"/>
  <c r="I221" i="4"/>
  <c r="F30" i="30" s="1"/>
  <c r="J221" i="4"/>
  <c r="F30" i="31" s="1"/>
  <c r="N221" i="4"/>
  <c r="G221"/>
  <c r="F30" i="27" s="1"/>
  <c r="L221" i="4"/>
  <c r="K221"/>
  <c r="L219"/>
  <c r="R219"/>
  <c r="G219"/>
  <c r="H219"/>
  <c r="E30" i="29" s="1"/>
  <c r="T219" i="4"/>
  <c r="J219"/>
  <c r="E30" i="31" s="1"/>
  <c r="S219" i="4"/>
  <c r="N219"/>
  <c r="K219"/>
  <c r="I219"/>
  <c r="E30" i="30" s="1"/>
  <c r="F24" i="4"/>
  <c r="M63" i="1"/>
  <c r="F41" i="4"/>
  <c r="T63" i="1"/>
  <c r="G220" i="4"/>
  <c r="N220"/>
  <c r="K220"/>
  <c r="H220"/>
  <c r="J220"/>
  <c r="I220"/>
  <c r="L220"/>
  <c r="I27"/>
  <c r="G27"/>
  <c r="H27"/>
  <c r="N27"/>
  <c r="T27"/>
  <c r="R27"/>
  <c r="S27"/>
  <c r="J27"/>
  <c r="K27"/>
  <c r="L27"/>
  <c r="C15" i="26"/>
  <c r="G254" i="4"/>
  <c r="K97" i="1"/>
  <c r="K459"/>
  <c r="K457"/>
  <c r="K283"/>
  <c r="K547"/>
  <c r="F431" i="4" s="1"/>
  <c r="K537" i="1"/>
  <c r="K282"/>
  <c r="K542"/>
  <c r="K541"/>
  <c r="K538"/>
  <c r="K451"/>
  <c r="K285"/>
  <c r="K454"/>
  <c r="K287"/>
  <c r="K279"/>
  <c r="K455"/>
  <c r="R287"/>
  <c r="R285"/>
  <c r="R541"/>
  <c r="R455"/>
  <c r="R279"/>
  <c r="R454"/>
  <c r="R457"/>
  <c r="R538"/>
  <c r="R459"/>
  <c r="R547"/>
  <c r="F445" i="4" s="1"/>
  <c r="R542" i="1"/>
  <c r="R451"/>
  <c r="R97"/>
  <c r="T537"/>
  <c r="R282"/>
  <c r="R283"/>
  <c r="J114"/>
  <c r="J115"/>
  <c r="J113"/>
  <c r="J631"/>
  <c r="J116"/>
  <c r="L457"/>
  <c r="L283"/>
  <c r="L287"/>
  <c r="L451"/>
  <c r="L541"/>
  <c r="L537"/>
  <c r="L285"/>
  <c r="L538"/>
  <c r="L547"/>
  <c r="F432" i="4" s="1"/>
  <c r="L459" i="1"/>
  <c r="L282"/>
  <c r="L455"/>
  <c r="L454"/>
  <c r="L97"/>
  <c r="L279"/>
  <c r="L542"/>
  <c r="U113"/>
  <c r="U116"/>
  <c r="U631"/>
  <c r="U115"/>
  <c r="U114"/>
  <c r="F621" i="4"/>
  <c r="G267"/>
  <c r="I542" i="1"/>
  <c r="I282"/>
  <c r="I97"/>
  <c r="I547"/>
  <c r="F426" i="4" s="1"/>
  <c r="I455" i="1"/>
  <c r="I279"/>
  <c r="I454"/>
  <c r="I541"/>
  <c r="I451"/>
  <c r="I285"/>
  <c r="I283"/>
  <c r="I459"/>
  <c r="I457"/>
  <c r="I287"/>
  <c r="I537"/>
  <c r="I538"/>
  <c r="N208" i="4"/>
  <c r="N209" s="1"/>
  <c r="K208"/>
  <c r="K209" s="1"/>
  <c r="L208"/>
  <c r="T208"/>
  <c r="T209" s="1"/>
  <c r="R208"/>
  <c r="R209" s="1"/>
  <c r="H208"/>
  <c r="H209" s="1"/>
  <c r="S208"/>
  <c r="S209" s="1"/>
  <c r="I208"/>
  <c r="I209" s="1"/>
  <c r="G208"/>
  <c r="J208"/>
  <c r="J209" s="1"/>
  <c r="F44"/>
  <c r="U63" i="1"/>
  <c r="L212" i="4"/>
  <c r="R212"/>
  <c r="G212"/>
  <c r="T212"/>
  <c r="I212"/>
  <c r="K212"/>
  <c r="H212"/>
  <c r="S212"/>
  <c r="N212"/>
  <c r="J212"/>
  <c r="X161" i="1"/>
  <c r="W179"/>
  <c r="X179" s="1"/>
  <c r="J643"/>
  <c r="G416"/>
  <c r="W405"/>
  <c r="W193"/>
  <c r="X193" s="1"/>
  <c r="G215"/>
  <c r="O246"/>
  <c r="O217"/>
  <c r="J217"/>
  <c r="J246"/>
  <c r="P246"/>
  <c r="P217"/>
  <c r="U246"/>
  <c r="U217"/>
  <c r="G387"/>
  <c r="W365"/>
  <c r="Q217"/>
  <c r="Q246"/>
  <c r="N217"/>
  <c r="N246"/>
  <c r="T643"/>
  <c r="V116"/>
  <c r="V631"/>
  <c r="V113"/>
  <c r="V114"/>
  <c r="V115"/>
  <c r="G342" i="4"/>
  <c r="G298"/>
  <c r="C14" i="26"/>
  <c r="E14" s="1"/>
  <c r="I242" i="4"/>
  <c r="G242"/>
  <c r="S242"/>
  <c r="S244" s="1"/>
  <c r="N242"/>
  <c r="N244" s="1"/>
  <c r="J242"/>
  <c r="T242"/>
  <c r="T244" s="1"/>
  <c r="K242"/>
  <c r="K244" s="1"/>
  <c r="L242"/>
  <c r="R242"/>
  <c r="R244" s="1"/>
  <c r="H242"/>
  <c r="F244"/>
  <c r="F197"/>
  <c r="W522" i="1"/>
  <c r="X522" s="1"/>
  <c r="E32" i="27"/>
  <c r="O116" i="1"/>
  <c r="O631"/>
  <c r="O113"/>
  <c r="O114"/>
  <c r="O115"/>
  <c r="L32" i="29"/>
  <c r="H311" i="4"/>
  <c r="M113" i="1"/>
  <c r="M116"/>
  <c r="M115"/>
  <c r="M631"/>
  <c r="M114"/>
  <c r="I631"/>
  <c r="I116"/>
  <c r="I113"/>
  <c r="I114"/>
  <c r="I115"/>
  <c r="G629"/>
  <c r="W629" s="1"/>
  <c r="X629" s="1"/>
  <c r="W61"/>
  <c r="X61" s="1"/>
  <c r="I32" i="27"/>
  <c r="D15" i="26"/>
  <c r="G249" i="4"/>
  <c r="G204"/>
  <c r="D12" i="26"/>
  <c r="I30" i="27"/>
  <c r="I30" i="29"/>
  <c r="H204" i="4"/>
  <c r="N342"/>
  <c r="K342"/>
  <c r="I342"/>
  <c r="K298"/>
  <c r="J298"/>
  <c r="S298"/>
  <c r="H298"/>
  <c r="I298"/>
  <c r="F32" i="27"/>
  <c r="W288" i="1"/>
  <c r="X288" s="1"/>
  <c r="W627"/>
  <c r="X627" s="1"/>
  <c r="J32" i="29"/>
  <c r="J63" i="1"/>
  <c r="K311" i="4"/>
  <c r="I311"/>
  <c r="N311"/>
  <c r="J311"/>
  <c r="R293"/>
  <c r="J293"/>
  <c r="N293"/>
  <c r="K293"/>
  <c r="T249"/>
  <c r="S249"/>
  <c r="K204"/>
  <c r="T204"/>
  <c r="N204"/>
  <c r="J244" l="1"/>
  <c r="M32" i="31"/>
  <c r="I244" i="4"/>
  <c r="M32" i="30"/>
  <c r="K30" i="31"/>
  <c r="K30" i="30"/>
  <c r="I480" i="4"/>
  <c r="C11" i="28" s="1"/>
  <c r="K30" i="29"/>
  <c r="I562" i="4"/>
  <c r="L468"/>
  <c r="L475"/>
  <c r="L495"/>
  <c r="M2"/>
  <c r="M476" s="1"/>
  <c r="U476" s="1"/>
  <c r="V476" s="1"/>
  <c r="L566"/>
  <c r="L565"/>
  <c r="L504"/>
  <c r="L467"/>
  <c r="L469"/>
  <c r="L477"/>
  <c r="L466"/>
  <c r="L202"/>
  <c r="L345"/>
  <c r="L301"/>
  <c r="L309"/>
  <c r="L308"/>
  <c r="L331"/>
  <c r="L332" s="1"/>
  <c r="L243"/>
  <c r="L287"/>
  <c r="L288" s="1"/>
  <c r="L253"/>
  <c r="L336"/>
  <c r="L248"/>
  <c r="L354"/>
  <c r="L234"/>
  <c r="L198"/>
  <c r="L265"/>
  <c r="L263"/>
  <c r="L276"/>
  <c r="L297"/>
  <c r="L292"/>
  <c r="L215"/>
  <c r="L279"/>
  <c r="L317"/>
  <c r="L247"/>
  <c r="L291"/>
  <c r="L361"/>
  <c r="L257"/>
  <c r="L307"/>
  <c r="L320"/>
  <c r="L264"/>
  <c r="L352"/>
  <c r="L266"/>
  <c r="L310"/>
  <c r="L296"/>
  <c r="L340"/>
  <c r="L323"/>
  <c r="L353"/>
  <c r="L273"/>
  <c r="L335"/>
  <c r="L351"/>
  <c r="L364"/>
  <c r="L341"/>
  <c r="L207"/>
  <c r="L252"/>
  <c r="L367"/>
  <c r="L348"/>
  <c r="L260"/>
  <c r="L304"/>
  <c r="C10" i="28"/>
  <c r="H562" i="4"/>
  <c r="N37" i="29" s="1"/>
  <c r="L244" i="4"/>
  <c r="J529"/>
  <c r="J471"/>
  <c r="J480" s="1"/>
  <c r="N642" i="1"/>
  <c r="N634"/>
  <c r="Q642"/>
  <c r="Q634"/>
  <c r="X365"/>
  <c r="W387"/>
  <c r="J634"/>
  <c r="J642"/>
  <c r="W215"/>
  <c r="X215" s="1"/>
  <c r="G246"/>
  <c r="G217"/>
  <c r="W217" s="1"/>
  <c r="X217" s="1"/>
  <c r="X405"/>
  <c r="W416"/>
  <c r="K44" i="4"/>
  <c r="S44"/>
  <c r="T44"/>
  <c r="H44"/>
  <c r="I44"/>
  <c r="M44"/>
  <c r="N44"/>
  <c r="G44"/>
  <c r="R44"/>
  <c r="J44"/>
  <c r="L44"/>
  <c r="S426"/>
  <c r="R426"/>
  <c r="T426"/>
  <c r="H426"/>
  <c r="L426"/>
  <c r="G426"/>
  <c r="N426"/>
  <c r="K426"/>
  <c r="I426"/>
  <c r="I23" i="30" s="1"/>
  <c r="J426" i="4"/>
  <c r="I23" i="31" s="1"/>
  <c r="M426" i="4"/>
  <c r="S432"/>
  <c r="T432"/>
  <c r="N432"/>
  <c r="I432"/>
  <c r="J432"/>
  <c r="G432"/>
  <c r="M432"/>
  <c r="L432"/>
  <c r="R432"/>
  <c r="H432"/>
  <c r="K432"/>
  <c r="J445"/>
  <c r="F23" i="31" s="1"/>
  <c r="K445" i="4"/>
  <c r="L445"/>
  <c r="I445"/>
  <c r="F23" i="30" s="1"/>
  <c r="H445" i="4"/>
  <c r="F23" i="29" s="1"/>
  <c r="M445" i="4"/>
  <c r="N445"/>
  <c r="G445"/>
  <c r="T41"/>
  <c r="K41"/>
  <c r="J41"/>
  <c r="R41"/>
  <c r="M41"/>
  <c r="I41"/>
  <c r="S41"/>
  <c r="H41"/>
  <c r="N41"/>
  <c r="G41"/>
  <c r="L41"/>
  <c r="J24"/>
  <c r="G24"/>
  <c r="H24"/>
  <c r="M24"/>
  <c r="S24"/>
  <c r="T24"/>
  <c r="N24"/>
  <c r="K24"/>
  <c r="L24"/>
  <c r="R24"/>
  <c r="I24"/>
  <c r="T10"/>
  <c r="R10"/>
  <c r="M10"/>
  <c r="G10"/>
  <c r="K10"/>
  <c r="J10"/>
  <c r="H10"/>
  <c r="N10"/>
  <c r="L10"/>
  <c r="S10"/>
  <c r="I10"/>
  <c r="Q542" i="1"/>
  <c r="Q547"/>
  <c r="F444" i="4" s="1"/>
  <c r="Q283" i="1"/>
  <c r="Q538"/>
  <c r="Q282"/>
  <c r="Q455"/>
  <c r="S537"/>
  <c r="Q285"/>
  <c r="Q97"/>
  <c r="Q451"/>
  <c r="Q287"/>
  <c r="Q457"/>
  <c r="Q279"/>
  <c r="Q541"/>
  <c r="Q454"/>
  <c r="Q459"/>
  <c r="O285"/>
  <c r="O537"/>
  <c r="O538"/>
  <c r="O455"/>
  <c r="O454"/>
  <c r="O541"/>
  <c r="O283"/>
  <c r="O97"/>
  <c r="O459"/>
  <c r="O451"/>
  <c r="O547"/>
  <c r="F442" i="4" s="1"/>
  <c r="O457" i="1"/>
  <c r="O282"/>
  <c r="O279"/>
  <c r="O542"/>
  <c r="O287"/>
  <c r="P282"/>
  <c r="P283"/>
  <c r="P97"/>
  <c r="P541"/>
  <c r="P547"/>
  <c r="F443" i="4" s="1"/>
  <c r="P457" i="1"/>
  <c r="P285"/>
  <c r="P455"/>
  <c r="P459"/>
  <c r="P538"/>
  <c r="P454"/>
  <c r="P542"/>
  <c r="P451"/>
  <c r="P279"/>
  <c r="P537"/>
  <c r="P287"/>
  <c r="G47" i="4"/>
  <c r="H47"/>
  <c r="S47"/>
  <c r="I47"/>
  <c r="L47"/>
  <c r="R47"/>
  <c r="K47"/>
  <c r="N47"/>
  <c r="T47"/>
  <c r="J47"/>
  <c r="M47"/>
  <c r="G332"/>
  <c r="G631" i="1"/>
  <c r="W631" s="1"/>
  <c r="X631" s="1"/>
  <c r="G116"/>
  <c r="W116" s="1"/>
  <c r="X116" s="1"/>
  <c r="G115"/>
  <c r="W115" s="1"/>
  <c r="X115" s="1"/>
  <c r="G113"/>
  <c r="W113" s="1"/>
  <c r="X113" s="1"/>
  <c r="G114"/>
  <c r="W114" s="1"/>
  <c r="X114" s="1"/>
  <c r="W108"/>
  <c r="H642"/>
  <c r="H634"/>
  <c r="L634"/>
  <c r="L642"/>
  <c r="M634"/>
  <c r="M642"/>
  <c r="S634"/>
  <c r="S642"/>
  <c r="G222" i="4"/>
  <c r="L30" i="27"/>
  <c r="L30" i="29"/>
  <c r="H222" i="4"/>
  <c r="J30" i="27"/>
  <c r="G288" i="4"/>
  <c r="I9"/>
  <c r="S9"/>
  <c r="H9"/>
  <c r="K9"/>
  <c r="N9"/>
  <c r="N11" s="1"/>
  <c r="T9"/>
  <c r="T11" s="1"/>
  <c r="G9"/>
  <c r="R9"/>
  <c r="F11"/>
  <c r="J9"/>
  <c r="L9"/>
  <c r="M9"/>
  <c r="M11" s="1"/>
  <c r="K439"/>
  <c r="J439"/>
  <c r="S439"/>
  <c r="H439"/>
  <c r="L439"/>
  <c r="R439"/>
  <c r="T439"/>
  <c r="G439"/>
  <c r="N439"/>
  <c r="I439"/>
  <c r="M439"/>
  <c r="K30" i="27"/>
  <c r="E15" i="26"/>
  <c r="K222" i="4"/>
  <c r="L222"/>
  <c r="S222"/>
  <c r="T222"/>
  <c r="I16"/>
  <c r="N16"/>
  <c r="S16"/>
  <c r="K16"/>
  <c r="G209"/>
  <c r="E12" i="26"/>
  <c r="J21" i="4"/>
  <c r="I21"/>
  <c r="R21"/>
  <c r="K21"/>
  <c r="N21"/>
  <c r="S21"/>
  <c r="J454" i="1"/>
  <c r="J459"/>
  <c r="J547"/>
  <c r="F427" i="4" s="1"/>
  <c r="J538" i="1"/>
  <c r="J97"/>
  <c r="J283"/>
  <c r="J282"/>
  <c r="J451"/>
  <c r="J537"/>
  <c r="J541"/>
  <c r="J457"/>
  <c r="J455"/>
  <c r="J287"/>
  <c r="J542"/>
  <c r="J279"/>
  <c r="J285"/>
  <c r="J197" i="4"/>
  <c r="L197"/>
  <c r="L199" s="1"/>
  <c r="M197"/>
  <c r="I197"/>
  <c r="G197"/>
  <c r="T197"/>
  <c r="T199" s="1"/>
  <c r="R197"/>
  <c r="R199" s="1"/>
  <c r="S197"/>
  <c r="S199" s="1"/>
  <c r="H197"/>
  <c r="N197"/>
  <c r="N199" s="1"/>
  <c r="K197"/>
  <c r="K199" s="1"/>
  <c r="F199"/>
  <c r="F281"/>
  <c r="H244"/>
  <c r="M32" i="29"/>
  <c r="G244" i="4"/>
  <c r="M32" i="27"/>
  <c r="G418" i="1"/>
  <c r="G389"/>
  <c r="W389" s="1"/>
  <c r="X389" s="1"/>
  <c r="U642"/>
  <c r="U634"/>
  <c r="P642"/>
  <c r="P634"/>
  <c r="O642"/>
  <c r="O634"/>
  <c r="U97"/>
  <c r="U547"/>
  <c r="F455" i="4" s="1"/>
  <c r="U541" i="1"/>
  <c r="U459"/>
  <c r="U457"/>
  <c r="U455"/>
  <c r="U451"/>
  <c r="U287"/>
  <c r="U454"/>
  <c r="U279"/>
  <c r="U542"/>
  <c r="U538"/>
  <c r="U282"/>
  <c r="U283"/>
  <c r="U285"/>
  <c r="H621" i="4"/>
  <c r="H598" s="1"/>
  <c r="G621"/>
  <c r="O621"/>
  <c r="O598" s="1"/>
  <c r="J621"/>
  <c r="J598" s="1"/>
  <c r="M621"/>
  <c r="M598" s="1"/>
  <c r="M449" s="1"/>
  <c r="P621"/>
  <c r="P598" s="1"/>
  <c r="F598"/>
  <c r="L621"/>
  <c r="L598" s="1"/>
  <c r="K621"/>
  <c r="K598" s="1"/>
  <c r="Q621"/>
  <c r="Q598" s="1"/>
  <c r="N621"/>
  <c r="I621"/>
  <c r="I598" s="1"/>
  <c r="L431"/>
  <c r="L433" s="1"/>
  <c r="F433"/>
  <c r="G431"/>
  <c r="T431"/>
  <c r="T433" s="1"/>
  <c r="R431"/>
  <c r="H431"/>
  <c r="H433" s="1"/>
  <c r="M431"/>
  <c r="S431"/>
  <c r="S433" s="1"/>
  <c r="J431"/>
  <c r="N431"/>
  <c r="N433" s="1"/>
  <c r="I431"/>
  <c r="I433" s="1"/>
  <c r="K431"/>
  <c r="K433" s="1"/>
  <c r="T457" i="1"/>
  <c r="T279"/>
  <c r="T542"/>
  <c r="T459"/>
  <c r="T97"/>
  <c r="T547"/>
  <c r="F452" i="4" s="1"/>
  <c r="T282" i="1"/>
  <c r="T454"/>
  <c r="V537"/>
  <c r="T283"/>
  <c r="T285"/>
  <c r="T538"/>
  <c r="T65"/>
  <c r="T287"/>
  <c r="T451"/>
  <c r="T455"/>
  <c r="T541"/>
  <c r="M542"/>
  <c r="M455"/>
  <c r="M457"/>
  <c r="M454"/>
  <c r="M541"/>
  <c r="M282"/>
  <c r="M285"/>
  <c r="M279"/>
  <c r="M97"/>
  <c r="M547"/>
  <c r="F436" i="4" s="1"/>
  <c r="M537" i="1"/>
  <c r="M451"/>
  <c r="M459"/>
  <c r="M287"/>
  <c r="M538"/>
  <c r="M283"/>
  <c r="E30" i="27"/>
  <c r="H287" i="1"/>
  <c r="H538"/>
  <c r="H459"/>
  <c r="H282"/>
  <c r="H455"/>
  <c r="H457"/>
  <c r="H279"/>
  <c r="H283"/>
  <c r="H451"/>
  <c r="H454"/>
  <c r="H541"/>
  <c r="H542"/>
  <c r="H285"/>
  <c r="H547"/>
  <c r="F422" i="4" s="1"/>
  <c r="H97" i="1"/>
  <c r="H537"/>
  <c r="G33" i="4"/>
  <c r="H33"/>
  <c r="L33"/>
  <c r="N33"/>
  <c r="K33"/>
  <c r="I33"/>
  <c r="J33"/>
  <c r="M33"/>
  <c r="F35"/>
  <c r="T31"/>
  <c r="S31"/>
  <c r="H31"/>
  <c r="R31"/>
  <c r="L31"/>
  <c r="N31"/>
  <c r="J31"/>
  <c r="I31"/>
  <c r="K31"/>
  <c r="G31"/>
  <c r="M31"/>
  <c r="K32"/>
  <c r="R32"/>
  <c r="G32"/>
  <c r="S32"/>
  <c r="M32"/>
  <c r="J32"/>
  <c r="H32"/>
  <c r="I32"/>
  <c r="T32"/>
  <c r="N32"/>
  <c r="L32"/>
  <c r="V541" i="1"/>
  <c r="V538"/>
  <c r="V459"/>
  <c r="V542"/>
  <c r="V282"/>
  <c r="V451"/>
  <c r="V457"/>
  <c r="V287"/>
  <c r="V455"/>
  <c r="V285"/>
  <c r="V454"/>
  <c r="V97"/>
  <c r="V547"/>
  <c r="F458" i="4" s="1"/>
  <c r="V279" i="1"/>
  <c r="V283"/>
  <c r="F369" i="4"/>
  <c r="K634" i="1"/>
  <c r="K642"/>
  <c r="T634"/>
  <c r="T642"/>
  <c r="V634"/>
  <c r="V642"/>
  <c r="R642"/>
  <c r="R634"/>
  <c r="I634"/>
  <c r="I642"/>
  <c r="W244"/>
  <c r="X244" s="1"/>
  <c r="X233"/>
  <c r="G16" i="4"/>
  <c r="R449"/>
  <c r="T449"/>
  <c r="L449"/>
  <c r="H449"/>
  <c r="I449"/>
  <c r="J449"/>
  <c r="K449"/>
  <c r="N449"/>
  <c r="S449"/>
  <c r="F325"/>
  <c r="G459" i="1"/>
  <c r="G451"/>
  <c r="G538"/>
  <c r="G285"/>
  <c r="W285" s="1"/>
  <c r="X285" s="1"/>
  <c r="G537"/>
  <c r="G283"/>
  <c r="G454"/>
  <c r="G97"/>
  <c r="G455"/>
  <c r="W455" s="1"/>
  <c r="X455" s="1"/>
  <c r="G542"/>
  <c r="G547"/>
  <c r="G279"/>
  <c r="W279" s="1"/>
  <c r="X279" s="1"/>
  <c r="G541"/>
  <c r="G282"/>
  <c r="G457"/>
  <c r="G287"/>
  <c r="W63"/>
  <c r="X63" s="1"/>
  <c r="G21" i="4"/>
  <c r="N222"/>
  <c r="J222"/>
  <c r="R222"/>
  <c r="I222"/>
  <c r="J16"/>
  <c r="L16"/>
  <c r="H16"/>
  <c r="R16"/>
  <c r="T16"/>
  <c r="L21"/>
  <c r="T21"/>
  <c r="H21"/>
  <c r="W287" i="1" l="1"/>
  <c r="X287" s="1"/>
  <c r="W541"/>
  <c r="X541" s="1"/>
  <c r="W459"/>
  <c r="X459" s="1"/>
  <c r="W542"/>
  <c r="X542" s="1"/>
  <c r="W451"/>
  <c r="X451" s="1"/>
  <c r="W457"/>
  <c r="X457" s="1"/>
  <c r="W454"/>
  <c r="X454" s="1"/>
  <c r="K11" i="4"/>
  <c r="J433"/>
  <c r="M433"/>
  <c r="R433"/>
  <c r="J11"/>
  <c r="R11"/>
  <c r="L11"/>
  <c r="W538" i="1"/>
  <c r="X538" s="1"/>
  <c r="S11" i="4"/>
  <c r="I564"/>
  <c r="N37" i="30"/>
  <c r="H11" i="4"/>
  <c r="J199"/>
  <c r="M30" i="31"/>
  <c r="I199" i="4"/>
  <c r="M30" i="30"/>
  <c r="I11" i="4"/>
  <c r="J562"/>
  <c r="C12" i="28"/>
  <c r="H564" i="4"/>
  <c r="L254"/>
  <c r="L355"/>
  <c r="L298"/>
  <c r="L311"/>
  <c r="L249"/>
  <c r="L204"/>
  <c r="L529"/>
  <c r="L471"/>
  <c r="C27" i="28"/>
  <c r="C26"/>
  <c r="L209" i="4"/>
  <c r="L337"/>
  <c r="L342"/>
  <c r="L293"/>
  <c r="L267"/>
  <c r="M566"/>
  <c r="U566" s="1"/>
  <c r="V566" s="1"/>
  <c r="M565"/>
  <c r="U565" s="1"/>
  <c r="V565" s="1"/>
  <c r="M495"/>
  <c r="U495" s="1"/>
  <c r="V495" s="1"/>
  <c r="M467"/>
  <c r="U467" s="1"/>
  <c r="V467" s="1"/>
  <c r="N2"/>
  <c r="O2" s="1"/>
  <c r="O476" s="1"/>
  <c r="M475"/>
  <c r="M504"/>
  <c r="U504" s="1"/>
  <c r="V504" s="1"/>
  <c r="M466"/>
  <c r="M477"/>
  <c r="U477" s="1"/>
  <c r="V477" s="1"/>
  <c r="M279"/>
  <c r="U279" s="1"/>
  <c r="V279" s="1"/>
  <c r="M247"/>
  <c r="M291"/>
  <c r="M301"/>
  <c r="U301" s="1"/>
  <c r="V301" s="1"/>
  <c r="M361"/>
  <c r="U361" s="1"/>
  <c r="V361" s="1"/>
  <c r="M257"/>
  <c r="U257" s="1"/>
  <c r="V257" s="1"/>
  <c r="M308"/>
  <c r="U308" s="1"/>
  <c r="V308" s="1"/>
  <c r="M331"/>
  <c r="M307"/>
  <c r="M287"/>
  <c r="U287" s="1"/>
  <c r="V287" s="1"/>
  <c r="M352"/>
  <c r="M253"/>
  <c r="U253" s="1"/>
  <c r="V253" s="1"/>
  <c r="M336"/>
  <c r="M266"/>
  <c r="M296"/>
  <c r="M340"/>
  <c r="M234"/>
  <c r="U234" s="1"/>
  <c r="V234" s="1"/>
  <c r="M353"/>
  <c r="M198"/>
  <c r="M199" s="1"/>
  <c r="M273"/>
  <c r="U273" s="1"/>
  <c r="V273" s="1"/>
  <c r="M263"/>
  <c r="U263" s="1"/>
  <c r="V263" s="1"/>
  <c r="M351"/>
  <c r="M297"/>
  <c r="M207"/>
  <c r="U207" s="1"/>
  <c r="V207" s="1"/>
  <c r="M367"/>
  <c r="M215"/>
  <c r="U215" s="1"/>
  <c r="V215" s="1"/>
  <c r="M260"/>
  <c r="M317"/>
  <c r="M202"/>
  <c r="M345"/>
  <c r="U345" s="1"/>
  <c r="V345" s="1"/>
  <c r="M309"/>
  <c r="M320"/>
  <c r="U320" s="1"/>
  <c r="V320" s="1"/>
  <c r="M243"/>
  <c r="U243" s="1"/>
  <c r="V243" s="1"/>
  <c r="M264"/>
  <c r="U264" s="1"/>
  <c r="V264" s="1"/>
  <c r="M248"/>
  <c r="U248" s="1"/>
  <c r="V248" s="1"/>
  <c r="M354"/>
  <c r="M310"/>
  <c r="M323"/>
  <c r="U323" s="1"/>
  <c r="V323" s="1"/>
  <c r="M265"/>
  <c r="M335"/>
  <c r="M337" s="1"/>
  <c r="M364"/>
  <c r="U364" s="1"/>
  <c r="V364" s="1"/>
  <c r="M276"/>
  <c r="U276" s="1"/>
  <c r="V276" s="1"/>
  <c r="M341"/>
  <c r="U341" s="1"/>
  <c r="V341" s="1"/>
  <c r="M292"/>
  <c r="U292" s="1"/>
  <c r="V292" s="1"/>
  <c r="M252"/>
  <c r="M348"/>
  <c r="U348" s="1"/>
  <c r="V348" s="1"/>
  <c r="M304"/>
  <c r="U304" s="1"/>
  <c r="V304" s="1"/>
  <c r="M34"/>
  <c r="M203"/>
  <c r="U203" s="1"/>
  <c r="V203" s="1"/>
  <c r="M231"/>
  <c r="U231" s="1"/>
  <c r="V231" s="1"/>
  <c r="M15"/>
  <c r="U15" s="1"/>
  <c r="V15" s="1"/>
  <c r="M221"/>
  <c r="M219"/>
  <c r="U219" s="1"/>
  <c r="V219" s="1"/>
  <c r="M220"/>
  <c r="M208"/>
  <c r="M212"/>
  <c r="U212" s="1"/>
  <c r="V212" s="1"/>
  <c r="M242"/>
  <c r="M19"/>
  <c r="M286"/>
  <c r="M20"/>
  <c r="U20" s="1"/>
  <c r="V20" s="1"/>
  <c r="M14"/>
  <c r="M218"/>
  <c r="M228"/>
  <c r="U228" s="1"/>
  <c r="V228" s="1"/>
  <c r="M330"/>
  <c r="M27"/>
  <c r="U27" s="1"/>
  <c r="V27" s="1"/>
  <c r="L478"/>
  <c r="U475"/>
  <c r="V475" s="1"/>
  <c r="U260"/>
  <c r="V260" s="1"/>
  <c r="U367"/>
  <c r="V367" s="1"/>
  <c r="U352"/>
  <c r="V352" s="1"/>
  <c r="U317"/>
  <c r="V317" s="1"/>
  <c r="U297"/>
  <c r="V297" s="1"/>
  <c r="U198"/>
  <c r="V198" s="1"/>
  <c r="U336"/>
  <c r="V336" s="1"/>
  <c r="U331"/>
  <c r="V331" s="1"/>
  <c r="W282" i="1"/>
  <c r="X282" s="1"/>
  <c r="W283"/>
  <c r="X283" s="1"/>
  <c r="I286"/>
  <c r="I448"/>
  <c r="I277"/>
  <c r="I449"/>
  <c r="I284"/>
  <c r="I453"/>
  <c r="I275"/>
  <c r="I456"/>
  <c r="I450"/>
  <c r="I281"/>
  <c r="I278"/>
  <c r="I280"/>
  <c r="I452"/>
  <c r="I447"/>
  <c r="I276"/>
  <c r="I458"/>
  <c r="T450"/>
  <c r="T278"/>
  <c r="T276"/>
  <c r="T452"/>
  <c r="T448"/>
  <c r="T458"/>
  <c r="T281"/>
  <c r="T456"/>
  <c r="T286"/>
  <c r="T277"/>
  <c r="T453"/>
  <c r="T447"/>
  <c r="T449"/>
  <c r="T275"/>
  <c r="T280"/>
  <c r="T284"/>
  <c r="K276"/>
  <c r="K450"/>
  <c r="K281"/>
  <c r="K456"/>
  <c r="K452"/>
  <c r="K447"/>
  <c r="K277"/>
  <c r="K284"/>
  <c r="K286"/>
  <c r="K448"/>
  <c r="K280"/>
  <c r="K453"/>
  <c r="K458"/>
  <c r="K275"/>
  <c r="K278"/>
  <c r="K449"/>
  <c r="G35" i="4"/>
  <c r="U31"/>
  <c r="V31" s="1"/>
  <c r="N422"/>
  <c r="H422"/>
  <c r="J422"/>
  <c r="K422"/>
  <c r="R422"/>
  <c r="L422"/>
  <c r="O422"/>
  <c r="T422"/>
  <c r="I422"/>
  <c r="G422"/>
  <c r="S422"/>
  <c r="M422"/>
  <c r="S436"/>
  <c r="K436"/>
  <c r="I436"/>
  <c r="H436"/>
  <c r="M436"/>
  <c r="N436"/>
  <c r="R436"/>
  <c r="L436"/>
  <c r="T436"/>
  <c r="G436"/>
  <c r="J436"/>
  <c r="O436"/>
  <c r="U431"/>
  <c r="V431" s="1"/>
  <c r="G433"/>
  <c r="K314"/>
  <c r="K325" s="1"/>
  <c r="K225"/>
  <c r="K358"/>
  <c r="K369" s="1"/>
  <c r="K270"/>
  <c r="K281" s="1"/>
  <c r="K38"/>
  <c r="J225"/>
  <c r="G30" i="31" s="1"/>
  <c r="J270" i="4"/>
  <c r="J314"/>
  <c r="J325" s="1"/>
  <c r="J358"/>
  <c r="J369" s="1"/>
  <c r="J38"/>
  <c r="U621"/>
  <c r="V621" s="1"/>
  <c r="G598"/>
  <c r="P458" i="1"/>
  <c r="P281"/>
  <c r="P452"/>
  <c r="P278"/>
  <c r="P453"/>
  <c r="P456"/>
  <c r="P450"/>
  <c r="P280"/>
  <c r="P286"/>
  <c r="P277"/>
  <c r="P447"/>
  <c r="P275"/>
  <c r="P284"/>
  <c r="P276"/>
  <c r="P449"/>
  <c r="P448"/>
  <c r="F485" i="4"/>
  <c r="F236"/>
  <c r="S427"/>
  <c r="N427"/>
  <c r="N428" s="1"/>
  <c r="K427"/>
  <c r="G427"/>
  <c r="M427"/>
  <c r="O427"/>
  <c r="I427"/>
  <c r="J23" i="30" s="1"/>
  <c r="R427" i="4"/>
  <c r="R428" s="1"/>
  <c r="H427"/>
  <c r="J23" i="29" s="1"/>
  <c r="J427" i="4"/>
  <c r="J23" i="31" s="1"/>
  <c r="T427" i="4"/>
  <c r="T428" s="1"/>
  <c r="L427"/>
  <c r="G11"/>
  <c r="U9"/>
  <c r="V9" s="1"/>
  <c r="S284" i="1"/>
  <c r="S450"/>
  <c r="S453"/>
  <c r="S280"/>
  <c r="S277"/>
  <c r="S286"/>
  <c r="S456"/>
  <c r="S458"/>
  <c r="S448"/>
  <c r="S449"/>
  <c r="S276"/>
  <c r="S275"/>
  <c r="S447"/>
  <c r="S278"/>
  <c r="S281"/>
  <c r="S452"/>
  <c r="L284"/>
  <c r="L453"/>
  <c r="L281"/>
  <c r="L280"/>
  <c r="L277"/>
  <c r="L448"/>
  <c r="L447"/>
  <c r="L275"/>
  <c r="L286"/>
  <c r="L449"/>
  <c r="L276"/>
  <c r="L450"/>
  <c r="L278"/>
  <c r="L456"/>
  <c r="L452"/>
  <c r="L458"/>
  <c r="H448"/>
  <c r="H453"/>
  <c r="H447"/>
  <c r="H277"/>
  <c r="H286"/>
  <c r="H458"/>
  <c r="H280"/>
  <c r="H450"/>
  <c r="H456"/>
  <c r="H276"/>
  <c r="H449"/>
  <c r="H452"/>
  <c r="H278"/>
  <c r="H284"/>
  <c r="H275"/>
  <c r="H281"/>
  <c r="J444" i="4"/>
  <c r="K444"/>
  <c r="G444"/>
  <c r="N444"/>
  <c r="M444"/>
  <c r="O444"/>
  <c r="H444"/>
  <c r="I444"/>
  <c r="L444"/>
  <c r="F23" i="27"/>
  <c r="U445" i="4"/>
  <c r="V445" s="1"/>
  <c r="G428"/>
  <c r="I23" i="27"/>
  <c r="U426" i="4"/>
  <c r="V426" s="1"/>
  <c r="I23" i="29"/>
  <c r="W246" i="1"/>
  <c r="X246" s="1"/>
  <c r="G634"/>
  <c r="W634" s="1"/>
  <c r="X634" s="1"/>
  <c r="G642"/>
  <c r="N458"/>
  <c r="N452"/>
  <c r="N450"/>
  <c r="N280"/>
  <c r="N447"/>
  <c r="N277"/>
  <c r="N284"/>
  <c r="N448"/>
  <c r="N276"/>
  <c r="N286"/>
  <c r="N453"/>
  <c r="N449"/>
  <c r="N275"/>
  <c r="N456"/>
  <c r="N281"/>
  <c r="N278"/>
  <c r="U32" i="4"/>
  <c r="V32" s="1"/>
  <c r="I35"/>
  <c r="N35"/>
  <c r="R35"/>
  <c r="S35"/>
  <c r="U24"/>
  <c r="V24" s="1"/>
  <c r="K428"/>
  <c r="U44"/>
  <c r="V44" s="1"/>
  <c r="F421"/>
  <c r="W547" i="1"/>
  <c r="X547" s="1"/>
  <c r="W537"/>
  <c r="X537" s="1"/>
  <c r="W97"/>
  <c r="X97" s="1"/>
  <c r="R453"/>
  <c r="R456"/>
  <c r="R278"/>
  <c r="R448"/>
  <c r="R286"/>
  <c r="R447"/>
  <c r="R277"/>
  <c r="R284"/>
  <c r="R281"/>
  <c r="R275"/>
  <c r="R450"/>
  <c r="R458"/>
  <c r="R280"/>
  <c r="R449"/>
  <c r="R452"/>
  <c r="R276"/>
  <c r="V286"/>
  <c r="V284"/>
  <c r="V458"/>
  <c r="V281"/>
  <c r="V276"/>
  <c r="V456"/>
  <c r="V453"/>
  <c r="V449"/>
  <c r="V277"/>
  <c r="V448"/>
  <c r="V278"/>
  <c r="V447"/>
  <c r="V280"/>
  <c r="V450"/>
  <c r="V452"/>
  <c r="V275"/>
  <c r="N458" i="4"/>
  <c r="R458"/>
  <c r="H458"/>
  <c r="T458"/>
  <c r="L458"/>
  <c r="O458"/>
  <c r="I458"/>
  <c r="K458"/>
  <c r="G458"/>
  <c r="J458"/>
  <c r="S458"/>
  <c r="M458"/>
  <c r="N452"/>
  <c r="R452"/>
  <c r="K452"/>
  <c r="S452"/>
  <c r="I452"/>
  <c r="M452"/>
  <c r="T452"/>
  <c r="J452"/>
  <c r="G452"/>
  <c r="H452"/>
  <c r="L452"/>
  <c r="O452"/>
  <c r="I314"/>
  <c r="I325" s="1"/>
  <c r="I358"/>
  <c r="I369" s="1"/>
  <c r="I225"/>
  <c r="G30" i="30" s="1"/>
  <c r="I270" i="4"/>
  <c r="I38"/>
  <c r="L225"/>
  <c r="L358"/>
  <c r="L369" s="1"/>
  <c r="L270"/>
  <c r="L281" s="1"/>
  <c r="L314"/>
  <c r="L325" s="1"/>
  <c r="L38"/>
  <c r="R314"/>
  <c r="R325" s="1"/>
  <c r="S314"/>
  <c r="S325" s="1"/>
  <c r="R225"/>
  <c r="N225"/>
  <c r="N236" s="1"/>
  <c r="T358"/>
  <c r="T369" s="1"/>
  <c r="S358"/>
  <c r="S369" s="1"/>
  <c r="T270"/>
  <c r="T281" s="1"/>
  <c r="N314"/>
  <c r="N325" s="1"/>
  <c r="T314"/>
  <c r="T325" s="1"/>
  <c r="S225"/>
  <c r="S236" s="1"/>
  <c r="T225"/>
  <c r="T236" s="1"/>
  <c r="R358"/>
  <c r="R369" s="1"/>
  <c r="N358"/>
  <c r="N369" s="1"/>
  <c r="N270"/>
  <c r="N281" s="1"/>
  <c r="R270"/>
  <c r="R281" s="1"/>
  <c r="S270"/>
  <c r="S281" s="1"/>
  <c r="R38"/>
  <c r="S38"/>
  <c r="T38"/>
  <c r="N38"/>
  <c r="M314"/>
  <c r="M225"/>
  <c r="M270"/>
  <c r="M358"/>
  <c r="M38"/>
  <c r="O358"/>
  <c r="O270"/>
  <c r="O314"/>
  <c r="O225"/>
  <c r="O38"/>
  <c r="H314"/>
  <c r="H325" s="1"/>
  <c r="H225"/>
  <c r="G30" i="29" s="1"/>
  <c r="H358" i="4"/>
  <c r="H369" s="1"/>
  <c r="H270"/>
  <c r="H38"/>
  <c r="T455"/>
  <c r="H455"/>
  <c r="G455"/>
  <c r="K455"/>
  <c r="J455"/>
  <c r="I455"/>
  <c r="S455"/>
  <c r="L455"/>
  <c r="O455"/>
  <c r="R455"/>
  <c r="N455"/>
  <c r="M455"/>
  <c r="O447" i="1"/>
  <c r="O284"/>
  <c r="O280"/>
  <c r="O277"/>
  <c r="O456"/>
  <c r="O278"/>
  <c r="O281"/>
  <c r="O275"/>
  <c r="O449"/>
  <c r="O453"/>
  <c r="O286"/>
  <c r="O450"/>
  <c r="O276"/>
  <c r="O448"/>
  <c r="O458"/>
  <c r="O452"/>
  <c r="U281"/>
  <c r="U449"/>
  <c r="U456"/>
  <c r="U277"/>
  <c r="U450"/>
  <c r="U284"/>
  <c r="U278"/>
  <c r="U447"/>
  <c r="U453"/>
  <c r="U458"/>
  <c r="U286"/>
  <c r="U276"/>
  <c r="U452"/>
  <c r="U448"/>
  <c r="U275"/>
  <c r="U280"/>
  <c r="G643"/>
  <c r="W643" s="1"/>
  <c r="X643" s="1"/>
  <c r="H199" i="4"/>
  <c r="M30" i="29"/>
  <c r="G199" i="4"/>
  <c r="U197"/>
  <c r="V197" s="1"/>
  <c r="M30" i="27"/>
  <c r="F49" i="4"/>
  <c r="M456" i="1"/>
  <c r="M276"/>
  <c r="M281"/>
  <c r="M453"/>
  <c r="M449"/>
  <c r="M448"/>
  <c r="M284"/>
  <c r="M286"/>
  <c r="M277"/>
  <c r="M450"/>
  <c r="M458"/>
  <c r="M278"/>
  <c r="M280"/>
  <c r="M452"/>
  <c r="M447"/>
  <c r="M275"/>
  <c r="X108"/>
  <c r="Y108"/>
  <c r="H443" i="4"/>
  <c r="E23" i="29" s="1"/>
  <c r="T443" i="4"/>
  <c r="K443"/>
  <c r="L443"/>
  <c r="N443"/>
  <c r="M443"/>
  <c r="J443"/>
  <c r="E23" i="31" s="1"/>
  <c r="R443" i="4"/>
  <c r="O443"/>
  <c r="G443"/>
  <c r="S443"/>
  <c r="I443"/>
  <c r="E23" i="30" s="1"/>
  <c r="F446" i="4"/>
  <c r="M442"/>
  <c r="L442"/>
  <c r="N442"/>
  <c r="G442"/>
  <c r="R442"/>
  <c r="K442"/>
  <c r="H442"/>
  <c r="O442"/>
  <c r="J442"/>
  <c r="L23" i="31" s="1"/>
  <c r="S442" i="4"/>
  <c r="T442"/>
  <c r="I442"/>
  <c r="L23" i="30" s="1"/>
  <c r="J450" i="1"/>
  <c r="J458"/>
  <c r="J277"/>
  <c r="J447"/>
  <c r="J276"/>
  <c r="J286"/>
  <c r="J453"/>
  <c r="J448"/>
  <c r="J456"/>
  <c r="J281"/>
  <c r="J275"/>
  <c r="J278"/>
  <c r="J280"/>
  <c r="J452"/>
  <c r="J449"/>
  <c r="J284"/>
  <c r="X387"/>
  <c r="W418"/>
  <c r="Q458"/>
  <c r="Q277"/>
  <c r="Q286"/>
  <c r="Q280"/>
  <c r="Q276"/>
  <c r="Q450"/>
  <c r="Q278"/>
  <c r="Q456"/>
  <c r="Q452"/>
  <c r="Q281"/>
  <c r="Q453"/>
  <c r="Q284"/>
  <c r="Q448"/>
  <c r="Q447"/>
  <c r="Q275"/>
  <c r="Q449"/>
  <c r="M35" i="4"/>
  <c r="K35"/>
  <c r="J35"/>
  <c r="J49" s="1"/>
  <c r="J501" s="1"/>
  <c r="L35"/>
  <c r="H35"/>
  <c r="T35"/>
  <c r="K236"/>
  <c r="R236"/>
  <c r="L236"/>
  <c r="J236"/>
  <c r="U439"/>
  <c r="V439" s="1"/>
  <c r="U47"/>
  <c r="V47" s="1"/>
  <c r="U10"/>
  <c r="V10" s="1"/>
  <c r="U41"/>
  <c r="V41" s="1"/>
  <c r="U432"/>
  <c r="V432" s="1"/>
  <c r="M428"/>
  <c r="F428"/>
  <c r="I428"/>
  <c r="L428"/>
  <c r="S428"/>
  <c r="T446" l="1"/>
  <c r="G23" i="29"/>
  <c r="R446" i="4"/>
  <c r="L49"/>
  <c r="L501" s="1"/>
  <c r="I49"/>
  <c r="I501" s="1"/>
  <c r="H49"/>
  <c r="H501" s="1"/>
  <c r="I236"/>
  <c r="T49"/>
  <c r="T501" s="1"/>
  <c r="K49"/>
  <c r="K501" s="1"/>
  <c r="N49"/>
  <c r="S49"/>
  <c r="U433"/>
  <c r="V433" s="1"/>
  <c r="M254"/>
  <c r="U254" s="1"/>
  <c r="V254" s="1"/>
  <c r="J428"/>
  <c r="R49"/>
  <c r="H428"/>
  <c r="J564"/>
  <c r="N37" i="31"/>
  <c r="G23" i="30"/>
  <c r="H23" s="1"/>
  <c r="G23" i="31"/>
  <c r="H23" s="1"/>
  <c r="H30" i="30"/>
  <c r="N30"/>
  <c r="H30" i="31"/>
  <c r="N30"/>
  <c r="H236" i="4"/>
  <c r="I281"/>
  <c r="G32" i="30"/>
  <c r="J281" i="4"/>
  <c r="G32" i="31"/>
  <c r="K23" i="30"/>
  <c r="K23" i="31"/>
  <c r="I446" i="4"/>
  <c r="J446"/>
  <c r="M332"/>
  <c r="U332" s="1"/>
  <c r="V332" s="1"/>
  <c r="U330"/>
  <c r="V330" s="1"/>
  <c r="U218"/>
  <c r="V218" s="1"/>
  <c r="M222"/>
  <c r="U222" s="1"/>
  <c r="V222" s="1"/>
  <c r="M21"/>
  <c r="U21" s="1"/>
  <c r="V21" s="1"/>
  <c r="U19"/>
  <c r="V19" s="1"/>
  <c r="M529"/>
  <c r="U466"/>
  <c r="V466" s="1"/>
  <c r="M355"/>
  <c r="U355" s="1"/>
  <c r="V355" s="1"/>
  <c r="M342"/>
  <c r="U342" s="1"/>
  <c r="V342" s="1"/>
  <c r="M249"/>
  <c r="M478"/>
  <c r="U478" s="1"/>
  <c r="V478" s="1"/>
  <c r="U335"/>
  <c r="V335" s="1"/>
  <c r="U247"/>
  <c r="V247" s="1"/>
  <c r="U14"/>
  <c r="V14" s="1"/>
  <c r="M16"/>
  <c r="U16" s="1"/>
  <c r="V16" s="1"/>
  <c r="M288"/>
  <c r="U288" s="1"/>
  <c r="V288" s="1"/>
  <c r="U286"/>
  <c r="V286" s="1"/>
  <c r="M244"/>
  <c r="U244" s="1"/>
  <c r="V244" s="1"/>
  <c r="U242"/>
  <c r="V242" s="1"/>
  <c r="M209"/>
  <c r="U209" s="1"/>
  <c r="V209" s="1"/>
  <c r="U208"/>
  <c r="V208" s="1"/>
  <c r="O566"/>
  <c r="O565"/>
  <c r="O466"/>
  <c r="O468"/>
  <c r="O495"/>
  <c r="O469"/>
  <c r="O467"/>
  <c r="O475"/>
  <c r="P2"/>
  <c r="P476" s="1"/>
  <c r="O477"/>
  <c r="O504"/>
  <c r="O317"/>
  <c r="O202"/>
  <c r="O309"/>
  <c r="O257"/>
  <c r="O331"/>
  <c r="O307"/>
  <c r="O320"/>
  <c r="O243"/>
  <c r="O264"/>
  <c r="O248"/>
  <c r="O354"/>
  <c r="O310"/>
  <c r="O340"/>
  <c r="O234"/>
  <c r="O353"/>
  <c r="O265"/>
  <c r="O273"/>
  <c r="O335"/>
  <c r="O351"/>
  <c r="O341"/>
  <c r="O297"/>
  <c r="O260"/>
  <c r="O279"/>
  <c r="O247"/>
  <c r="O249" s="1"/>
  <c r="O291"/>
  <c r="O345"/>
  <c r="O301"/>
  <c r="O361"/>
  <c r="O308"/>
  <c r="O287"/>
  <c r="O352"/>
  <c r="O253"/>
  <c r="O336"/>
  <c r="O266"/>
  <c r="O296"/>
  <c r="O323"/>
  <c r="O198"/>
  <c r="O263"/>
  <c r="O364"/>
  <c r="O276"/>
  <c r="O292"/>
  <c r="O207"/>
  <c r="O252"/>
  <c r="O367"/>
  <c r="O215"/>
  <c r="O348"/>
  <c r="O304"/>
  <c r="O19"/>
  <c r="O34"/>
  <c r="O286"/>
  <c r="O288" s="1"/>
  <c r="O20"/>
  <c r="O203"/>
  <c r="O228"/>
  <c r="O220"/>
  <c r="O27"/>
  <c r="O208"/>
  <c r="O212"/>
  <c r="O242"/>
  <c r="O244" s="1"/>
  <c r="O14"/>
  <c r="O231"/>
  <c r="O218"/>
  <c r="O15"/>
  <c r="O330"/>
  <c r="O332" s="1"/>
  <c r="O221"/>
  <c r="O219"/>
  <c r="O24"/>
  <c r="O10"/>
  <c r="O9"/>
  <c r="O431"/>
  <c r="O33"/>
  <c r="O31"/>
  <c r="O32"/>
  <c r="O44"/>
  <c r="O426"/>
  <c r="O428" s="1"/>
  <c r="O432"/>
  <c r="O445"/>
  <c r="O446" s="1"/>
  <c r="O41"/>
  <c r="O47"/>
  <c r="O439"/>
  <c r="O197"/>
  <c r="O449"/>
  <c r="L480"/>
  <c r="M204"/>
  <c r="M236" s="1"/>
  <c r="M267"/>
  <c r="M281" s="1"/>
  <c r="M298"/>
  <c r="U298" s="1"/>
  <c r="V298" s="1"/>
  <c r="M311"/>
  <c r="U311" s="1"/>
  <c r="V311" s="1"/>
  <c r="M293"/>
  <c r="U293" s="1"/>
  <c r="V293" s="1"/>
  <c r="U267"/>
  <c r="V267" s="1"/>
  <c r="U291"/>
  <c r="V291" s="1"/>
  <c r="U340"/>
  <c r="V340" s="1"/>
  <c r="U337"/>
  <c r="V337" s="1"/>
  <c r="U202"/>
  <c r="V202" s="1"/>
  <c r="U249"/>
  <c r="V249" s="1"/>
  <c r="U307"/>
  <c r="V307" s="1"/>
  <c r="U296"/>
  <c r="V296" s="1"/>
  <c r="U351"/>
  <c r="V351" s="1"/>
  <c r="U252"/>
  <c r="V252" s="1"/>
  <c r="C28" i="28"/>
  <c r="Q290" i="1"/>
  <c r="Q292" s="1"/>
  <c r="K446" i="4"/>
  <c r="M446"/>
  <c r="M290" i="1"/>
  <c r="M292" s="1"/>
  <c r="U458" i="4"/>
  <c r="V458" s="1"/>
  <c r="V290" i="1"/>
  <c r="V292" s="1"/>
  <c r="L290"/>
  <c r="L292" s="1"/>
  <c r="L540" s="1"/>
  <c r="K485" i="4"/>
  <c r="U436"/>
  <c r="V436" s="1"/>
  <c r="R501"/>
  <c r="S446"/>
  <c r="N446"/>
  <c r="L446"/>
  <c r="U290" i="1"/>
  <c r="U292" s="1"/>
  <c r="N501" i="4"/>
  <c r="S501"/>
  <c r="L485"/>
  <c r="K23" i="29"/>
  <c r="K290" i="1"/>
  <c r="K292" s="1"/>
  <c r="F160" i="4" s="1"/>
  <c r="T496"/>
  <c r="T524"/>
  <c r="T484"/>
  <c r="T512"/>
  <c r="S484"/>
  <c r="S524"/>
  <c r="S496"/>
  <c r="S512"/>
  <c r="N496"/>
  <c r="N484"/>
  <c r="N512"/>
  <c r="N524"/>
  <c r="Q633" i="1"/>
  <c r="Q540"/>
  <c r="Q539"/>
  <c r="F173" i="4"/>
  <c r="L524"/>
  <c r="L512"/>
  <c r="L484"/>
  <c r="L496"/>
  <c r="R512"/>
  <c r="R524"/>
  <c r="R484"/>
  <c r="R496"/>
  <c r="G446"/>
  <c r="L23" i="27"/>
  <c r="U442" i="4"/>
  <c r="V442" s="1"/>
  <c r="H23" i="29"/>
  <c r="N30"/>
  <c r="H30"/>
  <c r="F187" i="4"/>
  <c r="V633" i="1"/>
  <c r="V540"/>
  <c r="V539"/>
  <c r="F161" i="4"/>
  <c r="K23" i="27"/>
  <c r="U422" i="4"/>
  <c r="V422" s="1"/>
  <c r="K539" i="1"/>
  <c r="Q462"/>
  <c r="Q464" s="1"/>
  <c r="J462"/>
  <c r="J464" s="1"/>
  <c r="M462"/>
  <c r="M464" s="1"/>
  <c r="U462"/>
  <c r="U464" s="1"/>
  <c r="O290"/>
  <c r="O292" s="1"/>
  <c r="G32" i="29"/>
  <c r="N485" i="4"/>
  <c r="I485"/>
  <c r="V462" i="1"/>
  <c r="V464" s="1"/>
  <c r="R290"/>
  <c r="R292" s="1"/>
  <c r="R462"/>
  <c r="R464" s="1"/>
  <c r="H281" i="4"/>
  <c r="H485" s="1"/>
  <c r="N290" i="1"/>
  <c r="N292" s="1"/>
  <c r="N462"/>
  <c r="N464" s="1"/>
  <c r="S290"/>
  <c r="S292" s="1"/>
  <c r="P462"/>
  <c r="P464" s="1"/>
  <c r="J485" i="4"/>
  <c r="K462" i="1"/>
  <c r="K464" s="1"/>
  <c r="T290"/>
  <c r="T292" s="1"/>
  <c r="T462"/>
  <c r="T464" s="1"/>
  <c r="I462"/>
  <c r="I464" s="1"/>
  <c r="J484" i="4"/>
  <c r="J512"/>
  <c r="J524"/>
  <c r="J496"/>
  <c r="I512"/>
  <c r="I484"/>
  <c r="I496"/>
  <c r="I524"/>
  <c r="K512"/>
  <c r="K524"/>
  <c r="K496"/>
  <c r="K484"/>
  <c r="H446"/>
  <c r="L23" i="29"/>
  <c r="E23" i="27"/>
  <c r="U443" i="4"/>
  <c r="V443" s="1"/>
  <c r="M633" i="1"/>
  <c r="M539"/>
  <c r="F165" i="4"/>
  <c r="M540" i="1"/>
  <c r="U199" i="4"/>
  <c r="V199" s="1"/>
  <c r="H484"/>
  <c r="H512"/>
  <c r="H496"/>
  <c r="H524"/>
  <c r="F184"/>
  <c r="U633" i="1"/>
  <c r="U539"/>
  <c r="U540"/>
  <c r="O421" i="4"/>
  <c r="O423" s="1"/>
  <c r="P421"/>
  <c r="N421"/>
  <c r="N423" s="1"/>
  <c r="N460" s="1"/>
  <c r="H421"/>
  <c r="R421"/>
  <c r="R423" s="1"/>
  <c r="R460" s="1"/>
  <c r="G421"/>
  <c r="F423"/>
  <c r="K421"/>
  <c r="K423" s="1"/>
  <c r="T421"/>
  <c r="T423" s="1"/>
  <c r="T460" s="1"/>
  <c r="L421"/>
  <c r="L423" s="1"/>
  <c r="S421"/>
  <c r="S423" s="1"/>
  <c r="I421"/>
  <c r="J421"/>
  <c r="M421"/>
  <c r="M423" s="1"/>
  <c r="M460" s="1"/>
  <c r="G276" i="1"/>
  <c r="W276" s="1"/>
  <c r="X276" s="1"/>
  <c r="G278"/>
  <c r="W278" s="1"/>
  <c r="X278" s="1"/>
  <c r="G284"/>
  <c r="W284" s="1"/>
  <c r="X284" s="1"/>
  <c r="G281"/>
  <c r="W281" s="1"/>
  <c r="X281" s="1"/>
  <c r="W642"/>
  <c r="X642" s="1"/>
  <c r="G452"/>
  <c r="W452" s="1"/>
  <c r="X452" s="1"/>
  <c r="G449"/>
  <c r="W449" s="1"/>
  <c r="X449" s="1"/>
  <c r="G286"/>
  <c r="W286" s="1"/>
  <c r="X286" s="1"/>
  <c r="G456"/>
  <c r="W456" s="1"/>
  <c r="X456" s="1"/>
  <c r="G453"/>
  <c r="W453" s="1"/>
  <c r="X453" s="1"/>
  <c r="G275"/>
  <c r="G447"/>
  <c r="G277"/>
  <c r="W277" s="1"/>
  <c r="X277" s="1"/>
  <c r="G280"/>
  <c r="W280" s="1"/>
  <c r="X280" s="1"/>
  <c r="G458"/>
  <c r="W458" s="1"/>
  <c r="X458" s="1"/>
  <c r="G450"/>
  <c r="W450" s="1"/>
  <c r="X450" s="1"/>
  <c r="G448"/>
  <c r="W448" s="1"/>
  <c r="X448" s="1"/>
  <c r="U11" i="4"/>
  <c r="V11" s="1"/>
  <c r="U427"/>
  <c r="V427" s="1"/>
  <c r="J23" i="27"/>
  <c r="F484" i="4"/>
  <c r="U598"/>
  <c r="V598" s="1"/>
  <c r="G314"/>
  <c r="G270"/>
  <c r="G225"/>
  <c r="G358"/>
  <c r="G38"/>
  <c r="U38" s="1"/>
  <c r="V38" s="1"/>
  <c r="G449"/>
  <c r="J290" i="1"/>
  <c r="J292" s="1"/>
  <c r="O462"/>
  <c r="O464" s="1"/>
  <c r="U455" i="4"/>
  <c r="V455" s="1"/>
  <c r="U452"/>
  <c r="V452" s="1"/>
  <c r="U428"/>
  <c r="V428" s="1"/>
  <c r="U444"/>
  <c r="V444" s="1"/>
  <c r="H290" i="1"/>
  <c r="H292" s="1"/>
  <c r="H462"/>
  <c r="H464" s="1"/>
  <c r="L462"/>
  <c r="L464" s="1"/>
  <c r="S462"/>
  <c r="S464" s="1"/>
  <c r="P290"/>
  <c r="P292" s="1"/>
  <c r="U35" i="4"/>
  <c r="V35" s="1"/>
  <c r="I290" i="1"/>
  <c r="I292" s="1"/>
  <c r="K633" l="1"/>
  <c r="L539"/>
  <c r="K540"/>
  <c r="L633"/>
  <c r="O199" i="4"/>
  <c r="S460"/>
  <c r="O267"/>
  <c r="O298"/>
  <c r="L460"/>
  <c r="K460"/>
  <c r="J423"/>
  <c r="J460" s="1"/>
  <c r="M23" i="31"/>
  <c r="N23" s="1"/>
  <c r="H32"/>
  <c r="H32" i="30"/>
  <c r="I423" i="4"/>
  <c r="I460" s="1"/>
  <c r="M23" i="30"/>
  <c r="N23" s="1"/>
  <c r="O254" i="4"/>
  <c r="O281" s="1"/>
  <c r="O11"/>
  <c r="M369"/>
  <c r="M512"/>
  <c r="M524"/>
  <c r="M496"/>
  <c r="M484"/>
  <c r="C14" i="28"/>
  <c r="L562" i="4"/>
  <c r="P469"/>
  <c r="P495"/>
  <c r="P566"/>
  <c r="P565"/>
  <c r="P466"/>
  <c r="P475"/>
  <c r="P504"/>
  <c r="P468"/>
  <c r="P477"/>
  <c r="Q2"/>
  <c r="Q476" s="1"/>
  <c r="P467"/>
  <c r="P317"/>
  <c r="P345"/>
  <c r="P361"/>
  <c r="P257"/>
  <c r="P307"/>
  <c r="P320"/>
  <c r="P243"/>
  <c r="P287"/>
  <c r="P264"/>
  <c r="P296"/>
  <c r="P323"/>
  <c r="P273"/>
  <c r="P335"/>
  <c r="P351"/>
  <c r="P364"/>
  <c r="P276"/>
  <c r="P292"/>
  <c r="P252"/>
  <c r="P367"/>
  <c r="P348"/>
  <c r="P279"/>
  <c r="P202"/>
  <c r="P247"/>
  <c r="P291"/>
  <c r="P301"/>
  <c r="P309"/>
  <c r="P308"/>
  <c r="P331"/>
  <c r="P352"/>
  <c r="P253"/>
  <c r="P336"/>
  <c r="P248"/>
  <c r="P266"/>
  <c r="P354"/>
  <c r="P310"/>
  <c r="P340"/>
  <c r="P234"/>
  <c r="P353"/>
  <c r="P198"/>
  <c r="P265"/>
  <c r="P263"/>
  <c r="P341"/>
  <c r="P297"/>
  <c r="P207"/>
  <c r="P215"/>
  <c r="P260"/>
  <c r="P304"/>
  <c r="P19"/>
  <c r="P20"/>
  <c r="P14"/>
  <c r="P231"/>
  <c r="P228"/>
  <c r="P330"/>
  <c r="P332" s="1"/>
  <c r="P221"/>
  <c r="P27"/>
  <c r="P34"/>
  <c r="P286"/>
  <c r="P288" s="1"/>
  <c r="P203"/>
  <c r="P218"/>
  <c r="P15"/>
  <c r="P219"/>
  <c r="P220"/>
  <c r="P208"/>
  <c r="P212"/>
  <c r="P242"/>
  <c r="P244" s="1"/>
  <c r="P426"/>
  <c r="P432"/>
  <c r="P24"/>
  <c r="P431"/>
  <c r="P433" s="1"/>
  <c r="P44"/>
  <c r="P445"/>
  <c r="P41"/>
  <c r="P10"/>
  <c r="P47"/>
  <c r="P9"/>
  <c r="P439"/>
  <c r="P197"/>
  <c r="P199" s="1"/>
  <c r="P33"/>
  <c r="P31"/>
  <c r="P32"/>
  <c r="P449"/>
  <c r="P270"/>
  <c r="P225"/>
  <c r="P444"/>
  <c r="P458"/>
  <c r="P443"/>
  <c r="P422"/>
  <c r="P423" s="1"/>
  <c r="P436"/>
  <c r="P358"/>
  <c r="P314"/>
  <c r="P38"/>
  <c r="P427"/>
  <c r="P452"/>
  <c r="P455"/>
  <c r="P442"/>
  <c r="M325"/>
  <c r="M485" s="1"/>
  <c r="O21"/>
  <c r="O209"/>
  <c r="O337"/>
  <c r="O311"/>
  <c r="O204"/>
  <c r="O471"/>
  <c r="U204"/>
  <c r="V204" s="1"/>
  <c r="O35"/>
  <c r="O433"/>
  <c r="O460" s="1"/>
  <c r="O612" s="1"/>
  <c r="O222"/>
  <c r="O16"/>
  <c r="O293"/>
  <c r="O325" s="1"/>
  <c r="O355"/>
  <c r="O342"/>
  <c r="O478"/>
  <c r="M49"/>
  <c r="M501" s="1"/>
  <c r="Q544" i="1"/>
  <c r="F397" i="4" s="1"/>
  <c r="K544" i="1"/>
  <c r="F384" i="4" s="1"/>
  <c r="U544" i="1"/>
  <c r="F408" i="4" s="1"/>
  <c r="S408" s="1"/>
  <c r="L544" i="1"/>
  <c r="F385" i="4" s="1"/>
  <c r="V544" i="1"/>
  <c r="F411" i="4" s="1"/>
  <c r="F155"/>
  <c r="I540" i="1"/>
  <c r="I633"/>
  <c r="I539"/>
  <c r="F132" i="4"/>
  <c r="S124" i="1"/>
  <c r="S133" s="1"/>
  <c r="F86" i="4" s="1"/>
  <c r="S630" i="1"/>
  <c r="H124"/>
  <c r="H133" s="1"/>
  <c r="F58" i="4" s="1"/>
  <c r="H630" i="1"/>
  <c r="F105" i="4"/>
  <c r="O630" i="1"/>
  <c r="O124"/>
  <c r="O133" s="1"/>
  <c r="F79" i="4" s="1"/>
  <c r="F125"/>
  <c r="J540" i="1"/>
  <c r="J539"/>
  <c r="F156" i="4"/>
  <c r="J633" i="1"/>
  <c r="G30" i="27"/>
  <c r="U225" i="4"/>
  <c r="V225" s="1"/>
  <c r="G290" i="1"/>
  <c r="W275"/>
  <c r="X275" s="1"/>
  <c r="J612" i="4"/>
  <c r="I612"/>
  <c r="L612"/>
  <c r="K612"/>
  <c r="N612"/>
  <c r="J408"/>
  <c r="M408"/>
  <c r="K408"/>
  <c r="I408"/>
  <c r="Q408"/>
  <c r="R408"/>
  <c r="L408"/>
  <c r="P408"/>
  <c r="T408"/>
  <c r="O408"/>
  <c r="G184"/>
  <c r="I184"/>
  <c r="L184"/>
  <c r="O184"/>
  <c r="S184"/>
  <c r="T184"/>
  <c r="Q184"/>
  <c r="R184"/>
  <c r="H184"/>
  <c r="J184"/>
  <c r="M184"/>
  <c r="N184"/>
  <c r="K184"/>
  <c r="P184"/>
  <c r="O165"/>
  <c r="R165"/>
  <c r="S165"/>
  <c r="I165"/>
  <c r="L165"/>
  <c r="P165"/>
  <c r="T165"/>
  <c r="N165"/>
  <c r="K165"/>
  <c r="H165"/>
  <c r="J165"/>
  <c r="M165"/>
  <c r="G165"/>
  <c r="Q165"/>
  <c r="T124" i="1"/>
  <c r="T133" s="1"/>
  <c r="F89" i="4" s="1"/>
  <c r="F135"/>
  <c r="T630" i="1"/>
  <c r="T466"/>
  <c r="K124"/>
  <c r="K133" s="1"/>
  <c r="F67" i="4" s="1"/>
  <c r="F114"/>
  <c r="K630" i="1"/>
  <c r="P124"/>
  <c r="P133" s="1"/>
  <c r="F80" i="4" s="1"/>
  <c r="P630" i="1"/>
  <c r="F126" i="4"/>
  <c r="S633" i="1"/>
  <c r="S540"/>
  <c r="S539"/>
  <c r="F178" i="4"/>
  <c r="F168"/>
  <c r="N540" i="1"/>
  <c r="N633"/>
  <c r="N539"/>
  <c r="F174" i="4"/>
  <c r="R633" i="1"/>
  <c r="R540"/>
  <c r="R539"/>
  <c r="H32" i="29"/>
  <c r="F138" i="4"/>
  <c r="U630" i="1"/>
  <c r="U124"/>
  <c r="U133" s="1"/>
  <c r="F92" i="4" s="1"/>
  <c r="M630" i="1"/>
  <c r="F119" i="4"/>
  <c r="M124" i="1"/>
  <c r="M133" s="1"/>
  <c r="F72" i="4" s="1"/>
  <c r="Q124" i="1"/>
  <c r="Q133" s="1"/>
  <c r="F81" i="4" s="1"/>
  <c r="Q630" i="1"/>
  <c r="F127" i="4"/>
  <c r="N384"/>
  <c r="T384"/>
  <c r="H384"/>
  <c r="M384"/>
  <c r="F386"/>
  <c r="K384"/>
  <c r="L384"/>
  <c r="P384"/>
  <c r="S384"/>
  <c r="I384"/>
  <c r="G384"/>
  <c r="J384"/>
  <c r="O384"/>
  <c r="R384"/>
  <c r="Q384"/>
  <c r="P385"/>
  <c r="N385"/>
  <c r="K385"/>
  <c r="T385"/>
  <c r="G385"/>
  <c r="J385"/>
  <c r="M385"/>
  <c r="S385"/>
  <c r="R385"/>
  <c r="L385"/>
  <c r="H385"/>
  <c r="O385"/>
  <c r="I385"/>
  <c r="Q385"/>
  <c r="H161"/>
  <c r="N161"/>
  <c r="O161"/>
  <c r="S161"/>
  <c r="J161"/>
  <c r="M161"/>
  <c r="Q161"/>
  <c r="T161"/>
  <c r="K161"/>
  <c r="G161"/>
  <c r="R161"/>
  <c r="I161"/>
  <c r="L161"/>
  <c r="P161"/>
  <c r="T411"/>
  <c r="S411"/>
  <c r="M411"/>
  <c r="K411"/>
  <c r="N411"/>
  <c r="I411"/>
  <c r="P411"/>
  <c r="G411"/>
  <c r="L411"/>
  <c r="O411"/>
  <c r="R411"/>
  <c r="H411"/>
  <c r="J411"/>
  <c r="Q411"/>
  <c r="P397"/>
  <c r="I397"/>
  <c r="O397"/>
  <c r="G397"/>
  <c r="L397"/>
  <c r="Q397"/>
  <c r="K397"/>
  <c r="H397"/>
  <c r="M397"/>
  <c r="N397"/>
  <c r="J397"/>
  <c r="U446"/>
  <c r="V446" s="1"/>
  <c r="U314"/>
  <c r="V314" s="1"/>
  <c r="G325"/>
  <c r="U325" s="1"/>
  <c r="V325" s="1"/>
  <c r="P633" i="1"/>
  <c r="P539"/>
  <c r="F172" i="4"/>
  <c r="P540" i="1"/>
  <c r="F115" i="4"/>
  <c r="L124" i="1"/>
  <c r="L133" s="1"/>
  <c r="F68" i="4" s="1"/>
  <c r="L630" i="1"/>
  <c r="H540"/>
  <c r="H633"/>
  <c r="H539"/>
  <c r="F151" i="4"/>
  <c r="U449"/>
  <c r="V449" s="1"/>
  <c r="G23" i="27"/>
  <c r="H23" s="1"/>
  <c r="U358" i="4"/>
  <c r="V358" s="1"/>
  <c r="G369"/>
  <c r="U369" s="1"/>
  <c r="V369" s="1"/>
  <c r="U270"/>
  <c r="V270" s="1"/>
  <c r="G32" i="27"/>
  <c r="G281" i="4"/>
  <c r="W447" i="1"/>
  <c r="X447" s="1"/>
  <c r="G462"/>
  <c r="M612" i="4"/>
  <c r="F460"/>
  <c r="M510" s="1"/>
  <c r="G423"/>
  <c r="M23" i="27"/>
  <c r="U421" i="4"/>
  <c r="V421" s="1"/>
  <c r="H423"/>
  <c r="H460" s="1"/>
  <c r="M23" i="29"/>
  <c r="N23" s="1"/>
  <c r="I630" i="1"/>
  <c r="I124"/>
  <c r="I133" s="1"/>
  <c r="F62" i="4" s="1"/>
  <c r="F109"/>
  <c r="T540" i="1"/>
  <c r="T633"/>
  <c r="T539"/>
  <c r="F181" i="4"/>
  <c r="N124" i="1"/>
  <c r="N133" s="1"/>
  <c r="F75" i="4" s="1"/>
  <c r="N630" i="1"/>
  <c r="F122" i="4"/>
  <c r="R124" i="1"/>
  <c r="R133" s="1"/>
  <c r="F82" i="4" s="1"/>
  <c r="F128"/>
  <c r="R630" i="1"/>
  <c r="V630"/>
  <c r="V124"/>
  <c r="V133" s="1"/>
  <c r="F95" i="4" s="1"/>
  <c r="F141"/>
  <c r="O539" i="1"/>
  <c r="F171" i="4"/>
  <c r="O633" i="1"/>
  <c r="O540"/>
  <c r="F110" i="4"/>
  <c r="J630" i="1"/>
  <c r="J124"/>
  <c r="J133" s="1"/>
  <c r="F63" i="4" s="1"/>
  <c r="R160"/>
  <c r="R162" s="1"/>
  <c r="S160"/>
  <c r="T160"/>
  <c r="H160"/>
  <c r="J160"/>
  <c r="J162" s="1"/>
  <c r="P160"/>
  <c r="P162" s="1"/>
  <c r="G160"/>
  <c r="F162"/>
  <c r="L160"/>
  <c r="L162" s="1"/>
  <c r="N160"/>
  <c r="N162" s="1"/>
  <c r="M160"/>
  <c r="O160"/>
  <c r="K160"/>
  <c r="K162" s="1"/>
  <c r="I160"/>
  <c r="I162" s="1"/>
  <c r="Q160"/>
  <c r="Q162" s="1"/>
  <c r="O187"/>
  <c r="N187"/>
  <c r="S187"/>
  <c r="R187"/>
  <c r="I187"/>
  <c r="L187"/>
  <c r="P187"/>
  <c r="G187"/>
  <c r="T187"/>
  <c r="K187"/>
  <c r="H187"/>
  <c r="J187"/>
  <c r="M187"/>
  <c r="Q187"/>
  <c r="H173"/>
  <c r="M173"/>
  <c r="O173"/>
  <c r="N173"/>
  <c r="L173"/>
  <c r="G173"/>
  <c r="P173"/>
  <c r="I173"/>
  <c r="J173"/>
  <c r="K173"/>
  <c r="Q173"/>
  <c r="G49"/>
  <c r="S510"/>
  <c r="T510"/>
  <c r="G236"/>
  <c r="M544" i="1"/>
  <c r="F389" i="4" s="1"/>
  <c r="H544" i="1" l="1"/>
  <c r="F375" i="4" s="1"/>
  <c r="T544" i="1"/>
  <c r="F405" i="4" s="1"/>
  <c r="I544" i="1"/>
  <c r="F379" i="4" s="1"/>
  <c r="S162"/>
  <c r="H408"/>
  <c r="N408"/>
  <c r="G408"/>
  <c r="N544" i="1"/>
  <c r="F392" i="4" s="1"/>
  <c r="P11"/>
  <c r="M162"/>
  <c r="T162"/>
  <c r="P293"/>
  <c r="O162"/>
  <c r="H162"/>
  <c r="P21"/>
  <c r="P446"/>
  <c r="O480"/>
  <c r="O562" s="1"/>
  <c r="O564" s="1"/>
  <c r="O369"/>
  <c r="O485" s="1"/>
  <c r="L564"/>
  <c r="O236"/>
  <c r="P428"/>
  <c r="P16"/>
  <c r="P209"/>
  <c r="P342"/>
  <c r="P204"/>
  <c r="P254"/>
  <c r="P355"/>
  <c r="P298"/>
  <c r="P471"/>
  <c r="Q566"/>
  <c r="Q565"/>
  <c r="Q467"/>
  <c r="Q475"/>
  <c r="Q504"/>
  <c r="R2"/>
  <c r="S2" s="1"/>
  <c r="T2" s="1"/>
  <c r="U2" s="1"/>
  <c r="V2" s="1"/>
  <c r="Q495"/>
  <c r="Q477"/>
  <c r="Q468"/>
  <c r="M468" s="1"/>
  <c r="Q466"/>
  <c r="Q469"/>
  <c r="M469" s="1"/>
  <c r="U469" s="1"/>
  <c r="V469" s="1"/>
  <c r="Q279"/>
  <c r="Q247"/>
  <c r="Q291"/>
  <c r="Q345"/>
  <c r="Q301"/>
  <c r="Q309"/>
  <c r="Q308"/>
  <c r="Q331"/>
  <c r="Q307"/>
  <c r="Q320"/>
  <c r="Q243"/>
  <c r="Q264"/>
  <c r="Q352"/>
  <c r="Q336"/>
  <c r="Q266"/>
  <c r="Q354"/>
  <c r="Q323"/>
  <c r="Q353"/>
  <c r="Q198"/>
  <c r="Q265"/>
  <c r="Q364"/>
  <c r="Q341"/>
  <c r="Q252"/>
  <c r="Q367"/>
  <c r="Q215"/>
  <c r="Q348"/>
  <c r="Q260"/>
  <c r="Q317"/>
  <c r="Q202"/>
  <c r="Q361"/>
  <c r="Q257"/>
  <c r="Q287"/>
  <c r="Q253"/>
  <c r="Q248"/>
  <c r="Q310"/>
  <c r="Q296"/>
  <c r="Q340"/>
  <c r="Q234"/>
  <c r="Q273"/>
  <c r="Q335"/>
  <c r="Q337" s="1"/>
  <c r="Q263"/>
  <c r="Q351"/>
  <c r="Q355" s="1"/>
  <c r="Q276"/>
  <c r="Q297"/>
  <c r="Q292"/>
  <c r="Q207"/>
  <c r="Q304"/>
  <c r="Q19"/>
  <c r="Q286"/>
  <c r="Q231"/>
  <c r="Q218"/>
  <c r="Q330"/>
  <c r="Q332" s="1"/>
  <c r="Q208"/>
  <c r="Q242"/>
  <c r="Q244" s="1"/>
  <c r="Q34"/>
  <c r="Q20"/>
  <c r="Q14"/>
  <c r="Q203"/>
  <c r="Q228"/>
  <c r="Q15"/>
  <c r="Q221"/>
  <c r="Q219"/>
  <c r="Q220"/>
  <c r="Q27"/>
  <c r="Q212"/>
  <c r="Q44"/>
  <c r="Q426"/>
  <c r="Q432"/>
  <c r="Q41"/>
  <c r="Q10"/>
  <c r="Q47"/>
  <c r="Q9"/>
  <c r="Q439"/>
  <c r="Q31"/>
  <c r="Q32"/>
  <c r="Q445"/>
  <c r="Q24"/>
  <c r="Q197"/>
  <c r="Q199" s="1"/>
  <c r="Q431"/>
  <c r="Q33"/>
  <c r="Q449"/>
  <c r="Q427"/>
  <c r="Q452"/>
  <c r="Q314"/>
  <c r="Q358"/>
  <c r="Q38"/>
  <c r="Q442"/>
  <c r="Q422"/>
  <c r="Q436"/>
  <c r="Q444"/>
  <c r="Q458"/>
  <c r="Q225"/>
  <c r="Q270"/>
  <c r="Q455"/>
  <c r="Q443"/>
  <c r="Q421"/>
  <c r="Q423" s="1"/>
  <c r="C30" i="28"/>
  <c r="C31" s="1"/>
  <c r="C15"/>
  <c r="O49" i="4"/>
  <c r="O501" s="1"/>
  <c r="P35"/>
  <c r="P49" s="1"/>
  <c r="P501" s="1"/>
  <c r="P222"/>
  <c r="P236" s="1"/>
  <c r="P267"/>
  <c r="P249"/>
  <c r="P337"/>
  <c r="P369" s="1"/>
  <c r="P311"/>
  <c r="P478"/>
  <c r="S544" i="1"/>
  <c r="F402" i="4" s="1"/>
  <c r="O544" i="1"/>
  <c r="F395" i="4" s="1"/>
  <c r="I386"/>
  <c r="P386"/>
  <c r="K386"/>
  <c r="M386"/>
  <c r="G496"/>
  <c r="G524"/>
  <c r="U236"/>
  <c r="V236" s="1"/>
  <c r="G512"/>
  <c r="U512" s="1"/>
  <c r="V512" s="1"/>
  <c r="G484"/>
  <c r="U484" s="1"/>
  <c r="V484" s="1"/>
  <c r="G501"/>
  <c r="U501" s="1"/>
  <c r="V501" s="1"/>
  <c r="U49"/>
  <c r="V49" s="1"/>
  <c r="U160"/>
  <c r="V160" s="1"/>
  <c r="G162"/>
  <c r="U162" s="1"/>
  <c r="S171"/>
  <c r="R171"/>
  <c r="L171"/>
  <c r="N171"/>
  <c r="H171"/>
  <c r="M171"/>
  <c r="Q171"/>
  <c r="F175"/>
  <c r="O171"/>
  <c r="K171"/>
  <c r="I171"/>
  <c r="G171"/>
  <c r="T171"/>
  <c r="J171"/>
  <c r="P171"/>
  <c r="R141"/>
  <c r="H141"/>
  <c r="J141"/>
  <c r="M141"/>
  <c r="G141"/>
  <c r="S141"/>
  <c r="P141"/>
  <c r="N141"/>
  <c r="L141"/>
  <c r="O141"/>
  <c r="Q141"/>
  <c r="I141"/>
  <c r="K141"/>
  <c r="T141"/>
  <c r="O128"/>
  <c r="H128"/>
  <c r="F29" i="29" s="1"/>
  <c r="J128" i="4"/>
  <c r="F29" i="31" s="1"/>
  <c r="P128" i="4"/>
  <c r="N128"/>
  <c r="L128"/>
  <c r="G128"/>
  <c r="F29" i="27" s="1"/>
  <c r="K128" i="4"/>
  <c r="M128"/>
  <c r="Q128"/>
  <c r="I128"/>
  <c r="F29" i="30" s="1"/>
  <c r="N122" i="4"/>
  <c r="S122"/>
  <c r="R122"/>
  <c r="H122"/>
  <c r="J122"/>
  <c r="M122"/>
  <c r="Q122"/>
  <c r="O122"/>
  <c r="K122"/>
  <c r="T122"/>
  <c r="G122"/>
  <c r="I122"/>
  <c r="L122"/>
  <c r="P122"/>
  <c r="O75"/>
  <c r="G75"/>
  <c r="I75"/>
  <c r="L75"/>
  <c r="K75"/>
  <c r="R75"/>
  <c r="P75"/>
  <c r="T75"/>
  <c r="J75"/>
  <c r="N75"/>
  <c r="Q75"/>
  <c r="H75"/>
  <c r="M75"/>
  <c r="S75"/>
  <c r="G405"/>
  <c r="S405"/>
  <c r="I405"/>
  <c r="L405"/>
  <c r="P405"/>
  <c r="N405"/>
  <c r="Q405"/>
  <c r="O405"/>
  <c r="K405"/>
  <c r="H405"/>
  <c r="J405"/>
  <c r="M405"/>
  <c r="R405"/>
  <c r="T405"/>
  <c r="K62"/>
  <c r="S62"/>
  <c r="H62"/>
  <c r="J62"/>
  <c r="I15" i="31" s="1"/>
  <c r="P62" i="4"/>
  <c r="R62"/>
  <c r="G62"/>
  <c r="L62"/>
  <c r="Q62"/>
  <c r="F64"/>
  <c r="M62"/>
  <c r="T62"/>
  <c r="N62"/>
  <c r="I62"/>
  <c r="I15" i="30" s="1"/>
  <c r="O62" i="4"/>
  <c r="U423"/>
  <c r="V423" s="1"/>
  <c r="G460"/>
  <c r="F612"/>
  <c r="H32" i="27"/>
  <c r="H151" i="4"/>
  <c r="J151"/>
  <c r="M151"/>
  <c r="O151"/>
  <c r="K151"/>
  <c r="T151"/>
  <c r="P151"/>
  <c r="S151"/>
  <c r="I151"/>
  <c r="L151"/>
  <c r="Q151"/>
  <c r="N151"/>
  <c r="G151"/>
  <c r="R151"/>
  <c r="N115"/>
  <c r="S115"/>
  <c r="I115"/>
  <c r="P115"/>
  <c r="O115"/>
  <c r="T115"/>
  <c r="K115"/>
  <c r="G115"/>
  <c r="J115"/>
  <c r="R115"/>
  <c r="L115"/>
  <c r="H115"/>
  <c r="M115"/>
  <c r="Q115"/>
  <c r="G172"/>
  <c r="K172"/>
  <c r="L172"/>
  <c r="N172"/>
  <c r="S172"/>
  <c r="P172"/>
  <c r="Q172"/>
  <c r="M172"/>
  <c r="R172"/>
  <c r="I172"/>
  <c r="H172"/>
  <c r="T172"/>
  <c r="J172"/>
  <c r="O172"/>
  <c r="T72"/>
  <c r="S72"/>
  <c r="I72"/>
  <c r="L72"/>
  <c r="P72"/>
  <c r="G72"/>
  <c r="R72"/>
  <c r="K72"/>
  <c r="H72"/>
  <c r="J72"/>
  <c r="M72"/>
  <c r="O72"/>
  <c r="N72"/>
  <c r="Q72"/>
  <c r="N392"/>
  <c r="T392"/>
  <c r="K392"/>
  <c r="H392"/>
  <c r="J392"/>
  <c r="M392"/>
  <c r="Q392"/>
  <c r="S392"/>
  <c r="G392"/>
  <c r="L392"/>
  <c r="O392"/>
  <c r="R392"/>
  <c r="I392"/>
  <c r="P392"/>
  <c r="R178"/>
  <c r="N178"/>
  <c r="T178"/>
  <c r="M178"/>
  <c r="O178"/>
  <c r="L178"/>
  <c r="H178"/>
  <c r="I178"/>
  <c r="J178"/>
  <c r="K178"/>
  <c r="G178"/>
  <c r="S178"/>
  <c r="Q178"/>
  <c r="P178"/>
  <c r="H126"/>
  <c r="E29" i="29" s="1"/>
  <c r="S126" i="4"/>
  <c r="G126"/>
  <c r="L126"/>
  <c r="T126"/>
  <c r="J126"/>
  <c r="E29" i="31" s="1"/>
  <c r="P126" i="4"/>
  <c r="O126"/>
  <c r="R126"/>
  <c r="I126"/>
  <c r="E29" i="30" s="1"/>
  <c r="N126" i="4"/>
  <c r="K126"/>
  <c r="M126"/>
  <c r="Q126"/>
  <c r="O80"/>
  <c r="G80"/>
  <c r="J80"/>
  <c r="E15" i="31" s="1"/>
  <c r="P80" i="4"/>
  <c r="N80"/>
  <c r="L80"/>
  <c r="Q80"/>
  <c r="H80"/>
  <c r="E15" i="29" s="1"/>
  <c r="K80" i="4"/>
  <c r="M80"/>
  <c r="S80"/>
  <c r="T80"/>
  <c r="R80"/>
  <c r="I80"/>
  <c r="E15" i="30" s="1"/>
  <c r="O114" i="4"/>
  <c r="O116" s="1"/>
  <c r="G114"/>
  <c r="F116"/>
  <c r="L114"/>
  <c r="L116" s="1"/>
  <c r="R114"/>
  <c r="H114"/>
  <c r="H116" s="1"/>
  <c r="M114"/>
  <c r="M116" s="1"/>
  <c r="Q114"/>
  <c r="Q116" s="1"/>
  <c r="S114"/>
  <c r="S116" s="1"/>
  <c r="K114"/>
  <c r="K116" s="1"/>
  <c r="I114"/>
  <c r="I116" s="1"/>
  <c r="N114"/>
  <c r="N116" s="1"/>
  <c r="T114"/>
  <c r="T116" s="1"/>
  <c r="J114"/>
  <c r="J116" s="1"/>
  <c r="P114"/>
  <c r="P116" s="1"/>
  <c r="G135"/>
  <c r="N135"/>
  <c r="R135"/>
  <c r="H135"/>
  <c r="J135"/>
  <c r="P135"/>
  <c r="Q135"/>
  <c r="M135"/>
  <c r="T135"/>
  <c r="S135"/>
  <c r="K135"/>
  <c r="I135"/>
  <c r="L135"/>
  <c r="O135"/>
  <c r="W290" i="1"/>
  <c r="X290" s="1"/>
  <c r="G292"/>
  <c r="H30" i="27"/>
  <c r="N30"/>
  <c r="O156" i="4"/>
  <c r="S156"/>
  <c r="R156"/>
  <c r="N156"/>
  <c r="G156"/>
  <c r="H156"/>
  <c r="J156"/>
  <c r="P156"/>
  <c r="Q156"/>
  <c r="K156"/>
  <c r="T156"/>
  <c r="I156"/>
  <c r="L156"/>
  <c r="M156"/>
  <c r="K79"/>
  <c r="S79"/>
  <c r="S83" s="1"/>
  <c r="M79"/>
  <c r="G79"/>
  <c r="N79"/>
  <c r="I79"/>
  <c r="L15" i="30" s="1"/>
  <c r="P79" i="4"/>
  <c r="T79"/>
  <c r="H79"/>
  <c r="J79"/>
  <c r="L15" i="31" s="1"/>
  <c r="O79" i="4"/>
  <c r="R79"/>
  <c r="R83" s="1"/>
  <c r="F83"/>
  <c r="L79"/>
  <c r="Q79"/>
  <c r="R105"/>
  <c r="K105"/>
  <c r="J105"/>
  <c r="O105"/>
  <c r="S105"/>
  <c r="I105"/>
  <c r="P105"/>
  <c r="T105"/>
  <c r="H105"/>
  <c r="M105"/>
  <c r="G105"/>
  <c r="N105"/>
  <c r="L105"/>
  <c r="Q105"/>
  <c r="R58"/>
  <c r="T58"/>
  <c r="J58"/>
  <c r="K15" i="31" s="1"/>
  <c r="O58" i="4"/>
  <c r="S58"/>
  <c r="I58"/>
  <c r="K15" i="30" s="1"/>
  <c r="P58" i="4"/>
  <c r="N58"/>
  <c r="H58"/>
  <c r="K15" i="29" s="1"/>
  <c r="M58" i="4"/>
  <c r="K58"/>
  <c r="G58"/>
  <c r="L58"/>
  <c r="Q58"/>
  <c r="R86"/>
  <c r="T86"/>
  <c r="N86"/>
  <c r="M86"/>
  <c r="O86"/>
  <c r="P86"/>
  <c r="K86"/>
  <c r="S86"/>
  <c r="Q86"/>
  <c r="L86"/>
  <c r="H86"/>
  <c r="I86"/>
  <c r="J86"/>
  <c r="G86"/>
  <c r="S379"/>
  <c r="R379"/>
  <c r="N379"/>
  <c r="M379"/>
  <c r="L379"/>
  <c r="Q379"/>
  <c r="P379"/>
  <c r="G379"/>
  <c r="T379"/>
  <c r="H379"/>
  <c r="J379"/>
  <c r="I31" i="31" s="1"/>
  <c r="K379" i="4"/>
  <c r="I379"/>
  <c r="I31" i="30" s="1"/>
  <c r="O379" i="4"/>
  <c r="M613"/>
  <c r="R510"/>
  <c r="U161"/>
  <c r="V161" s="1"/>
  <c r="U385"/>
  <c r="V385" s="1"/>
  <c r="R386"/>
  <c r="J386"/>
  <c r="S386"/>
  <c r="L386"/>
  <c r="H386"/>
  <c r="N386"/>
  <c r="R544" i="1"/>
  <c r="F398" i="4" s="1"/>
  <c r="N23" i="27"/>
  <c r="U165" i="4"/>
  <c r="V165" s="1"/>
  <c r="U408"/>
  <c r="V408" s="1"/>
  <c r="O613"/>
  <c r="N613"/>
  <c r="K510"/>
  <c r="L510"/>
  <c r="I613"/>
  <c r="J613"/>
  <c r="K389"/>
  <c r="J389"/>
  <c r="O389"/>
  <c r="R389"/>
  <c r="T389"/>
  <c r="I389"/>
  <c r="Q389"/>
  <c r="N389"/>
  <c r="P389"/>
  <c r="H389"/>
  <c r="G389"/>
  <c r="L389"/>
  <c r="S389"/>
  <c r="M389"/>
  <c r="O63"/>
  <c r="K63"/>
  <c r="H63"/>
  <c r="J15" i="29" s="1"/>
  <c r="J63" i="4"/>
  <c r="J15" i="31" s="1"/>
  <c r="T63" i="4"/>
  <c r="R63"/>
  <c r="L63"/>
  <c r="Q63"/>
  <c r="N63"/>
  <c r="S63"/>
  <c r="P63"/>
  <c r="G63"/>
  <c r="M63"/>
  <c r="I63"/>
  <c r="J15" i="30" s="1"/>
  <c r="R110" i="4"/>
  <c r="H110"/>
  <c r="J29" i="29" s="1"/>
  <c r="J110" i="4"/>
  <c r="J29" i="31" s="1"/>
  <c r="M110" i="4"/>
  <c r="O110"/>
  <c r="N110"/>
  <c r="L110"/>
  <c r="Q110"/>
  <c r="T110"/>
  <c r="K110"/>
  <c r="P110"/>
  <c r="G110"/>
  <c r="S110"/>
  <c r="I110"/>
  <c r="J29" i="30" s="1"/>
  <c r="O395" i="4"/>
  <c r="K395"/>
  <c r="I395"/>
  <c r="L31" i="30" s="1"/>
  <c r="P395" i="4"/>
  <c r="R395"/>
  <c r="H395"/>
  <c r="J395"/>
  <c r="L31" i="31" s="1"/>
  <c r="Q395" i="4"/>
  <c r="G395"/>
  <c r="L395"/>
  <c r="S395"/>
  <c r="M395"/>
  <c r="T395"/>
  <c r="N395"/>
  <c r="G95"/>
  <c r="K95"/>
  <c r="H95"/>
  <c r="J95"/>
  <c r="M95"/>
  <c r="R95"/>
  <c r="P95"/>
  <c r="N95"/>
  <c r="L95"/>
  <c r="O95"/>
  <c r="T95"/>
  <c r="I95"/>
  <c r="S95"/>
  <c r="Q95"/>
  <c r="O82"/>
  <c r="H82"/>
  <c r="F15" i="29" s="1"/>
  <c r="J82" i="4"/>
  <c r="F15" i="31" s="1"/>
  <c r="Q82" i="4"/>
  <c r="I82"/>
  <c r="F15" i="30" s="1"/>
  <c r="L82" i="4"/>
  <c r="G82"/>
  <c r="F15" i="27" s="1"/>
  <c r="K82" i="4"/>
  <c r="M82"/>
  <c r="N82"/>
  <c r="P82"/>
  <c r="T181"/>
  <c r="H181"/>
  <c r="J181"/>
  <c r="M181"/>
  <c r="G181"/>
  <c r="N181"/>
  <c r="Q181"/>
  <c r="O181"/>
  <c r="S181"/>
  <c r="I181"/>
  <c r="L181"/>
  <c r="P181"/>
  <c r="K181"/>
  <c r="R181"/>
  <c r="S109"/>
  <c r="N109"/>
  <c r="M109"/>
  <c r="M111" s="1"/>
  <c r="T109"/>
  <c r="K109"/>
  <c r="K111" s="1"/>
  <c r="I109"/>
  <c r="O109"/>
  <c r="G109"/>
  <c r="H109"/>
  <c r="J109"/>
  <c r="P109"/>
  <c r="R109"/>
  <c r="F111"/>
  <c r="L109"/>
  <c r="L111" s="1"/>
  <c r="Q109"/>
  <c r="Q111" s="1"/>
  <c r="H612"/>
  <c r="H613" s="1"/>
  <c r="H510"/>
  <c r="W462" i="1"/>
  <c r="X462" s="1"/>
  <c r="G464"/>
  <c r="U281" i="4"/>
  <c r="V281" s="1"/>
  <c r="G485"/>
  <c r="U485" s="1"/>
  <c r="V485" s="1"/>
  <c r="K375"/>
  <c r="H375"/>
  <c r="L375"/>
  <c r="O375"/>
  <c r="R375"/>
  <c r="I375"/>
  <c r="P375"/>
  <c r="G375"/>
  <c r="N375"/>
  <c r="J375"/>
  <c r="Q375"/>
  <c r="T375"/>
  <c r="S375"/>
  <c r="M375"/>
  <c r="K68"/>
  <c r="N68"/>
  <c r="T68"/>
  <c r="S68"/>
  <c r="G68"/>
  <c r="Q68"/>
  <c r="H68"/>
  <c r="R68"/>
  <c r="J68"/>
  <c r="M68"/>
  <c r="O68"/>
  <c r="I68"/>
  <c r="L68"/>
  <c r="P68"/>
  <c r="G386"/>
  <c r="C13" i="26"/>
  <c r="U384" i="4"/>
  <c r="V384" s="1"/>
  <c r="H127"/>
  <c r="M127"/>
  <c r="G127"/>
  <c r="I127"/>
  <c r="P127"/>
  <c r="N127"/>
  <c r="J127"/>
  <c r="O127"/>
  <c r="K127"/>
  <c r="L127"/>
  <c r="Q127"/>
  <c r="P81"/>
  <c r="K81"/>
  <c r="K632" s="1"/>
  <c r="N81"/>
  <c r="I81"/>
  <c r="L81"/>
  <c r="Q81"/>
  <c r="O81"/>
  <c r="H81"/>
  <c r="H632" s="1"/>
  <c r="M81"/>
  <c r="M632" s="1"/>
  <c r="F632"/>
  <c r="G81"/>
  <c r="G632" s="1"/>
  <c r="J81"/>
  <c r="O119"/>
  <c r="K119"/>
  <c r="S119"/>
  <c r="J119"/>
  <c r="N119"/>
  <c r="T119"/>
  <c r="L119"/>
  <c r="Q119"/>
  <c r="R119"/>
  <c r="H119"/>
  <c r="M119"/>
  <c r="G119"/>
  <c r="I119"/>
  <c r="P119"/>
  <c r="R92"/>
  <c r="I92"/>
  <c r="L92"/>
  <c r="N92"/>
  <c r="K92"/>
  <c r="S92"/>
  <c r="O92"/>
  <c r="H92"/>
  <c r="J92"/>
  <c r="M92"/>
  <c r="G92"/>
  <c r="P92"/>
  <c r="T92"/>
  <c r="Q92"/>
  <c r="M138"/>
  <c r="R138"/>
  <c r="K138"/>
  <c r="I138"/>
  <c r="L138"/>
  <c r="G138"/>
  <c r="P138"/>
  <c r="T138"/>
  <c r="N138"/>
  <c r="H138"/>
  <c r="J138"/>
  <c r="S138"/>
  <c r="O138"/>
  <c r="Q138"/>
  <c r="P174"/>
  <c r="O174"/>
  <c r="H174"/>
  <c r="I174"/>
  <c r="L174"/>
  <c r="K174"/>
  <c r="Q174"/>
  <c r="G174"/>
  <c r="N174"/>
  <c r="J174"/>
  <c r="M174"/>
  <c r="S168"/>
  <c r="G168"/>
  <c r="K168"/>
  <c r="H168"/>
  <c r="J168"/>
  <c r="M168"/>
  <c r="Q168"/>
  <c r="O168"/>
  <c r="T168"/>
  <c r="N168"/>
  <c r="R168"/>
  <c r="I168"/>
  <c r="L168"/>
  <c r="P168"/>
  <c r="R402"/>
  <c r="S402"/>
  <c r="M402"/>
  <c r="O402"/>
  <c r="Q402"/>
  <c r="K402"/>
  <c r="G402"/>
  <c r="N402"/>
  <c r="T402"/>
  <c r="L402"/>
  <c r="H402"/>
  <c r="G31" i="29" s="1"/>
  <c r="I402" i="4"/>
  <c r="G31" i="30" s="1"/>
  <c r="P402" i="4"/>
  <c r="J402"/>
  <c r="G31" i="31" s="1"/>
  <c r="N67" i="4"/>
  <c r="N69" s="1"/>
  <c r="F69"/>
  <c r="L67"/>
  <c r="G67"/>
  <c r="T67"/>
  <c r="J67"/>
  <c r="J69" s="1"/>
  <c r="P67"/>
  <c r="P69" s="1"/>
  <c r="K67"/>
  <c r="K69" s="1"/>
  <c r="I67"/>
  <c r="I69" s="1"/>
  <c r="S67"/>
  <c r="M67"/>
  <c r="M69" s="1"/>
  <c r="R67"/>
  <c r="O67"/>
  <c r="O69" s="1"/>
  <c r="H67"/>
  <c r="H69" s="1"/>
  <c r="Q67"/>
  <c r="Q69" s="1"/>
  <c r="K89"/>
  <c r="T89"/>
  <c r="G89"/>
  <c r="J89"/>
  <c r="I89"/>
  <c r="O89"/>
  <c r="Q89"/>
  <c r="M89"/>
  <c r="N89"/>
  <c r="R89"/>
  <c r="H89"/>
  <c r="S89"/>
  <c r="L89"/>
  <c r="P89"/>
  <c r="O125"/>
  <c r="O129" s="1"/>
  <c r="K125"/>
  <c r="K129" s="1"/>
  <c r="H125"/>
  <c r="J125"/>
  <c r="S125"/>
  <c r="S129" s="1"/>
  <c r="R125"/>
  <c r="R129" s="1"/>
  <c r="I125"/>
  <c r="P125"/>
  <c r="P129" s="1"/>
  <c r="T125"/>
  <c r="T129" s="1"/>
  <c r="N125"/>
  <c r="N129" s="1"/>
  <c r="M125"/>
  <c r="M129" s="1"/>
  <c r="G125"/>
  <c r="F129"/>
  <c r="L125"/>
  <c r="L129" s="1"/>
  <c r="Q125"/>
  <c r="O132"/>
  <c r="H132"/>
  <c r="I132"/>
  <c r="G29" i="30" s="1"/>
  <c r="P132" i="4"/>
  <c r="J132"/>
  <c r="K132"/>
  <c r="R132"/>
  <c r="T132"/>
  <c r="S132"/>
  <c r="N132"/>
  <c r="M132"/>
  <c r="Q132"/>
  <c r="L132"/>
  <c r="G132"/>
  <c r="P155"/>
  <c r="P157" s="1"/>
  <c r="R155"/>
  <c r="R157" s="1"/>
  <c r="J155"/>
  <c r="J157" s="1"/>
  <c r="T155"/>
  <c r="T157" s="1"/>
  <c r="F157"/>
  <c r="G155"/>
  <c r="L155"/>
  <c r="L157" s="1"/>
  <c r="Q155"/>
  <c r="Q157" s="1"/>
  <c r="K155"/>
  <c r="K157" s="1"/>
  <c r="M155"/>
  <c r="M157" s="1"/>
  <c r="S155"/>
  <c r="S157" s="1"/>
  <c r="O155"/>
  <c r="O157" s="1"/>
  <c r="H155"/>
  <c r="H157" s="1"/>
  <c r="N155"/>
  <c r="N157" s="1"/>
  <c r="I155"/>
  <c r="I157" s="1"/>
  <c r="U187"/>
  <c r="V187" s="1"/>
  <c r="V162"/>
  <c r="P544" i="1"/>
  <c r="F396" i="4" s="1"/>
  <c r="U411"/>
  <c r="V411" s="1"/>
  <c r="Q386"/>
  <c r="O386"/>
  <c r="T386"/>
  <c r="U184"/>
  <c r="V184" s="1"/>
  <c r="O510"/>
  <c r="N510"/>
  <c r="K613"/>
  <c r="L613"/>
  <c r="I510"/>
  <c r="J510"/>
  <c r="J544" i="1"/>
  <c r="F380" i="4" s="1"/>
  <c r="R111" l="1"/>
  <c r="T111"/>
  <c r="Q11"/>
  <c r="G29" i="31"/>
  <c r="T69" i="4"/>
  <c r="L69"/>
  <c r="J632"/>
  <c r="I632"/>
  <c r="P111"/>
  <c r="O111"/>
  <c r="S111"/>
  <c r="G29" i="29"/>
  <c r="H29" s="1"/>
  <c r="Q129" i="4"/>
  <c r="Q617" s="1"/>
  <c r="R69"/>
  <c r="S69"/>
  <c r="L632"/>
  <c r="U386"/>
  <c r="V386" s="1"/>
  <c r="N111"/>
  <c r="R116"/>
  <c r="T83"/>
  <c r="P460"/>
  <c r="P612" s="1"/>
  <c r="P613" s="1"/>
  <c r="Q288"/>
  <c r="Q267"/>
  <c r="Q342"/>
  <c r="Q369" s="1"/>
  <c r="I129"/>
  <c r="I617" s="1"/>
  <c r="L29" i="30"/>
  <c r="J111" i="4"/>
  <c r="I29" i="31"/>
  <c r="I111" i="4"/>
  <c r="I29" i="30"/>
  <c r="G15" i="31"/>
  <c r="H15" s="1"/>
  <c r="K29"/>
  <c r="J129" i="4"/>
  <c r="J617" s="1"/>
  <c r="L29" i="31"/>
  <c r="K31"/>
  <c r="K32"/>
  <c r="N32" s="1"/>
  <c r="K31" i="30"/>
  <c r="K32"/>
  <c r="N32" s="1"/>
  <c r="H29"/>
  <c r="H29" i="31"/>
  <c r="G15" i="30"/>
  <c r="H15" s="1"/>
  <c r="K29"/>
  <c r="P281" i="4"/>
  <c r="Q433"/>
  <c r="P325"/>
  <c r="P496"/>
  <c r="P512"/>
  <c r="P484"/>
  <c r="P524"/>
  <c r="O484"/>
  <c r="O512"/>
  <c r="O496"/>
  <c r="O524"/>
  <c r="Q446"/>
  <c r="Q428"/>
  <c r="Q16"/>
  <c r="Q222"/>
  <c r="Q204"/>
  <c r="Q254"/>
  <c r="Q311"/>
  <c r="Q293"/>
  <c r="Q471"/>
  <c r="Q478"/>
  <c r="P480"/>
  <c r="P562" s="1"/>
  <c r="P564" s="1"/>
  <c r="U468"/>
  <c r="V468" s="1"/>
  <c r="M471"/>
  <c r="Q35"/>
  <c r="Q21"/>
  <c r="Q209"/>
  <c r="Q298"/>
  <c r="Q249"/>
  <c r="U389"/>
  <c r="V389" s="1"/>
  <c r="U92"/>
  <c r="V92" s="1"/>
  <c r="U178"/>
  <c r="V178" s="1"/>
  <c r="S380"/>
  <c r="S381" s="1"/>
  <c r="J380"/>
  <c r="J31" i="31" s="1"/>
  <c r="O380" i="4"/>
  <c r="T380"/>
  <c r="K380"/>
  <c r="K381" s="1"/>
  <c r="M380"/>
  <c r="M381" s="1"/>
  <c r="R380"/>
  <c r="R381" s="1"/>
  <c r="G380"/>
  <c r="L380"/>
  <c r="L381" s="1"/>
  <c r="P380"/>
  <c r="P381" s="1"/>
  <c r="N380"/>
  <c r="N381" s="1"/>
  <c r="H380"/>
  <c r="J31" i="29" s="1"/>
  <c r="I380" i="4"/>
  <c r="J31" i="30" s="1"/>
  <c r="Q380" i="4"/>
  <c r="Q381" s="1"/>
  <c r="S396"/>
  <c r="K396"/>
  <c r="L396"/>
  <c r="T396"/>
  <c r="T399" s="1"/>
  <c r="P396"/>
  <c r="I396"/>
  <c r="E31" i="30" s="1"/>
  <c r="H396" i="4"/>
  <c r="E31" i="29" s="1"/>
  <c r="O396" i="4"/>
  <c r="G396"/>
  <c r="J396"/>
  <c r="E31" i="31" s="1"/>
  <c r="Q396" i="4"/>
  <c r="N396"/>
  <c r="R396"/>
  <c r="R399" s="1"/>
  <c r="M396"/>
  <c r="G129"/>
  <c r="G617" s="1"/>
  <c r="L29" i="27"/>
  <c r="U125" i="4"/>
  <c r="V125" s="1"/>
  <c r="U132"/>
  <c r="V132" s="1"/>
  <c r="G29" i="27"/>
  <c r="U119" i="4"/>
  <c r="V119" s="1"/>
  <c r="K31" i="27"/>
  <c r="U375" i="4"/>
  <c r="V375" s="1"/>
  <c r="K32" i="27"/>
  <c r="N32" s="1"/>
  <c r="K31" i="29"/>
  <c r="K32"/>
  <c r="N32" s="1"/>
  <c r="W464" i="1"/>
  <c r="X464" s="1"/>
  <c r="G124"/>
  <c r="F104" i="4"/>
  <c r="G630" i="1"/>
  <c r="W630" s="1"/>
  <c r="X630" s="1"/>
  <c r="G111" i="4"/>
  <c r="U109"/>
  <c r="V109" s="1"/>
  <c r="I29" i="27"/>
  <c r="D11" i="26"/>
  <c r="U395" i="4"/>
  <c r="V395" s="1"/>
  <c r="L31" i="27"/>
  <c r="U63" i="4"/>
  <c r="V63" s="1"/>
  <c r="J15" i="27"/>
  <c r="G15"/>
  <c r="U86" i="4"/>
  <c r="V86" s="1"/>
  <c r="K15" i="27"/>
  <c r="U58" i="4"/>
  <c r="V58" s="1"/>
  <c r="U105"/>
  <c r="V105" s="1"/>
  <c r="K29" i="27"/>
  <c r="F150" i="4"/>
  <c r="G633" i="1"/>
  <c r="W633" s="1"/>
  <c r="X633" s="1"/>
  <c r="G539"/>
  <c r="W292"/>
  <c r="X292" s="1"/>
  <c r="G540"/>
  <c r="W540" s="1"/>
  <c r="X540" s="1"/>
  <c r="U80" i="4"/>
  <c r="V80" s="1"/>
  <c r="E15" i="27"/>
  <c r="U126" i="4"/>
  <c r="V126" s="1"/>
  <c r="E29" i="27"/>
  <c r="D9" i="26"/>
  <c r="G64" i="4"/>
  <c r="U62"/>
  <c r="V62" s="1"/>
  <c r="I15" i="27"/>
  <c r="I15" i="29"/>
  <c r="H64" i="4"/>
  <c r="G175"/>
  <c r="U171"/>
  <c r="V171" s="1"/>
  <c r="U496"/>
  <c r="V496" s="1"/>
  <c r="U89"/>
  <c r="V89" s="1"/>
  <c r="P617"/>
  <c r="F617"/>
  <c r="K617"/>
  <c r="U68"/>
  <c r="V68" s="1"/>
  <c r="U181"/>
  <c r="V181" s="1"/>
  <c r="U95"/>
  <c r="V95" s="1"/>
  <c r="S399"/>
  <c r="T381"/>
  <c r="K29" i="29"/>
  <c r="L83" i="4"/>
  <c r="J83"/>
  <c r="P83"/>
  <c r="N83"/>
  <c r="M83"/>
  <c r="K83"/>
  <c r="U135"/>
  <c r="V135" s="1"/>
  <c r="U392"/>
  <c r="V392" s="1"/>
  <c r="U72"/>
  <c r="V72" s="1"/>
  <c r="U172"/>
  <c r="V172" s="1"/>
  <c r="U115"/>
  <c r="V115" s="1"/>
  <c r="U151"/>
  <c r="V151" s="1"/>
  <c r="I64"/>
  <c r="T64"/>
  <c r="Q64"/>
  <c r="P64"/>
  <c r="K64"/>
  <c r="U122"/>
  <c r="V122" s="1"/>
  <c r="J175"/>
  <c r="K175"/>
  <c r="M175"/>
  <c r="N175"/>
  <c r="R175"/>
  <c r="U155"/>
  <c r="V155" s="1"/>
  <c r="G157"/>
  <c r="U157" s="1"/>
  <c r="V157" s="1"/>
  <c r="L29" i="29"/>
  <c r="H129" i="4"/>
  <c r="H617" s="1"/>
  <c r="C9" i="26"/>
  <c r="U67" i="4"/>
  <c r="V67" s="1"/>
  <c r="G69"/>
  <c r="G31" i="27"/>
  <c r="U402" i="4"/>
  <c r="V402" s="1"/>
  <c r="I29" i="29"/>
  <c r="H111" i="4"/>
  <c r="L31" i="29"/>
  <c r="J29" i="27"/>
  <c r="U110" i="4"/>
  <c r="V110" s="1"/>
  <c r="I398"/>
  <c r="F31" i="30" s="1"/>
  <c r="Q398" i="4"/>
  <c r="K398"/>
  <c r="K399" s="1"/>
  <c r="M398"/>
  <c r="G398"/>
  <c r="F31" i="27" s="1"/>
  <c r="L398" i="4"/>
  <c r="H398"/>
  <c r="F31" i="29" s="1"/>
  <c r="P398" i="4"/>
  <c r="N398"/>
  <c r="O398"/>
  <c r="J398"/>
  <c r="I31" i="29"/>
  <c r="H381" i="4"/>
  <c r="D13" i="26"/>
  <c r="E13" s="1"/>
  <c r="G381" i="4"/>
  <c r="I31" i="27"/>
  <c r="U379" i="4"/>
  <c r="V379" s="1"/>
  <c r="L15" i="29"/>
  <c r="H83" i="4"/>
  <c r="L15" i="27"/>
  <c r="U79" i="4"/>
  <c r="V79" s="1"/>
  <c r="G83"/>
  <c r="U114"/>
  <c r="V114" s="1"/>
  <c r="C11" i="26"/>
  <c r="G116" i="4"/>
  <c r="U116" s="1"/>
  <c r="V116" s="1"/>
  <c r="G612"/>
  <c r="U460"/>
  <c r="V460" s="1"/>
  <c r="G510"/>
  <c r="U510" s="1"/>
  <c r="V510" s="1"/>
  <c r="U524"/>
  <c r="V524" s="1"/>
  <c r="U168"/>
  <c r="V168" s="1"/>
  <c r="U138"/>
  <c r="V138" s="1"/>
  <c r="M617"/>
  <c r="L617"/>
  <c r="N617"/>
  <c r="O617"/>
  <c r="F399"/>
  <c r="O381"/>
  <c r="F381"/>
  <c r="G15" i="29"/>
  <c r="H15" s="1"/>
  <c r="Q83" i="4"/>
  <c r="O83"/>
  <c r="I83"/>
  <c r="U156"/>
  <c r="V156" s="1"/>
  <c r="O64"/>
  <c r="N64"/>
  <c r="M64"/>
  <c r="L64"/>
  <c r="R64"/>
  <c r="J64"/>
  <c r="S64"/>
  <c r="U405"/>
  <c r="V405" s="1"/>
  <c r="U75"/>
  <c r="V75" s="1"/>
  <c r="U141"/>
  <c r="V141" s="1"/>
  <c r="P175"/>
  <c r="T175"/>
  <c r="I175"/>
  <c r="O175"/>
  <c r="Q175"/>
  <c r="H175"/>
  <c r="L175"/>
  <c r="S175"/>
  <c r="J381" l="1"/>
  <c r="P510"/>
  <c r="U632"/>
  <c r="U69"/>
  <c r="V69" s="1"/>
  <c r="O399"/>
  <c r="L399"/>
  <c r="Q236"/>
  <c r="Q484" s="1"/>
  <c r="P399"/>
  <c r="Q49"/>
  <c r="Q501" s="1"/>
  <c r="Q281"/>
  <c r="Q460"/>
  <c r="Q510" s="1"/>
  <c r="E11" i="26"/>
  <c r="Q399" i="4"/>
  <c r="I381"/>
  <c r="U381" s="1"/>
  <c r="V381" s="1"/>
  <c r="J399"/>
  <c r="F31" i="31"/>
  <c r="H31" s="1"/>
  <c r="H31" i="30"/>
  <c r="M399" i="4"/>
  <c r="N399"/>
  <c r="I399"/>
  <c r="Q325"/>
  <c r="P485"/>
  <c r="Q612"/>
  <c r="Q613" s="1"/>
  <c r="M480"/>
  <c r="U471"/>
  <c r="V471" s="1"/>
  <c r="Q480"/>
  <c r="Q562" s="1"/>
  <c r="Q564" s="1"/>
  <c r="Q524"/>
  <c r="Q512"/>
  <c r="U612"/>
  <c r="V612" s="1"/>
  <c r="G613"/>
  <c r="U613" s="1"/>
  <c r="V613" s="1"/>
  <c r="Q104"/>
  <c r="Q106" s="1"/>
  <c r="Q143" s="1"/>
  <c r="T104"/>
  <c r="T106" s="1"/>
  <c r="T143" s="1"/>
  <c r="O104"/>
  <c r="O106" s="1"/>
  <c r="O143" s="1"/>
  <c r="P104"/>
  <c r="P106" s="1"/>
  <c r="P143" s="1"/>
  <c r="K104"/>
  <c r="K106" s="1"/>
  <c r="K143" s="1"/>
  <c r="N104"/>
  <c r="N106" s="1"/>
  <c r="N143" s="1"/>
  <c r="G104"/>
  <c r="R104"/>
  <c r="R106" s="1"/>
  <c r="R143" s="1"/>
  <c r="S104"/>
  <c r="S106" s="1"/>
  <c r="S143" s="1"/>
  <c r="F106"/>
  <c r="H104"/>
  <c r="I104"/>
  <c r="J104"/>
  <c r="L104"/>
  <c r="L106" s="1"/>
  <c r="L143" s="1"/>
  <c r="M104"/>
  <c r="M106" s="1"/>
  <c r="M143" s="1"/>
  <c r="J31" i="27"/>
  <c r="U380" i="4"/>
  <c r="V380" s="1"/>
  <c r="U83"/>
  <c r="V83" s="1"/>
  <c r="U64"/>
  <c r="V64" s="1"/>
  <c r="G399"/>
  <c r="U111"/>
  <c r="V111" s="1"/>
  <c r="U129"/>
  <c r="V129" s="1"/>
  <c r="E9" i="26"/>
  <c r="H29" i="27"/>
  <c r="H15"/>
  <c r="W539" i="1"/>
  <c r="X539" s="1"/>
  <c r="G544"/>
  <c r="N150" i="4"/>
  <c r="N152" s="1"/>
  <c r="N189" s="1"/>
  <c r="T150"/>
  <c r="T152" s="1"/>
  <c r="T189" s="1"/>
  <c r="I150"/>
  <c r="I152" s="1"/>
  <c r="I189" s="1"/>
  <c r="M150"/>
  <c r="M152" s="1"/>
  <c r="M189" s="1"/>
  <c r="O150"/>
  <c r="O152" s="1"/>
  <c r="O189" s="1"/>
  <c r="F152"/>
  <c r="P150"/>
  <c r="P152" s="1"/>
  <c r="P189" s="1"/>
  <c r="L150"/>
  <c r="L152" s="1"/>
  <c r="L189" s="1"/>
  <c r="K150"/>
  <c r="K152" s="1"/>
  <c r="K189" s="1"/>
  <c r="S150"/>
  <c r="S152" s="1"/>
  <c r="S189" s="1"/>
  <c r="Q150"/>
  <c r="Q152" s="1"/>
  <c r="Q189" s="1"/>
  <c r="R150"/>
  <c r="R152" s="1"/>
  <c r="R189" s="1"/>
  <c r="G150"/>
  <c r="J150"/>
  <c r="J152" s="1"/>
  <c r="J189" s="1"/>
  <c r="H150"/>
  <c r="H152" s="1"/>
  <c r="H189" s="1"/>
  <c r="W124" i="1"/>
  <c r="X124" s="1"/>
  <c r="G133"/>
  <c r="U396" i="4"/>
  <c r="V396" s="1"/>
  <c r="E31" i="27"/>
  <c r="H31" i="29"/>
  <c r="H399" i="4"/>
  <c r="U175"/>
  <c r="V175" s="1"/>
  <c r="U617"/>
  <c r="Q496" l="1"/>
  <c r="Q485"/>
  <c r="J106"/>
  <c r="J143" s="1"/>
  <c r="J483" s="1"/>
  <c r="M29" i="31"/>
  <c r="I106" i="4"/>
  <c r="I143" s="1"/>
  <c r="I483" s="1"/>
  <c r="M29" i="30"/>
  <c r="M562" i="4"/>
  <c r="U480"/>
  <c r="V480" s="1"/>
  <c r="F189"/>
  <c r="T497" s="1"/>
  <c r="F374"/>
  <c r="W544" i="1"/>
  <c r="X544" s="1"/>
  <c r="M483" i="4"/>
  <c r="M29" i="29"/>
  <c r="H106" i="4"/>
  <c r="H143" s="1"/>
  <c r="S483"/>
  <c r="U104"/>
  <c r="V104" s="1"/>
  <c r="M29" i="27"/>
  <c r="N29" s="1"/>
  <c r="G106" i="4"/>
  <c r="K483"/>
  <c r="O483"/>
  <c r="Q483"/>
  <c r="H31" i="27"/>
  <c r="W133" i="1"/>
  <c r="X133" s="1"/>
  <c r="F57" i="4"/>
  <c r="G152"/>
  <c r="U150"/>
  <c r="V150" s="1"/>
  <c r="N506"/>
  <c r="L483"/>
  <c r="F143"/>
  <c r="M525" s="1"/>
  <c r="R483"/>
  <c r="N483"/>
  <c r="P483"/>
  <c r="P502"/>
  <c r="T483"/>
  <c r="U399"/>
  <c r="V399" s="1"/>
  <c r="N498" l="1"/>
  <c r="O497"/>
  <c r="I506"/>
  <c r="O506"/>
  <c r="N497"/>
  <c r="I498"/>
  <c r="I497"/>
  <c r="O498"/>
  <c r="P497"/>
  <c r="P498"/>
  <c r="P506"/>
  <c r="K497"/>
  <c r="K506"/>
  <c r="K498"/>
  <c r="R497"/>
  <c r="R498"/>
  <c r="R506"/>
  <c r="T525"/>
  <c r="N502"/>
  <c r="J497"/>
  <c r="R525"/>
  <c r="J506"/>
  <c r="J498"/>
  <c r="M498"/>
  <c r="M497"/>
  <c r="M506"/>
  <c r="T502"/>
  <c r="P525"/>
  <c r="S497"/>
  <c r="N525"/>
  <c r="R502"/>
  <c r="I502"/>
  <c r="S498"/>
  <c r="S506"/>
  <c r="N29" i="30"/>
  <c r="N29" i="31"/>
  <c r="L502" i="4"/>
  <c r="T506"/>
  <c r="M564"/>
  <c r="U564" s="1"/>
  <c r="V564" s="1"/>
  <c r="U562"/>
  <c r="T498"/>
  <c r="L525"/>
  <c r="O57"/>
  <c r="O59" s="1"/>
  <c r="O97" s="1"/>
  <c r="F59"/>
  <c r="L57"/>
  <c r="L59" s="1"/>
  <c r="L97" s="1"/>
  <c r="H57"/>
  <c r="S57"/>
  <c r="S59" s="1"/>
  <c r="S97" s="1"/>
  <c r="T57"/>
  <c r="T59" s="1"/>
  <c r="T97" s="1"/>
  <c r="I57"/>
  <c r="K57"/>
  <c r="K59" s="1"/>
  <c r="K97" s="1"/>
  <c r="J57"/>
  <c r="P57"/>
  <c r="P59" s="1"/>
  <c r="P97" s="1"/>
  <c r="Q57"/>
  <c r="Q59" s="1"/>
  <c r="Q97" s="1"/>
  <c r="N57"/>
  <c r="N59" s="1"/>
  <c r="N97" s="1"/>
  <c r="R57"/>
  <c r="R59" s="1"/>
  <c r="R97" s="1"/>
  <c r="G57"/>
  <c r="M57"/>
  <c r="M59" s="1"/>
  <c r="M97" s="1"/>
  <c r="N29" i="29"/>
  <c r="T374" i="4"/>
  <c r="T376" s="1"/>
  <c r="T413" s="1"/>
  <c r="T486" s="1"/>
  <c r="T487" s="1"/>
  <c r="F376"/>
  <c r="J374"/>
  <c r="L374"/>
  <c r="L376" s="1"/>
  <c r="L413" s="1"/>
  <c r="L486" s="1"/>
  <c r="M374"/>
  <c r="M376" s="1"/>
  <c r="M413" s="1"/>
  <c r="M486" s="1"/>
  <c r="M487" s="1"/>
  <c r="P374"/>
  <c r="P376" s="1"/>
  <c r="P413" s="1"/>
  <c r="P486" s="1"/>
  <c r="Q374"/>
  <c r="Q376" s="1"/>
  <c r="Q413" s="1"/>
  <c r="Q486" s="1"/>
  <c r="Q487" s="1"/>
  <c r="N374"/>
  <c r="N376" s="1"/>
  <c r="N413" s="1"/>
  <c r="N486" s="1"/>
  <c r="S374"/>
  <c r="S376" s="1"/>
  <c r="S413" s="1"/>
  <c r="S486" s="1"/>
  <c r="S487" s="1"/>
  <c r="R374"/>
  <c r="R376" s="1"/>
  <c r="R413" s="1"/>
  <c r="R486" s="1"/>
  <c r="R487" s="1"/>
  <c r="H374"/>
  <c r="G374"/>
  <c r="K374"/>
  <c r="K376" s="1"/>
  <c r="K413" s="1"/>
  <c r="K486" s="1"/>
  <c r="K487" s="1"/>
  <c r="I374"/>
  <c r="O374"/>
  <c r="O376" s="1"/>
  <c r="O413" s="1"/>
  <c r="O486" s="1"/>
  <c r="O487" s="1"/>
  <c r="P487"/>
  <c r="Q502"/>
  <c r="O525"/>
  <c r="K525"/>
  <c r="S525"/>
  <c r="J525"/>
  <c r="M502"/>
  <c r="L506"/>
  <c r="L498"/>
  <c r="Q498"/>
  <c r="H497"/>
  <c r="H498"/>
  <c r="F483"/>
  <c r="U152"/>
  <c r="V152" s="1"/>
  <c r="G189"/>
  <c r="G143"/>
  <c r="U106"/>
  <c r="V106" s="1"/>
  <c r="H483"/>
  <c r="H502"/>
  <c r="H525"/>
  <c r="N487"/>
  <c r="I525"/>
  <c r="L487"/>
  <c r="Q525"/>
  <c r="O502"/>
  <c r="K502"/>
  <c r="S502"/>
  <c r="J502"/>
  <c r="L497"/>
  <c r="Q506"/>
  <c r="Q497"/>
  <c r="H506"/>
  <c r="V562" l="1"/>
  <c r="J376"/>
  <c r="J413" s="1"/>
  <c r="J486" s="1"/>
  <c r="J487" s="1"/>
  <c r="M31" i="31"/>
  <c r="N31" s="1"/>
  <c r="J59" i="4"/>
  <c r="J97" s="1"/>
  <c r="J523" s="1"/>
  <c r="M15" i="31"/>
  <c r="I59" i="4"/>
  <c r="I97" s="1"/>
  <c r="I523" s="1"/>
  <c r="M15" i="30"/>
  <c r="I376" i="4"/>
  <c r="I413" s="1"/>
  <c r="I486" s="1"/>
  <c r="I487" s="1"/>
  <c r="M31" i="30"/>
  <c r="N31" s="1"/>
  <c r="H376" i="4"/>
  <c r="H413" s="1"/>
  <c r="H486" s="1"/>
  <c r="H487" s="1"/>
  <c r="M31" i="29"/>
  <c r="N31" s="1"/>
  <c r="M523" i="4"/>
  <c r="R523"/>
  <c r="Q523"/>
  <c r="S523"/>
  <c r="L523"/>
  <c r="O523"/>
  <c r="U143"/>
  <c r="V143" s="1"/>
  <c r="G483"/>
  <c r="G525"/>
  <c r="G502"/>
  <c r="U502" s="1"/>
  <c r="V502" s="1"/>
  <c r="G506"/>
  <c r="U506" s="1"/>
  <c r="V506" s="1"/>
  <c r="G498"/>
  <c r="U498" s="1"/>
  <c r="V498" s="1"/>
  <c r="G497"/>
  <c r="U189"/>
  <c r="V189" s="1"/>
  <c r="G376"/>
  <c r="M31" i="27"/>
  <c r="N31" s="1"/>
  <c r="U374" i="4"/>
  <c r="V374" s="1"/>
  <c r="F413"/>
  <c r="M15" i="27"/>
  <c r="U57" i="4"/>
  <c r="V57" s="1"/>
  <c r="G59"/>
  <c r="N523"/>
  <c r="P523"/>
  <c r="K523"/>
  <c r="T523"/>
  <c r="M15" i="29"/>
  <c r="H59" i="4"/>
  <c r="H97" s="1"/>
  <c r="F97"/>
  <c r="T503" s="1"/>
  <c r="N16" i="31" l="1"/>
  <c r="N16" i="30"/>
  <c r="N15"/>
  <c r="N15" i="31"/>
  <c r="F523" i="4"/>
  <c r="N15" i="29"/>
  <c r="H511" i="4"/>
  <c r="H507"/>
  <c r="H500"/>
  <c r="H513"/>
  <c r="H499"/>
  <c r="N33" i="29" s="1"/>
  <c r="H505" i="4"/>
  <c r="H523"/>
  <c r="H508"/>
  <c r="H503"/>
  <c r="T570"/>
  <c r="T527"/>
  <c r="T526"/>
  <c r="K526"/>
  <c r="U59"/>
  <c r="V59" s="1"/>
  <c r="G97"/>
  <c r="N15" i="27"/>
  <c r="F486" i="4"/>
  <c r="U483"/>
  <c r="V483" s="1"/>
  <c r="L526"/>
  <c r="S570"/>
  <c r="S526"/>
  <c r="S527"/>
  <c r="I526"/>
  <c r="J526"/>
  <c r="R527"/>
  <c r="R570"/>
  <c r="R526"/>
  <c r="T513"/>
  <c r="T500"/>
  <c r="K503"/>
  <c r="K507"/>
  <c r="K499"/>
  <c r="T508"/>
  <c r="T511"/>
  <c r="T499"/>
  <c r="T507"/>
  <c r="K508"/>
  <c r="K513"/>
  <c r="K505"/>
  <c r="P500"/>
  <c r="P505"/>
  <c r="P511"/>
  <c r="P503"/>
  <c r="P513"/>
  <c r="N511"/>
  <c r="N500"/>
  <c r="N499"/>
  <c r="N508"/>
  <c r="O508"/>
  <c r="O505"/>
  <c r="O511"/>
  <c r="O513"/>
  <c r="O507"/>
  <c r="L499"/>
  <c r="L508"/>
  <c r="L513"/>
  <c r="S508"/>
  <c r="S500"/>
  <c r="S503"/>
  <c r="S513"/>
  <c r="I505"/>
  <c r="I499"/>
  <c r="N33" i="30" s="1"/>
  <c r="I503" i="4"/>
  <c r="J508"/>
  <c r="J503"/>
  <c r="J513"/>
  <c r="J499"/>
  <c r="N33" i="31" s="1"/>
  <c r="Q505" i="4"/>
  <c r="Q503"/>
  <c r="Q507"/>
  <c r="Q500"/>
  <c r="R511"/>
  <c r="R507"/>
  <c r="R513"/>
  <c r="R503"/>
  <c r="M500"/>
  <c r="M505"/>
  <c r="M499"/>
  <c r="M513"/>
  <c r="P527"/>
  <c r="P526"/>
  <c r="P570"/>
  <c r="N570"/>
  <c r="N527"/>
  <c r="N526"/>
  <c r="U376"/>
  <c r="V376" s="1"/>
  <c r="G413"/>
  <c r="U497"/>
  <c r="V497" s="1"/>
  <c r="U525"/>
  <c r="V525" s="1"/>
  <c r="N16" i="27"/>
  <c r="N16" i="29"/>
  <c r="O527" i="4"/>
  <c r="O526"/>
  <c r="O570"/>
  <c r="Q527"/>
  <c r="Q526"/>
  <c r="Q570"/>
  <c r="M526"/>
  <c r="M570" s="1"/>
  <c r="M527"/>
  <c r="T505"/>
  <c r="K511"/>
  <c r="K500"/>
  <c r="P508"/>
  <c r="P507"/>
  <c r="P499"/>
  <c r="N507"/>
  <c r="N505"/>
  <c r="N513"/>
  <c r="N503"/>
  <c r="O503"/>
  <c r="O500"/>
  <c r="O499"/>
  <c r="L511"/>
  <c r="L503"/>
  <c r="L500"/>
  <c r="L505"/>
  <c r="L507"/>
  <c r="S499"/>
  <c r="S507"/>
  <c r="S511"/>
  <c r="S505"/>
  <c r="I513"/>
  <c r="I507"/>
  <c r="I500"/>
  <c r="I511"/>
  <c r="I508"/>
  <c r="J500"/>
  <c r="J511"/>
  <c r="J505"/>
  <c r="J507"/>
  <c r="Q511"/>
  <c r="Q513"/>
  <c r="Q499"/>
  <c r="Q508"/>
  <c r="R508"/>
  <c r="R499"/>
  <c r="R505"/>
  <c r="R500"/>
  <c r="M503"/>
  <c r="M508"/>
  <c r="M511"/>
  <c r="M507"/>
  <c r="M16" i="30" l="1"/>
  <c r="M17" s="1"/>
  <c r="M16" i="31"/>
  <c r="M17" s="1"/>
  <c r="M33"/>
  <c r="J33"/>
  <c r="G33"/>
  <c r="K33"/>
  <c r="F33"/>
  <c r="E33"/>
  <c r="L33"/>
  <c r="I33"/>
  <c r="E33" i="30"/>
  <c r="F33"/>
  <c r="I33"/>
  <c r="K33"/>
  <c r="M33"/>
  <c r="G33"/>
  <c r="J33"/>
  <c r="L33"/>
  <c r="J16" i="31"/>
  <c r="J17" s="1"/>
  <c r="F16"/>
  <c r="F17" s="1"/>
  <c r="I16"/>
  <c r="I17" s="1"/>
  <c r="E16"/>
  <c r="K16"/>
  <c r="K17" s="1"/>
  <c r="L16"/>
  <c r="L17" s="1"/>
  <c r="G16"/>
  <c r="G17" s="1"/>
  <c r="J16" i="30"/>
  <c r="J17" s="1"/>
  <c r="L16"/>
  <c r="L17" s="1"/>
  <c r="F16"/>
  <c r="F17" s="1"/>
  <c r="I16"/>
  <c r="I17" s="1"/>
  <c r="E16"/>
  <c r="K16"/>
  <c r="K17" s="1"/>
  <c r="G16"/>
  <c r="G17" s="1"/>
  <c r="M16" i="27"/>
  <c r="M17" s="1"/>
  <c r="Q630" i="4"/>
  <c r="Q509" s="1"/>
  <c r="Q515" s="1"/>
  <c r="Q517" s="1"/>
  <c r="O630"/>
  <c r="O509" s="1"/>
  <c r="O515" s="1"/>
  <c r="O517" s="1"/>
  <c r="M630"/>
  <c r="M509" s="1"/>
  <c r="M515" s="1"/>
  <c r="M517" s="1"/>
  <c r="I630"/>
  <c r="I509" s="1"/>
  <c r="I515" s="1"/>
  <c r="L630"/>
  <c r="L509" s="1"/>
  <c r="L515" s="1"/>
  <c r="K630"/>
  <c r="K509" s="1"/>
  <c r="K515" s="1"/>
  <c r="F14" i="28"/>
  <c r="L570" i="4"/>
  <c r="F30" i="28" s="1"/>
  <c r="F487" i="4"/>
  <c r="G505"/>
  <c r="U505" s="1"/>
  <c r="V505" s="1"/>
  <c r="G507"/>
  <c r="U507" s="1"/>
  <c r="V507" s="1"/>
  <c r="G503"/>
  <c r="U503" s="1"/>
  <c r="V503" s="1"/>
  <c r="G523"/>
  <c r="U97"/>
  <c r="V97" s="1"/>
  <c r="G511"/>
  <c r="U511" s="1"/>
  <c r="V511" s="1"/>
  <c r="G513"/>
  <c r="U513" s="1"/>
  <c r="V513" s="1"/>
  <c r="G499"/>
  <c r="N33" i="27" s="1"/>
  <c r="G500" i="4"/>
  <c r="U500" s="1"/>
  <c r="V500" s="1"/>
  <c r="G508"/>
  <c r="U508" s="1"/>
  <c r="V508" s="1"/>
  <c r="F16" i="29"/>
  <c r="F17" s="1"/>
  <c r="J16"/>
  <c r="J17" s="1"/>
  <c r="E16"/>
  <c r="K16"/>
  <c r="K17" s="1"/>
  <c r="L16"/>
  <c r="L17" s="1"/>
  <c r="G16"/>
  <c r="G17" s="1"/>
  <c r="I16"/>
  <c r="I17" s="1"/>
  <c r="F526" i="4"/>
  <c r="R515"/>
  <c r="R517" s="1"/>
  <c r="S515"/>
  <c r="S517" s="1"/>
  <c r="M16" i="29"/>
  <c r="M17" s="1"/>
  <c r="P630" i="4"/>
  <c r="P509" s="1"/>
  <c r="P515" s="1"/>
  <c r="P517" s="1"/>
  <c r="U413"/>
  <c r="V413" s="1"/>
  <c r="G486"/>
  <c r="J630"/>
  <c r="J509" s="1"/>
  <c r="J515" s="1"/>
  <c r="N630"/>
  <c r="N509" s="1"/>
  <c r="N515" s="1"/>
  <c r="N517" s="1"/>
  <c r="J570"/>
  <c r="F28" i="28" s="1"/>
  <c r="F12"/>
  <c r="F11"/>
  <c r="I570" i="4"/>
  <c r="F27" i="28" s="1"/>
  <c r="F16" i="27"/>
  <c r="F17" s="1"/>
  <c r="J16"/>
  <c r="J17" s="1"/>
  <c r="E16"/>
  <c r="K16"/>
  <c r="K17" s="1"/>
  <c r="G16"/>
  <c r="G17" s="1"/>
  <c r="L16"/>
  <c r="L17" s="1"/>
  <c r="I16"/>
  <c r="I17" s="1"/>
  <c r="K570" i="4"/>
  <c r="F29" i="28" s="1"/>
  <c r="F13"/>
  <c r="H526" i="4"/>
  <c r="H630"/>
  <c r="H509" s="1"/>
  <c r="H515" s="1"/>
  <c r="T515"/>
  <c r="T517" s="1"/>
  <c r="H33" i="31" l="1"/>
  <c r="H33" i="30"/>
  <c r="H16"/>
  <c r="E17"/>
  <c r="H16" i="31"/>
  <c r="E17"/>
  <c r="N610" i="4"/>
  <c r="N615" s="1"/>
  <c r="K517"/>
  <c r="M610"/>
  <c r="M615" s="1"/>
  <c r="Q610"/>
  <c r="Q615" s="1"/>
  <c r="J517"/>
  <c r="L517"/>
  <c r="O610"/>
  <c r="O615" s="1"/>
  <c r="H517"/>
  <c r="H16" i="27"/>
  <c r="E17"/>
  <c r="P610" i="4"/>
  <c r="P615" s="1"/>
  <c r="F570"/>
  <c r="U499"/>
  <c r="V499" s="1"/>
  <c r="G630"/>
  <c r="G526"/>
  <c r="U523"/>
  <c r="V523" s="1"/>
  <c r="F534"/>
  <c r="F517"/>
  <c r="M33" i="29"/>
  <c r="E33"/>
  <c r="F33"/>
  <c r="L33"/>
  <c r="G33"/>
  <c r="J33"/>
  <c r="K33"/>
  <c r="I33"/>
  <c r="H570" i="4"/>
  <c r="F26" i="28" s="1"/>
  <c r="F10"/>
  <c r="U486" i="4"/>
  <c r="V486" s="1"/>
  <c r="G487"/>
  <c r="H16" i="29"/>
  <c r="E17"/>
  <c r="I517" i="4"/>
  <c r="N17" i="31" l="1"/>
  <c r="H17"/>
  <c r="H17" i="30"/>
  <c r="N17"/>
  <c r="H610" i="4"/>
  <c r="H615" s="1"/>
  <c r="L610"/>
  <c r="L615" s="1"/>
  <c r="J610"/>
  <c r="J615" s="1"/>
  <c r="K610"/>
  <c r="K615" s="1"/>
  <c r="F521"/>
  <c r="F610"/>
  <c r="G570"/>
  <c r="U526"/>
  <c r="V526" s="1"/>
  <c r="F9" i="28"/>
  <c r="F15" s="1"/>
  <c r="I610" i="4"/>
  <c r="I615" s="1"/>
  <c r="N17" i="29"/>
  <c r="H17"/>
  <c r="U487" i="4"/>
  <c r="V487" s="1"/>
  <c r="U630"/>
  <c r="G509"/>
  <c r="M33" i="27"/>
  <c r="F33"/>
  <c r="L33"/>
  <c r="I33"/>
  <c r="E33"/>
  <c r="J33"/>
  <c r="K33"/>
  <c r="G33"/>
  <c r="H17"/>
  <c r="N17"/>
  <c r="H33" i="29"/>
  <c r="U509" i="4" l="1"/>
  <c r="V509" s="1"/>
  <c r="G515"/>
  <c r="F25" i="28"/>
  <c r="F31" s="1"/>
  <c r="U570" i="4"/>
  <c r="V570" s="1"/>
  <c r="F615"/>
  <c r="H519" s="1"/>
  <c r="F559"/>
  <c r="F527"/>
  <c r="K519"/>
  <c r="H33" i="27"/>
  <c r="I519" i="4"/>
  <c r="J519" l="1"/>
  <c r="J521" s="1"/>
  <c r="L519"/>
  <c r="D14" i="28" s="1"/>
  <c r="D30" s="1"/>
  <c r="P27" i="30"/>
  <c r="P27" i="29"/>
  <c r="D13" i="28"/>
  <c r="D29" s="1"/>
  <c r="K521" i="4"/>
  <c r="F568"/>
  <c r="D11" i="28"/>
  <c r="D27" s="1"/>
  <c r="I521" i="4"/>
  <c r="D10" i="28"/>
  <c r="D26" s="1"/>
  <c r="H521" i="4"/>
  <c r="R519"/>
  <c r="R521" s="1"/>
  <c r="R559" s="1"/>
  <c r="R568" s="1"/>
  <c r="S519"/>
  <c r="S521" s="1"/>
  <c r="S559" s="1"/>
  <c r="S568" s="1"/>
  <c r="T519"/>
  <c r="T521" s="1"/>
  <c r="T559" s="1"/>
  <c r="T568" s="1"/>
  <c r="O519"/>
  <c r="O521" s="1"/>
  <c r="O559" s="1"/>
  <c r="O568" s="1"/>
  <c r="O572" s="1"/>
  <c r="N519"/>
  <c r="N521" s="1"/>
  <c r="N559" s="1"/>
  <c r="N568" s="1"/>
  <c r="M519"/>
  <c r="M521" s="1"/>
  <c r="M559" s="1"/>
  <c r="M568" s="1"/>
  <c r="M572" s="1"/>
  <c r="Q519"/>
  <c r="Q521" s="1"/>
  <c r="Q559" s="1"/>
  <c r="Q568" s="1"/>
  <c r="Q572" s="1"/>
  <c r="P519"/>
  <c r="P521" s="1"/>
  <c r="P559" s="1"/>
  <c r="P568" s="1"/>
  <c r="P572" s="1"/>
  <c r="U515"/>
  <c r="V515" s="1"/>
  <c r="G517"/>
  <c r="L521" l="1"/>
  <c r="L559" s="1"/>
  <c r="L568" s="1"/>
  <c r="D12" i="28"/>
  <c r="D28" s="1"/>
  <c r="E28" s="1"/>
  <c r="G28" s="1"/>
  <c r="P27" i="31"/>
  <c r="G610" i="4"/>
  <c r="U517"/>
  <c r="V517" s="1"/>
  <c r="J559"/>
  <c r="J568" s="1"/>
  <c r="J572" s="1"/>
  <c r="E19" i="31" s="1"/>
  <c r="J527" i="4"/>
  <c r="H559"/>
  <c r="H568" s="1"/>
  <c r="H527"/>
  <c r="I559"/>
  <c r="I568" s="1"/>
  <c r="I572" s="1"/>
  <c r="E19" i="30" s="1"/>
  <c r="I527" i="4"/>
  <c r="F572"/>
  <c r="E13" i="28"/>
  <c r="G13" s="1"/>
  <c r="E29"/>
  <c r="G29" s="1"/>
  <c r="E10"/>
  <c r="G10" s="1"/>
  <c r="E26"/>
  <c r="G26" s="1"/>
  <c r="E27"/>
  <c r="G27" s="1"/>
  <c r="E11"/>
  <c r="G11" s="1"/>
  <c r="E14"/>
  <c r="G14" s="1"/>
  <c r="E30"/>
  <c r="G30" s="1"/>
  <c r="K559" i="4"/>
  <c r="K568" s="1"/>
  <c r="K572" s="1"/>
  <c r="K527"/>
  <c r="B10" i="26" s="1"/>
  <c r="E12" i="28" l="1"/>
  <c r="G12" s="1"/>
  <c r="L527" i="4"/>
  <c r="J19" i="30"/>
  <c r="J21" s="1"/>
  <c r="J25" s="1"/>
  <c r="F19"/>
  <c r="N19"/>
  <c r="H19"/>
  <c r="K19"/>
  <c r="K21" s="1"/>
  <c r="K25" s="1"/>
  <c r="G19"/>
  <c r="I19"/>
  <c r="I21" s="1"/>
  <c r="I25" s="1"/>
  <c r="E21"/>
  <c r="N19" i="31"/>
  <c r="H19"/>
  <c r="K19"/>
  <c r="K21" s="1"/>
  <c r="K25" s="1"/>
  <c r="J19"/>
  <c r="J21" s="1"/>
  <c r="J25" s="1"/>
  <c r="F19"/>
  <c r="G19"/>
  <c r="I19"/>
  <c r="I21" s="1"/>
  <c r="I25" s="1"/>
  <c r="E21"/>
  <c r="H572" i="4"/>
  <c r="E19" i="29" s="1"/>
  <c r="N19" s="1"/>
  <c r="C10" i="26"/>
  <c r="D10"/>
  <c r="U610" i="4"/>
  <c r="V610" s="1"/>
  <c r="G615"/>
  <c r="L572"/>
  <c r="B16" i="26"/>
  <c r="E21" i="29" l="1"/>
  <c r="J19"/>
  <c r="J21" s="1"/>
  <c r="J25" s="1"/>
  <c r="G19"/>
  <c r="K19"/>
  <c r="K21" s="1"/>
  <c r="I19"/>
  <c r="I21" s="1"/>
  <c r="I25" s="1"/>
  <c r="H19"/>
  <c r="F19"/>
  <c r="L19" i="31"/>
  <c r="L21" s="1"/>
  <c r="L25" s="1"/>
  <c r="F21"/>
  <c r="F25" s="1"/>
  <c r="E25"/>
  <c r="M19"/>
  <c r="M21" s="1"/>
  <c r="M25" s="1"/>
  <c r="G21"/>
  <c r="G25" s="1"/>
  <c r="E25" i="30"/>
  <c r="M19"/>
  <c r="M21" s="1"/>
  <c r="M25" s="1"/>
  <c r="G21"/>
  <c r="G25" s="1"/>
  <c r="L19"/>
  <c r="L21" s="1"/>
  <c r="L25" s="1"/>
  <c r="F21"/>
  <c r="F25" s="1"/>
  <c r="L19" i="29"/>
  <c r="L21" s="1"/>
  <c r="F21"/>
  <c r="E10" i="26"/>
  <c r="E25" i="29"/>
  <c r="M19"/>
  <c r="M21" s="1"/>
  <c r="G21"/>
  <c r="K25"/>
  <c r="D16" i="26"/>
  <c r="D18" s="1"/>
  <c r="C16"/>
  <c r="G519" i="4"/>
  <c r="P27" i="27" s="1"/>
  <c r="U615" i="4"/>
  <c r="V615" s="1"/>
  <c r="H21" i="30" l="1"/>
  <c r="N21"/>
  <c r="H21" i="31"/>
  <c r="N21"/>
  <c r="N21" i="29"/>
  <c r="N25" s="1"/>
  <c r="U519" i="4"/>
  <c r="V519" s="1"/>
  <c r="D9" i="28"/>
  <c r="D25" s="1"/>
  <c r="G521" i="4"/>
  <c r="M25" i="29"/>
  <c r="L25"/>
  <c r="G25"/>
  <c r="F25"/>
  <c r="E16" i="26"/>
  <c r="E18" s="1"/>
  <c r="E22" s="1"/>
  <c r="H21" i="29"/>
  <c r="C18" i="26"/>
  <c r="H25" i="31" l="1"/>
  <c r="N25" i="30"/>
  <c r="H25"/>
  <c r="N25" i="31"/>
  <c r="E24" i="26"/>
  <c r="E26"/>
  <c r="G559" i="4"/>
  <c r="U521"/>
  <c r="V521" s="1"/>
  <c r="G527"/>
  <c r="L27" i="29"/>
  <c r="L35" s="1"/>
  <c r="I27"/>
  <c r="I35" s="1"/>
  <c r="F27"/>
  <c r="F35" s="1"/>
  <c r="G27"/>
  <c r="G35" s="1"/>
  <c r="K27"/>
  <c r="K35" s="1"/>
  <c r="M27"/>
  <c r="M35" s="1"/>
  <c r="J27"/>
  <c r="J35" s="1"/>
  <c r="E27"/>
  <c r="H25"/>
  <c r="D15" i="28"/>
  <c r="E9"/>
  <c r="E27" i="31" l="1"/>
  <c r="K27"/>
  <c r="K35" s="1"/>
  <c r="J27"/>
  <c r="J35" s="1"/>
  <c r="I27"/>
  <c r="I35" s="1"/>
  <c r="G27"/>
  <c r="G35" s="1"/>
  <c r="M27"/>
  <c r="M35" s="1"/>
  <c r="L27"/>
  <c r="L35" s="1"/>
  <c r="F27"/>
  <c r="F35" s="1"/>
  <c r="K27" i="30"/>
  <c r="K35" s="1"/>
  <c r="I27"/>
  <c r="I35" s="1"/>
  <c r="J27"/>
  <c r="J35" s="1"/>
  <c r="G27"/>
  <c r="G35" s="1"/>
  <c r="L27"/>
  <c r="L35" s="1"/>
  <c r="E27"/>
  <c r="F27"/>
  <c r="F35" s="1"/>
  <c r="M27"/>
  <c r="M35" s="1"/>
  <c r="E25" i="28"/>
  <c r="D31"/>
  <c r="H27" i="29"/>
  <c r="H35" s="1"/>
  <c r="N27"/>
  <c r="E35"/>
  <c r="G568" i="4"/>
  <c r="U559"/>
  <c r="V559" s="1"/>
  <c r="G9" i="28"/>
  <c r="E15"/>
  <c r="G15" s="1"/>
  <c r="N27" i="31" l="1"/>
  <c r="H27"/>
  <c r="H35" s="1"/>
  <c r="E35"/>
  <c r="N27" i="30"/>
  <c r="H27"/>
  <c r="H35" s="1"/>
  <c r="E35"/>
  <c r="E31" i="28"/>
  <c r="G31" s="1"/>
  <c r="G25"/>
  <c r="U568" i="4"/>
  <c r="V568" s="1"/>
  <c r="G572"/>
  <c r="E19" i="27" s="1"/>
  <c r="N35" i="29"/>
  <c r="S27" i="30" l="1"/>
  <c r="N35"/>
  <c r="E37" s="1"/>
  <c r="S27" i="31"/>
  <c r="N35"/>
  <c r="E37" s="1"/>
  <c r="N39" i="29"/>
  <c r="N47" s="1"/>
  <c r="M37"/>
  <c r="M39" s="1"/>
  <c r="M43" s="1"/>
  <c r="L37"/>
  <c r="L39" s="1"/>
  <c r="L43" s="1"/>
  <c r="G37"/>
  <c r="G39" s="1"/>
  <c r="G43" s="1"/>
  <c r="I37"/>
  <c r="I39" s="1"/>
  <c r="I43" s="1"/>
  <c r="J37"/>
  <c r="J39" s="1"/>
  <c r="K37"/>
  <c r="K39" s="1"/>
  <c r="K43" s="1"/>
  <c r="F37"/>
  <c r="F39" s="1"/>
  <c r="F43" s="1"/>
  <c r="I19" i="27"/>
  <c r="I21" s="1"/>
  <c r="F19"/>
  <c r="J19"/>
  <c r="J21" s="1"/>
  <c r="H19"/>
  <c r="K19"/>
  <c r="K21" s="1"/>
  <c r="N19"/>
  <c r="G19"/>
  <c r="E21"/>
  <c r="E37" i="29"/>
  <c r="E39" i="31" l="1"/>
  <c r="E43" s="1"/>
  <c r="E39" i="30"/>
  <c r="E43" s="1"/>
  <c r="N39" i="31"/>
  <c r="N47" s="1"/>
  <c r="L37"/>
  <c r="L39" s="1"/>
  <c r="L43" s="1"/>
  <c r="J37"/>
  <c r="J39" s="1"/>
  <c r="J43" s="1"/>
  <c r="M37"/>
  <c r="M39" s="1"/>
  <c r="M43" s="1"/>
  <c r="K37"/>
  <c r="K39" s="1"/>
  <c r="K43" s="1"/>
  <c r="G37"/>
  <c r="G39" s="1"/>
  <c r="G43" s="1"/>
  <c r="F37"/>
  <c r="F39" s="1"/>
  <c r="F43" s="1"/>
  <c r="I37"/>
  <c r="I39" s="1"/>
  <c r="I43" s="1"/>
  <c r="N39" i="30"/>
  <c r="N47" s="1"/>
  <c r="F37"/>
  <c r="F39" s="1"/>
  <c r="F43" s="1"/>
  <c r="J37"/>
  <c r="J39" s="1"/>
  <c r="J43" s="1"/>
  <c r="M37"/>
  <c r="M39" s="1"/>
  <c r="M43" s="1"/>
  <c r="I37"/>
  <c r="I39" s="1"/>
  <c r="I43" s="1"/>
  <c r="L37"/>
  <c r="L39" s="1"/>
  <c r="L43" s="1"/>
  <c r="K37"/>
  <c r="K39" s="1"/>
  <c r="K43" s="1"/>
  <c r="G37"/>
  <c r="G39" s="1"/>
  <c r="G43" s="1"/>
  <c r="E25" i="27"/>
  <c r="L19"/>
  <c r="L21" s="1"/>
  <c r="F21"/>
  <c r="M19"/>
  <c r="M21" s="1"/>
  <c r="G21"/>
  <c r="K25"/>
  <c r="J25"/>
  <c r="I25"/>
  <c r="H37" i="29"/>
  <c r="E39"/>
  <c r="E43" s="1"/>
  <c r="J43"/>
  <c r="H37" i="30" l="1"/>
  <c r="H37" i="31"/>
  <c r="H21" i="27"/>
  <c r="H25" s="1"/>
  <c r="H39" i="29"/>
  <c r="M25" i="27"/>
  <c r="L25"/>
  <c r="G25"/>
  <c r="F25"/>
  <c r="N21"/>
  <c r="H39" i="30" l="1"/>
  <c r="H39" i="31"/>
  <c r="N25" i="27"/>
  <c r="G27" s="1"/>
  <c r="G35" s="1"/>
  <c r="H43" i="29"/>
  <c r="I45"/>
  <c r="L27" i="27"/>
  <c r="L35" s="1"/>
  <c r="M27"/>
  <c r="M35" s="1"/>
  <c r="H43" i="31" l="1"/>
  <c r="I45"/>
  <c r="H43" i="30"/>
  <c r="I45"/>
  <c r="F27" i="27"/>
  <c r="F35" s="1"/>
  <c r="I27"/>
  <c r="I35" s="1"/>
  <c r="J27"/>
  <c r="J35" s="1"/>
  <c r="E27"/>
  <c r="K27"/>
  <c r="K35" s="1"/>
  <c r="N27" l="1"/>
  <c r="H27"/>
  <c r="H35" s="1"/>
  <c r="E35"/>
  <c r="N35" l="1"/>
  <c r="N39" s="1"/>
  <c r="G37" l="1"/>
  <c r="G39" s="1"/>
  <c r="G43" s="1"/>
  <c r="M37"/>
  <c r="M39" s="1"/>
  <c r="M43" s="1"/>
  <c r="L37"/>
  <c r="L39" s="1"/>
  <c r="L43" s="1"/>
  <c r="F37"/>
  <c r="F39" s="1"/>
  <c r="F43" s="1"/>
  <c r="K37"/>
  <c r="K39" s="1"/>
  <c r="K43" s="1"/>
  <c r="I37"/>
  <c r="I39" s="1"/>
  <c r="I43" s="1"/>
  <c r="J37"/>
  <c r="J39" s="1"/>
  <c r="E37"/>
  <c r="J43" l="1"/>
  <c r="H37"/>
  <c r="E39"/>
  <c r="E43" s="1"/>
  <c r="H39" l="1"/>
  <c r="H43" l="1"/>
</calcChain>
</file>

<file path=xl/comments1.xml><?xml version="1.0" encoding="utf-8"?>
<comments xmlns="http://schemas.openxmlformats.org/spreadsheetml/2006/main">
  <authors>
    <author> 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 xml:space="preserve"> Dawn: Use Tab in Plant Report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1" authorId="0">
      <text>
        <r>
          <rPr>
            <b/>
            <sz val="9"/>
            <color indexed="81"/>
            <rFont val="Tahoma"/>
            <family val="2"/>
          </rPr>
          <t>Dawn: Found in Plant Rpt, Summary Reserve, Life Reserve+Life Reserve ARO+Cost of Removal-Salvage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86" authorId="0">
      <text>
        <r>
          <rPr>
            <b/>
            <sz val="9"/>
            <color indexed="81"/>
            <rFont val="Tahoma"/>
            <family val="2"/>
          </rPr>
          <t> :</t>
        </r>
        <r>
          <rPr>
            <sz val="9"/>
            <color indexed="81"/>
            <rFont val="Tahoma"/>
            <family val="2"/>
          </rPr>
          <t xml:space="preserve">
Get from Sara Wiseman, depr exp report by FERC acct</t>
        </r>
      </text>
    </comment>
  </commentList>
</comments>
</file>

<file path=xl/comments2.xml><?xml version="1.0" encoding="utf-8"?>
<comments xmlns="http://schemas.openxmlformats.org/spreadsheetml/2006/main">
  <authors>
    <author> </author>
    <author>e026206</author>
  </authors>
  <commentList>
    <comment ref="F495" authorId="0">
      <text>
        <r>
          <rPr>
            <b/>
            <sz val="9"/>
            <color indexed="81"/>
            <rFont val="Tahoma"/>
            <family val="2"/>
          </rPr>
          <t> :</t>
        </r>
        <r>
          <rPr>
            <sz val="9"/>
            <color indexed="81"/>
            <rFont val="Tahoma"/>
            <family val="2"/>
          </rPr>
          <t xml:space="preserve">
Comes from Brad's exhibits</t>
        </r>
      </text>
    </comment>
    <comment ref="A621" authorId="1">
      <text>
        <r>
          <rPr>
            <b/>
            <sz val="8"/>
            <color indexed="81"/>
            <rFont val="Tahoma"/>
            <family val="2"/>
          </rPr>
          <t xml:space="preserve">Andrea
Waiting on calculations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<sst xmlns="http://schemas.openxmlformats.org/spreadsheetml/2006/main" count="2370" uniqueCount="887">
  <si>
    <t>ok</t>
  </si>
  <si>
    <t>Demand</t>
  </si>
  <si>
    <t>Commodity</t>
  </si>
  <si>
    <t>Storage</t>
  </si>
  <si>
    <t>Transmission</t>
  </si>
  <si>
    <t>Distribution</t>
  </si>
  <si>
    <t>Distribution Expenses</t>
  </si>
  <si>
    <t>Distribution Structures &amp; Equipment</t>
  </si>
  <si>
    <t>Distribution Mains</t>
  </si>
  <si>
    <t>Customer</t>
  </si>
  <si>
    <t>Services</t>
  </si>
  <si>
    <t>Meters</t>
  </si>
  <si>
    <t>Customer Accounts</t>
  </si>
  <si>
    <t>Customer Service</t>
  </si>
  <si>
    <t>Total</t>
  </si>
  <si>
    <t>Company</t>
  </si>
  <si>
    <t>Plant in Service</t>
  </si>
  <si>
    <t>Name</t>
  </si>
  <si>
    <t>Vector</t>
  </si>
  <si>
    <t>Description</t>
  </si>
  <si>
    <t>Check</t>
  </si>
  <si>
    <t>Status</t>
  </si>
  <si>
    <t>350-357</t>
  </si>
  <si>
    <t>F001</t>
  </si>
  <si>
    <t>PT350</t>
  </si>
  <si>
    <t>F003</t>
  </si>
  <si>
    <t>Land and Land Rights</t>
  </si>
  <si>
    <t>PT374</t>
  </si>
  <si>
    <t>F005</t>
  </si>
  <si>
    <t>Structures &amp; Improvements</t>
  </si>
  <si>
    <t>PT375</t>
  </si>
  <si>
    <t>Mains</t>
  </si>
  <si>
    <t>PT376</t>
  </si>
  <si>
    <t>F006</t>
  </si>
  <si>
    <t>Meas. &amp; Reg. Sta. Equip. - General</t>
  </si>
  <si>
    <t>PT378</t>
  </si>
  <si>
    <t>F007</t>
  </si>
  <si>
    <t>Meas. &amp; Reg. Sta. Equip. - City Gate</t>
  </si>
  <si>
    <t>PT379</t>
  </si>
  <si>
    <t>F008</t>
  </si>
  <si>
    <t>PT380</t>
  </si>
  <si>
    <t>F009</t>
  </si>
  <si>
    <t>PT381</t>
  </si>
  <si>
    <t>F010</t>
  </si>
  <si>
    <t>Meter Installations</t>
  </si>
  <si>
    <t>PT382</t>
  </si>
  <si>
    <t>F011</t>
  </si>
  <si>
    <t>House Regulators</t>
  </si>
  <si>
    <t>PT383</t>
  </si>
  <si>
    <t>F012</t>
  </si>
  <si>
    <t>House Regulator Installations</t>
  </si>
  <si>
    <t>PT384</t>
  </si>
  <si>
    <t>F013</t>
  </si>
  <si>
    <t>Industrial Meas. &amp; Reg. Equip.</t>
  </si>
  <si>
    <t>PT385</t>
  </si>
  <si>
    <t>Other Equipment</t>
  </si>
  <si>
    <t>PT387</t>
  </si>
  <si>
    <t>PTSUB</t>
  </si>
  <si>
    <t>301-303</t>
  </si>
  <si>
    <t>Intangible Plant</t>
  </si>
  <si>
    <t>PT301</t>
  </si>
  <si>
    <t>389-399</t>
  </si>
  <si>
    <t>General Plant</t>
  </si>
  <si>
    <t>PT389</t>
  </si>
  <si>
    <t>PTIS</t>
  </si>
  <si>
    <t>Distribution Plant</t>
  </si>
  <si>
    <t>Total Distribution Plant</t>
  </si>
  <si>
    <t>Storage-Transmission-Distribution Subtotal</t>
  </si>
  <si>
    <t>Total Plant in Service</t>
  </si>
  <si>
    <t>CWIPUS</t>
  </si>
  <si>
    <t>CWIPTR</t>
  </si>
  <si>
    <t>CWIPCO</t>
  </si>
  <si>
    <t>CWIP</t>
  </si>
  <si>
    <t>PTT</t>
  </si>
  <si>
    <t>Less:</t>
  </si>
  <si>
    <t>DEPRUS</t>
  </si>
  <si>
    <t>DEPRDI</t>
  </si>
  <si>
    <t>DEPRGE</t>
  </si>
  <si>
    <t>Total Depreciation Reserve</t>
  </si>
  <si>
    <t>DEPR</t>
  </si>
  <si>
    <t>Accum. Deferred Income Taxes</t>
  </si>
  <si>
    <t>DIT</t>
  </si>
  <si>
    <t>ITC</t>
  </si>
  <si>
    <t>Materials and Supplies</t>
  </si>
  <si>
    <t>MSP</t>
  </si>
  <si>
    <t>Prepayments</t>
  </si>
  <si>
    <t>PPY</t>
  </si>
  <si>
    <t>Gas Stored Underground</t>
  </si>
  <si>
    <t>GSU</t>
  </si>
  <si>
    <t>Cash Working Capital</t>
  </si>
  <si>
    <t>CWC</t>
  </si>
  <si>
    <t>OMT</t>
  </si>
  <si>
    <t>Net Cost Rate Base</t>
  </si>
  <si>
    <t>NCRB</t>
  </si>
  <si>
    <t>Reserve for Depreciation</t>
  </si>
  <si>
    <t>OM814</t>
  </si>
  <si>
    <t>OM815</t>
  </si>
  <si>
    <t>OM816</t>
  </si>
  <si>
    <t>Lines Expenses</t>
  </si>
  <si>
    <t>OM817</t>
  </si>
  <si>
    <t>OM818</t>
  </si>
  <si>
    <t>F002</t>
  </si>
  <si>
    <t>OM819</t>
  </si>
  <si>
    <t>OM820</t>
  </si>
  <si>
    <t>OM821</t>
  </si>
  <si>
    <t>OM823</t>
  </si>
  <si>
    <t>Other Expenses</t>
  </si>
  <si>
    <t>OM824</t>
  </si>
  <si>
    <t>OM825</t>
  </si>
  <si>
    <t>Rents</t>
  </si>
  <si>
    <t>OM826</t>
  </si>
  <si>
    <t>OM830</t>
  </si>
  <si>
    <t>Maintenance of Structures</t>
  </si>
  <si>
    <t>OM831</t>
  </si>
  <si>
    <t>OM832</t>
  </si>
  <si>
    <t>Maintenance of Lines</t>
  </si>
  <si>
    <t>OM833</t>
  </si>
  <si>
    <t>OM834</t>
  </si>
  <si>
    <t>OM835</t>
  </si>
  <si>
    <t>OM836</t>
  </si>
  <si>
    <t>OM837</t>
  </si>
  <si>
    <t>850-867</t>
  </si>
  <si>
    <t>OM850</t>
  </si>
  <si>
    <t>OM870</t>
  </si>
  <si>
    <t>OM871</t>
  </si>
  <si>
    <t>F004</t>
  </si>
  <si>
    <t>OM880</t>
  </si>
  <si>
    <t>OM881</t>
  </si>
  <si>
    <t>OM885</t>
  </si>
  <si>
    <t>OM886</t>
  </si>
  <si>
    <t>OM887</t>
  </si>
  <si>
    <t>OM888</t>
  </si>
  <si>
    <t>OM889</t>
  </si>
  <si>
    <t>OM890</t>
  </si>
  <si>
    <t>OM891</t>
  </si>
  <si>
    <t>OM892</t>
  </si>
  <si>
    <t>OM893</t>
  </si>
  <si>
    <t>OM894</t>
  </si>
  <si>
    <t>Supervision</t>
  </si>
  <si>
    <t>OM901</t>
  </si>
  <si>
    <t>Meter Reading</t>
  </si>
  <si>
    <t>OM902</t>
  </si>
  <si>
    <t>OM903</t>
  </si>
  <si>
    <t>Uncollectible Accounts</t>
  </si>
  <si>
    <t>OM904</t>
  </si>
  <si>
    <t>Miscellaneous</t>
  </si>
  <si>
    <t>OM905</t>
  </si>
  <si>
    <t>OMCA</t>
  </si>
  <si>
    <t>907-910</t>
  </si>
  <si>
    <t>Customer Service Expenses</t>
  </si>
  <si>
    <t>OM907</t>
  </si>
  <si>
    <t>911-916</t>
  </si>
  <si>
    <t>Sales Expenses</t>
  </si>
  <si>
    <t>OM911</t>
  </si>
  <si>
    <t>OM920</t>
  </si>
  <si>
    <t>LBSUB</t>
  </si>
  <si>
    <t>OM921</t>
  </si>
  <si>
    <t>OM922</t>
  </si>
  <si>
    <t>Outside Services Employed</t>
  </si>
  <si>
    <t>OM923</t>
  </si>
  <si>
    <t>OMSUB</t>
  </si>
  <si>
    <t>Property Insurance</t>
  </si>
  <si>
    <t>OM924</t>
  </si>
  <si>
    <t>Injuries and Damages</t>
  </si>
  <si>
    <t>OM925</t>
  </si>
  <si>
    <t>OM926</t>
  </si>
  <si>
    <t>OM927</t>
  </si>
  <si>
    <t>Regulatory Commission Fee</t>
  </si>
  <si>
    <t>OM928</t>
  </si>
  <si>
    <t>OM929</t>
  </si>
  <si>
    <t>OM931</t>
  </si>
  <si>
    <t>OM935</t>
  </si>
  <si>
    <t>Operation and Maintenance Expenses</t>
  </si>
  <si>
    <t>Administrative &amp; General</t>
  </si>
  <si>
    <t>Depreciation Expenses</t>
  </si>
  <si>
    <t>OTRE</t>
  </si>
  <si>
    <t>OTPP</t>
  </si>
  <si>
    <t>OTUN</t>
  </si>
  <si>
    <t>OTT</t>
  </si>
  <si>
    <t>Taxes Other Than Income Taxes</t>
  </si>
  <si>
    <t>Total Taxes Other Than Income Taxes</t>
  </si>
  <si>
    <t/>
  </si>
  <si>
    <t>PT365</t>
  </si>
  <si>
    <t>Total Storage Plant</t>
  </si>
  <si>
    <t>Adjustments:</t>
  </si>
  <si>
    <t>Unamortized Debt</t>
  </si>
  <si>
    <t>Depreciation Adjustment</t>
  </si>
  <si>
    <t>Total Transmission and Distribution Oper Exp</t>
  </si>
  <si>
    <t>Total Maintenance Labor</t>
  </si>
  <si>
    <t>Maintenance of General Plant</t>
  </si>
  <si>
    <t>Total Maintenance Expense</t>
  </si>
  <si>
    <t>Total Operation and Maintenance Expenses</t>
  </si>
  <si>
    <t>Functional Assignment Vectors</t>
  </si>
  <si>
    <t>Gas Supply Demand</t>
  </si>
  <si>
    <t>Gas Supply Commodity</t>
  </si>
  <si>
    <t>Storage Demand</t>
  </si>
  <si>
    <t>Storage Commodity</t>
  </si>
  <si>
    <t>Transmission Demand</t>
  </si>
  <si>
    <t>Transmission Commodity</t>
  </si>
  <si>
    <t>Distribution Expense Commodity</t>
  </si>
  <si>
    <t>PTST</t>
  </si>
  <si>
    <t>Sub-Total Distribution Plant</t>
  </si>
  <si>
    <t>PTDSUB</t>
  </si>
  <si>
    <t>Sub-Total CWIP</t>
  </si>
  <si>
    <t>Regulatory</t>
  </si>
  <si>
    <t>DEPREX</t>
  </si>
  <si>
    <t>Allocation</t>
  </si>
  <si>
    <t>System</t>
  </si>
  <si>
    <t>Total Check</t>
  </si>
  <si>
    <t xml:space="preserve">  Demand</t>
  </si>
  <si>
    <t xml:space="preserve">  Customer</t>
  </si>
  <si>
    <t>PLT</t>
  </si>
  <si>
    <t>RBCSC</t>
  </si>
  <si>
    <t>RBMC</t>
  </si>
  <si>
    <t>RBT</t>
  </si>
  <si>
    <t>OMCSC</t>
  </si>
  <si>
    <t>OMMC</t>
  </si>
  <si>
    <t>Other Taxes</t>
  </si>
  <si>
    <t>Operating Revenues</t>
  </si>
  <si>
    <t>REVUC</t>
  </si>
  <si>
    <t>REVMSR</t>
  </si>
  <si>
    <t>TOR</t>
  </si>
  <si>
    <t xml:space="preserve">   Operation and Maintenance Expenses</t>
  </si>
  <si>
    <t xml:space="preserve">   Depreciation and Amortization Expenses</t>
  </si>
  <si>
    <t xml:space="preserve">   Other Taxes</t>
  </si>
  <si>
    <t>Total Operating Expenses</t>
  </si>
  <si>
    <t>TOE</t>
  </si>
  <si>
    <t>TOM</t>
  </si>
  <si>
    <t>Allocation Factors</t>
  </si>
  <si>
    <t xml:space="preserve">  Commodity</t>
  </si>
  <si>
    <t>Total Storage</t>
  </si>
  <si>
    <t>Total Transmission</t>
  </si>
  <si>
    <t>Total Distribution Mains</t>
  </si>
  <si>
    <t>Ref</t>
  </si>
  <si>
    <t>PTISGSD</t>
  </si>
  <si>
    <t>PTISGSC</t>
  </si>
  <si>
    <t>PTISSD</t>
  </si>
  <si>
    <t>PTISSC</t>
  </si>
  <si>
    <t>PTISTD</t>
  </si>
  <si>
    <t>PTISTC</t>
  </si>
  <si>
    <t>PTISDEC</t>
  </si>
  <si>
    <t>PTISDSD</t>
  </si>
  <si>
    <t>PTISDMD</t>
  </si>
  <si>
    <t>PTISDMC</t>
  </si>
  <si>
    <t>PTISMC</t>
  </si>
  <si>
    <t>PTISCAC</t>
  </si>
  <si>
    <t>PTISCSC</t>
  </si>
  <si>
    <t>Other</t>
  </si>
  <si>
    <t>Rate Base</t>
  </si>
  <si>
    <t>RBGSC</t>
  </si>
  <si>
    <t>RBSD</t>
  </si>
  <si>
    <t>RBSC</t>
  </si>
  <si>
    <t>RBTD</t>
  </si>
  <si>
    <t>RBTC</t>
  </si>
  <si>
    <t>RBDEC</t>
  </si>
  <si>
    <t>RBDSD</t>
  </si>
  <si>
    <t>RBDMD</t>
  </si>
  <si>
    <t>RBDMC</t>
  </si>
  <si>
    <t>RBCAC</t>
  </si>
  <si>
    <t>RBGSD</t>
  </si>
  <si>
    <t>OMGSD</t>
  </si>
  <si>
    <t>OMSD</t>
  </si>
  <si>
    <t>OMSC</t>
  </si>
  <si>
    <t>OMTD</t>
  </si>
  <si>
    <t>OMTC</t>
  </si>
  <si>
    <t>OMDEC</t>
  </si>
  <si>
    <t>OMDSD</t>
  </si>
  <si>
    <t>OMDMD</t>
  </si>
  <si>
    <t>OMDMC</t>
  </si>
  <si>
    <t>OMCAC</t>
  </si>
  <si>
    <t>OMGSC</t>
  </si>
  <si>
    <t>DEGSC</t>
  </si>
  <si>
    <t>DESD</t>
  </si>
  <si>
    <t>DESC</t>
  </si>
  <si>
    <t>DETD</t>
  </si>
  <si>
    <t>DETC</t>
  </si>
  <si>
    <t>DEDEC</t>
  </si>
  <si>
    <t>DEDSD</t>
  </si>
  <si>
    <t>DEDMD</t>
  </si>
  <si>
    <t>DEDMC</t>
  </si>
  <si>
    <t>DEMC</t>
  </si>
  <si>
    <t>DECAC</t>
  </si>
  <si>
    <t>DECSC</t>
  </si>
  <si>
    <t>DEGSD</t>
  </si>
  <si>
    <t>OTTGSD</t>
  </si>
  <si>
    <t>OTTGSC</t>
  </si>
  <si>
    <t>OTTSD</t>
  </si>
  <si>
    <t>OTTSC</t>
  </si>
  <si>
    <t>OTTTD</t>
  </si>
  <si>
    <t>OTTTC</t>
  </si>
  <si>
    <t>OTTDEC</t>
  </si>
  <si>
    <t>OTTDSD</t>
  </si>
  <si>
    <t>OTTDMD</t>
  </si>
  <si>
    <t>OTTDMC</t>
  </si>
  <si>
    <t>OTTMC</t>
  </si>
  <si>
    <t>OTTCAC</t>
  </si>
  <si>
    <t>OTTCSC</t>
  </si>
  <si>
    <t>DET</t>
  </si>
  <si>
    <t>OTTT</t>
  </si>
  <si>
    <t>OMTT</t>
  </si>
  <si>
    <t>Income Taxes</t>
  </si>
  <si>
    <t>Transmission &amp; Distribution Mains</t>
  </si>
  <si>
    <t>TDMSUB</t>
  </si>
  <si>
    <t xml:space="preserve">  Sales and Transportation</t>
  </si>
  <si>
    <t>Residential</t>
  </si>
  <si>
    <t>Expenses</t>
  </si>
  <si>
    <t>Taxable Income</t>
  </si>
  <si>
    <t>Net Income Before Income Tax</t>
  </si>
  <si>
    <t>Net Income Before Income Taxes</t>
  </si>
  <si>
    <t>TXINC</t>
  </si>
  <si>
    <t>INT</t>
  </si>
  <si>
    <t>NIBIT</t>
  </si>
  <si>
    <t>Average Revenue per MCF ($/MCF)</t>
  </si>
  <si>
    <t>DEM01</t>
  </si>
  <si>
    <t>COM01</t>
  </si>
  <si>
    <t>DEM02</t>
  </si>
  <si>
    <t>COM02</t>
  </si>
  <si>
    <t>DEM03</t>
  </si>
  <si>
    <t>COM03</t>
  </si>
  <si>
    <t>COM04</t>
  </si>
  <si>
    <t>DEM04</t>
  </si>
  <si>
    <t>DEM05</t>
  </si>
  <si>
    <t>CUST01</t>
  </si>
  <si>
    <t>CUST02</t>
  </si>
  <si>
    <t>CUST03</t>
  </si>
  <si>
    <t>CUST04</t>
  </si>
  <si>
    <t>CUST05</t>
  </si>
  <si>
    <t>Distribution Structures</t>
  </si>
  <si>
    <t>Number of Customers</t>
  </si>
  <si>
    <t>Total Expense Adjustments</t>
  </si>
  <si>
    <t>EXADJ1</t>
  </si>
  <si>
    <t>EXADJ3</t>
  </si>
  <si>
    <t>EXADJ4</t>
  </si>
  <si>
    <t>EXADJ6</t>
  </si>
  <si>
    <t>EXADJ7</t>
  </si>
  <si>
    <t>EXADJ8</t>
  </si>
  <si>
    <t>EXADJ9</t>
  </si>
  <si>
    <t>EXADJ10</t>
  </si>
  <si>
    <t>ADJTOT</t>
  </si>
  <si>
    <t>OMGST</t>
  </si>
  <si>
    <t>OMST</t>
  </si>
  <si>
    <t>DEGST</t>
  </si>
  <si>
    <t>DEST</t>
  </si>
  <si>
    <t>DETT</t>
  </si>
  <si>
    <t>OTTGST</t>
  </si>
  <si>
    <t>OTTST</t>
  </si>
  <si>
    <t>OTTTT</t>
  </si>
  <si>
    <t>LBTOT</t>
  </si>
  <si>
    <t>Payroll Expenses</t>
  </si>
  <si>
    <t>LBGSC</t>
  </si>
  <si>
    <t>LBGST</t>
  </si>
  <si>
    <t>LBSD</t>
  </si>
  <si>
    <t>LBSC</t>
  </si>
  <si>
    <t>LBST</t>
  </si>
  <si>
    <t>LBTD</t>
  </si>
  <si>
    <t>LBTC</t>
  </si>
  <si>
    <t>LBTT</t>
  </si>
  <si>
    <t>LBDEC</t>
  </si>
  <si>
    <t>LBDSD</t>
  </si>
  <si>
    <t>LBDMD</t>
  </si>
  <si>
    <t>LBDMC</t>
  </si>
  <si>
    <t>LBMC</t>
  </si>
  <si>
    <t>LBCAC</t>
  </si>
  <si>
    <t>LBCSC</t>
  </si>
  <si>
    <t>LBGSD</t>
  </si>
  <si>
    <t>Net Operating Income -- Adjusted Test Period</t>
  </si>
  <si>
    <t>Test Year Operating Income</t>
  </si>
  <si>
    <t>Proposed Increase</t>
  </si>
  <si>
    <t>Net Operating Income Adjusted for Increase</t>
  </si>
  <si>
    <t>Rate of Return</t>
  </si>
  <si>
    <t>Load Factor</t>
  </si>
  <si>
    <t>Special Contracts</t>
  </si>
  <si>
    <t>Interest Expenses</t>
  </si>
  <si>
    <t>INTGSC</t>
  </si>
  <si>
    <t>INTGST</t>
  </si>
  <si>
    <t>INTSD</t>
  </si>
  <si>
    <t>INTSC</t>
  </si>
  <si>
    <t>INTST</t>
  </si>
  <si>
    <t>INTTD</t>
  </si>
  <si>
    <t>INTTC</t>
  </si>
  <si>
    <t>INTTT</t>
  </si>
  <si>
    <t>INTDEC</t>
  </si>
  <si>
    <t>INTDSD</t>
  </si>
  <si>
    <t>INTDMD</t>
  </si>
  <si>
    <t>INTDMC</t>
  </si>
  <si>
    <t>INTMC</t>
  </si>
  <si>
    <t>INTCAC</t>
  </si>
  <si>
    <t>INTCSC</t>
  </si>
  <si>
    <t>INTT</t>
  </si>
  <si>
    <t>INTGSD</t>
  </si>
  <si>
    <t>Billing Units</t>
  </si>
  <si>
    <t>Transmission Plant</t>
  </si>
  <si>
    <t>Total Labor Expenses</t>
  </si>
  <si>
    <t>Transmission and Distribution Payroll</t>
  </si>
  <si>
    <t>Transmission and Distribution Mains</t>
  </si>
  <si>
    <t>Internally Generated Functional Vectors</t>
  </si>
  <si>
    <t>365-371</t>
  </si>
  <si>
    <t>Underground Storage Plant</t>
  </si>
  <si>
    <t>PT117</t>
  </si>
  <si>
    <t>Underground Storage</t>
  </si>
  <si>
    <t>Other Distribution</t>
  </si>
  <si>
    <t>Common</t>
  </si>
  <si>
    <t>DEPTR</t>
  </si>
  <si>
    <t>DEPRCO</t>
  </si>
  <si>
    <t>PTCP</t>
  </si>
  <si>
    <t>Customer Advances for Construction</t>
  </si>
  <si>
    <t>Operations Supervision and Engineer</t>
  </si>
  <si>
    <t>Maps and Records</t>
  </si>
  <si>
    <t>Well Expenses</t>
  </si>
  <si>
    <t>Compressor Station Fuel and Power</t>
  </si>
  <si>
    <t xml:space="preserve">Measurement and Regulator Station </t>
  </si>
  <si>
    <t>Gas losses</t>
  </si>
  <si>
    <t>Storage Well Royalities</t>
  </si>
  <si>
    <t>Maintenance Super and Eng.</t>
  </si>
  <si>
    <t>Maintenance of Resevoirs</t>
  </si>
  <si>
    <t>Main of Compressor Station Equipment</t>
  </si>
  <si>
    <t>Main of Meas and Reg Sta. Equip</t>
  </si>
  <si>
    <t>Main of Purification Equip</t>
  </si>
  <si>
    <t>Main of Other Equipment</t>
  </si>
  <si>
    <t>Operation Supr and Engr</t>
  </si>
  <si>
    <t>Dist Load Dispatching</t>
  </si>
  <si>
    <t>Compr. Station Fuel and Power</t>
  </si>
  <si>
    <t>Compr. Station Labor and Exp.</t>
  </si>
  <si>
    <t>Other Mains/Serv. Expenses</t>
  </si>
  <si>
    <t>Leak Survey-Mains</t>
  </si>
  <si>
    <t>Leak Survey - Service</t>
  </si>
  <si>
    <t>Locate Main per Request</t>
  </si>
  <si>
    <t>Check Stop Box Access</t>
  </si>
  <si>
    <t>Patrolling Mains</t>
  </si>
  <si>
    <t>Check/Grease Valves</t>
  </si>
  <si>
    <t>Opr. Odor Equipment</t>
  </si>
  <si>
    <t>Locate and Inspect Valve Boxes</t>
  </si>
  <si>
    <t>Cut Grass - Right of Way</t>
  </si>
  <si>
    <t>Meas and Reg Station Exp.- General</t>
  </si>
  <si>
    <t>Meas and Reg Station Exp.- Industrial</t>
  </si>
  <si>
    <t>Meas and Reg Station Exp. - City Gate</t>
  </si>
  <si>
    <t>Meter and House Reg. Expense</t>
  </si>
  <si>
    <t>Customer Installation Expense</t>
  </si>
  <si>
    <t>Transmission Expenses</t>
  </si>
  <si>
    <t>Operation</t>
  </si>
  <si>
    <t>Customer Records and Collections</t>
  </si>
  <si>
    <t>Misc. Cust Account Expenses</t>
  </si>
  <si>
    <t>Admin and General Salaries</t>
  </si>
  <si>
    <t>Office Supplies and Expense</t>
  </si>
  <si>
    <t>Admin. Expenses Transferred</t>
  </si>
  <si>
    <t>Employee Pensions and Benefits</t>
  </si>
  <si>
    <t>General Advertising Expense</t>
  </si>
  <si>
    <t>Misc. General Expense</t>
  </si>
  <si>
    <t>Maintenance Supr and Engr</t>
  </si>
  <si>
    <t>Maintenance Structures</t>
  </si>
  <si>
    <t>Maintenance Mains</t>
  </si>
  <si>
    <t>Maintenance Comp. Station Equip.</t>
  </si>
  <si>
    <t>Maintenance Meas and Reg. General</t>
  </si>
  <si>
    <t>Maintenance Meas and Reg - Industrial</t>
  </si>
  <si>
    <t>Maintenance Meas and Reg.-City Gate</t>
  </si>
  <si>
    <t>Maintenance Services</t>
  </si>
  <si>
    <t>Maintenance Meters and House Reg.</t>
  </si>
  <si>
    <t>Maintenance Other Equipment</t>
  </si>
  <si>
    <t>U-T-D Subtotal</t>
  </si>
  <si>
    <t>Total Storage Labor</t>
  </si>
  <si>
    <t>807-813</t>
  </si>
  <si>
    <t>Procurement Expenses</t>
  </si>
  <si>
    <t>Labor Expenses</t>
  </si>
  <si>
    <t>Storage Expenses</t>
  </si>
  <si>
    <t>Storage Expense</t>
  </si>
  <si>
    <t>Maintenance</t>
  </si>
  <si>
    <t>Labor Expenses (Continued)</t>
  </si>
  <si>
    <t>Total Maintenance Expenses</t>
  </si>
  <si>
    <t>Customer Accounts Expense</t>
  </si>
  <si>
    <t>Total Labor Expense</t>
  </si>
  <si>
    <t>Operation &amp; Maintenance Expenses</t>
  </si>
  <si>
    <t>Total Operation Expenses</t>
  </si>
  <si>
    <t>Total Storage Expense</t>
  </si>
  <si>
    <t>Operation &amp; Maintenance Expenses (Continued)</t>
  </si>
  <si>
    <t>Total Customer Accounts Expense</t>
  </si>
  <si>
    <t>Total Administrative and General Expense</t>
  </si>
  <si>
    <t>Total Operation &amp; Maintenance Expense</t>
  </si>
  <si>
    <t>Total Administrative and General Labor</t>
  </si>
  <si>
    <t>Total Customer Accounts Labor</t>
  </si>
  <si>
    <t>Total Operations Distribution Labor</t>
  </si>
  <si>
    <t>Total Operations Transmission and Distribution Labor</t>
  </si>
  <si>
    <t>Total Operations Distribution Expense</t>
  </si>
  <si>
    <t>LB807</t>
  </si>
  <si>
    <t>LB814</t>
  </si>
  <si>
    <t>LB815</t>
  </si>
  <si>
    <t>LB816</t>
  </si>
  <si>
    <t>LB817</t>
  </si>
  <si>
    <t>LB818</t>
  </si>
  <si>
    <t>LB819</t>
  </si>
  <si>
    <t>LB820</t>
  </si>
  <si>
    <t>LB821</t>
  </si>
  <si>
    <t>LB823</t>
  </si>
  <si>
    <t>LB824</t>
  </si>
  <si>
    <t>LB825</t>
  </si>
  <si>
    <t>LB826</t>
  </si>
  <si>
    <t>LB830</t>
  </si>
  <si>
    <t>LB831</t>
  </si>
  <si>
    <t>LB832</t>
  </si>
  <si>
    <t>LB833</t>
  </si>
  <si>
    <t>LB834</t>
  </si>
  <si>
    <t>LB835</t>
  </si>
  <si>
    <t>LB836</t>
  </si>
  <si>
    <t>LB837</t>
  </si>
  <si>
    <t>LBS</t>
  </si>
  <si>
    <t>LB850</t>
  </si>
  <si>
    <t>LB870</t>
  </si>
  <si>
    <t>LB871</t>
  </si>
  <si>
    <t>LB872</t>
  </si>
  <si>
    <t>LB873</t>
  </si>
  <si>
    <t>LB874.01</t>
  </si>
  <si>
    <t>LB874.02</t>
  </si>
  <si>
    <t>LB874.03</t>
  </si>
  <si>
    <t>LB874.04</t>
  </si>
  <si>
    <t>LB874.05</t>
  </si>
  <si>
    <t>LB874.06</t>
  </si>
  <si>
    <t>LB874.07</t>
  </si>
  <si>
    <t>LB874.08</t>
  </si>
  <si>
    <t>LB874.09</t>
  </si>
  <si>
    <t>LB874.10</t>
  </si>
  <si>
    <t>LB875</t>
  </si>
  <si>
    <t>LB876</t>
  </si>
  <si>
    <t>LB877</t>
  </si>
  <si>
    <t>LB878</t>
  </si>
  <si>
    <t>LB879</t>
  </si>
  <si>
    <t>LB880</t>
  </si>
  <si>
    <t>LB881</t>
  </si>
  <si>
    <t>LB885</t>
  </si>
  <si>
    <t>LB886</t>
  </si>
  <si>
    <t>LB887</t>
  </si>
  <si>
    <t>LB888</t>
  </si>
  <si>
    <t>LB889</t>
  </si>
  <si>
    <t>LB890</t>
  </si>
  <si>
    <t>LB891</t>
  </si>
  <si>
    <t>LB892</t>
  </si>
  <si>
    <t>LB893</t>
  </si>
  <si>
    <t>LB894</t>
  </si>
  <si>
    <t>LBDM</t>
  </si>
  <si>
    <t>LBDO</t>
  </si>
  <si>
    <t>LBTDO</t>
  </si>
  <si>
    <t>LBSM</t>
  </si>
  <si>
    <t>LBSO</t>
  </si>
  <si>
    <t>LB901</t>
  </si>
  <si>
    <t>LB902</t>
  </si>
  <si>
    <t>LB903</t>
  </si>
  <si>
    <t>LB904</t>
  </si>
  <si>
    <t>LB905</t>
  </si>
  <si>
    <t>LBCA</t>
  </si>
  <si>
    <t>LB907</t>
  </si>
  <si>
    <t>LB911</t>
  </si>
  <si>
    <t>LB920</t>
  </si>
  <si>
    <t>LB921</t>
  </si>
  <si>
    <t>LB922</t>
  </si>
  <si>
    <t>LB923</t>
  </si>
  <si>
    <t>LB924</t>
  </si>
  <si>
    <t>LB925</t>
  </si>
  <si>
    <t>LB926</t>
  </si>
  <si>
    <t>LB927</t>
  </si>
  <si>
    <t>LB928</t>
  </si>
  <si>
    <t>LB929</t>
  </si>
  <si>
    <t>LB930.1</t>
  </si>
  <si>
    <t>LB930.2</t>
  </si>
  <si>
    <t>LB931</t>
  </si>
  <si>
    <t>LB935</t>
  </si>
  <si>
    <t>LBAG</t>
  </si>
  <si>
    <t>OM807</t>
  </si>
  <si>
    <t>OMOE</t>
  </si>
  <si>
    <t>OMME</t>
  </si>
  <si>
    <t>OMS</t>
  </si>
  <si>
    <t>OM872</t>
  </si>
  <si>
    <t>OM873</t>
  </si>
  <si>
    <t>OM874.01</t>
  </si>
  <si>
    <t>OM874.02</t>
  </si>
  <si>
    <t>OM874.03</t>
  </si>
  <si>
    <t>OM874.04</t>
  </si>
  <si>
    <t>OM874.05</t>
  </si>
  <si>
    <t>OM874.06</t>
  </si>
  <si>
    <t>OM874.07</t>
  </si>
  <si>
    <t>OM874.08</t>
  </si>
  <si>
    <t>OM874.09</t>
  </si>
  <si>
    <t>OM874.10</t>
  </si>
  <si>
    <t>OM875</t>
  </si>
  <si>
    <t>OM876</t>
  </si>
  <si>
    <t>OM877</t>
  </si>
  <si>
    <t>OM878</t>
  </si>
  <si>
    <t>OM879</t>
  </si>
  <si>
    <t>OMDO</t>
  </si>
  <si>
    <t>OMTDO</t>
  </si>
  <si>
    <t>OMDE</t>
  </si>
  <si>
    <t>OM930.1</t>
  </si>
  <si>
    <t>OM930.2</t>
  </si>
  <si>
    <t>OMAGT</t>
  </si>
  <si>
    <t>Total Transmission &amp; Distribution Labor</t>
  </si>
  <si>
    <t>Total Transmission &amp; Distribution Expenses</t>
  </si>
  <si>
    <t>Gas Stored Underground/Non-Current</t>
  </si>
  <si>
    <t>Common Utility Plant</t>
  </si>
  <si>
    <t>CWIPDM</t>
  </si>
  <si>
    <t>CWIPOD</t>
  </si>
  <si>
    <t>Total Gas Utility Plant at Original Cost</t>
  </si>
  <si>
    <t>Customer Advances For Construction</t>
  </si>
  <si>
    <t>CAD</t>
  </si>
  <si>
    <t>PLUS:</t>
  </si>
  <si>
    <t>DP350</t>
  </si>
  <si>
    <t>DP365</t>
  </si>
  <si>
    <t>Land &amp; Land Rights</t>
  </si>
  <si>
    <t>Meas &amp; Reg Station Eq.-City Gate</t>
  </si>
  <si>
    <t>Meas &amp; Reg Station Eq.-Gen</t>
  </si>
  <si>
    <t>Industrial Meas &amp; Reg Equipment</t>
  </si>
  <si>
    <t>DP374</t>
  </si>
  <si>
    <t>DP375</t>
  </si>
  <si>
    <t>DP376</t>
  </si>
  <si>
    <t>DP378</t>
  </si>
  <si>
    <t>DP379</t>
  </si>
  <si>
    <t>DP380</t>
  </si>
  <si>
    <t>DP381</t>
  </si>
  <si>
    <t>DP382</t>
  </si>
  <si>
    <t>DP383</t>
  </si>
  <si>
    <t>DP384</t>
  </si>
  <si>
    <t>DP385</t>
  </si>
  <si>
    <t>DP387</t>
  </si>
  <si>
    <t>Total Distribution</t>
  </si>
  <si>
    <t>DP117</t>
  </si>
  <si>
    <t>DP301</t>
  </si>
  <si>
    <t>DP389</t>
  </si>
  <si>
    <t>DPCP</t>
  </si>
  <si>
    <t>Total Depreciation Expense</t>
  </si>
  <si>
    <t>Unemployment Insurance</t>
  </si>
  <si>
    <t>Federal Old Age &amp; Survivor Insurance</t>
  </si>
  <si>
    <t>Public Service Commission Fee</t>
  </si>
  <si>
    <t>OTFICA</t>
  </si>
  <si>
    <t>OTCF</t>
  </si>
  <si>
    <t>OTMISC</t>
  </si>
  <si>
    <t>(IGS)</t>
  </si>
  <si>
    <t>Commercial</t>
  </si>
  <si>
    <t>(CGS)</t>
  </si>
  <si>
    <t>Industrial</t>
  </si>
  <si>
    <t>(RGS)</t>
  </si>
  <si>
    <t>Firm Transportation Service</t>
  </si>
  <si>
    <t>(FT)</t>
  </si>
  <si>
    <t>(SP)</t>
  </si>
  <si>
    <t>Total Storage Operation Labor</t>
  </si>
  <si>
    <t>OSE</t>
  </si>
  <si>
    <t>MSE</t>
  </si>
  <si>
    <t>Procurement</t>
  </si>
  <si>
    <t>Mains &amp; Services</t>
  </si>
  <si>
    <t>CADAL</t>
  </si>
  <si>
    <t>DMCM</t>
  </si>
  <si>
    <t>Demand/Commodity Percent of Purchased Gas Cost</t>
  </si>
  <si>
    <t>DOES</t>
  </si>
  <si>
    <t>DMES</t>
  </si>
  <si>
    <t>Subtotal Labor Expenses</t>
  </si>
  <si>
    <t>Subtotal O&amp;M Expenses</t>
  </si>
  <si>
    <t>Storage-Transmission -Distribution Plant Subtotal</t>
  </si>
  <si>
    <t>Customer Service Expense</t>
  </si>
  <si>
    <t>Customer Count (Average)</t>
  </si>
  <si>
    <t xml:space="preserve">  Forfeited Discounts</t>
  </si>
  <si>
    <t>Pro-Forma Adjustments to Revenues</t>
  </si>
  <si>
    <t>Pro-Forma Adjustments to Expenses</t>
  </si>
  <si>
    <t>Total Revenue Adjustments</t>
  </si>
  <si>
    <t>REVADJ1</t>
  </si>
  <si>
    <t xml:space="preserve">   Labor Adjustment</t>
  </si>
  <si>
    <t xml:space="preserve">   Depreciation Expenses</t>
  </si>
  <si>
    <t xml:space="preserve">   Rate Case Expenses</t>
  </si>
  <si>
    <t>Total Adjusted Revenue</t>
  </si>
  <si>
    <t>Interest Expense</t>
  </si>
  <si>
    <t>Net Operating Income -- Adjusted Test Period (Cont.)</t>
  </si>
  <si>
    <t>Unadjusted Net Cost Rate Base</t>
  </si>
  <si>
    <t>Adjusted Deliveries</t>
  </si>
  <si>
    <t>Total Procurement Expenses</t>
  </si>
  <si>
    <t>Gas Plant at Original Cost</t>
  </si>
  <si>
    <t>Gas Plant at Original Cost (Continued)</t>
  </si>
  <si>
    <t>Compressor Station Exp - Payroll</t>
  </si>
  <si>
    <t>Purification of Natural Gas</t>
  </si>
  <si>
    <t>Allocation Factors Continued</t>
  </si>
  <si>
    <t>OMTRT</t>
  </si>
  <si>
    <t>LBTRT</t>
  </si>
  <si>
    <t>Forfeited Discounts</t>
  </si>
  <si>
    <t>REVFD</t>
  </si>
  <si>
    <t>Depreciation Reserve - Distribution</t>
  </si>
  <si>
    <t>DEPRDIS</t>
  </si>
  <si>
    <t>Total Distribution Expense</t>
  </si>
  <si>
    <t>DISTRT</t>
  </si>
  <si>
    <t>Rate Base Adjustments</t>
  </si>
  <si>
    <t xml:space="preserve"> </t>
  </si>
  <si>
    <t>(AAGS)</t>
  </si>
  <si>
    <t>O&amp;M Expenses</t>
  </si>
  <si>
    <t>Distribution Mains - Low &amp; Med. Pressure</t>
  </si>
  <si>
    <t>Distribution Mains -         High Pressure</t>
  </si>
  <si>
    <t>Distribution Mains -          High Pressure</t>
  </si>
  <si>
    <t xml:space="preserve">  High Pressure - Customer</t>
  </si>
  <si>
    <t xml:space="preserve">  Low/Medium Pressure - Customer</t>
  </si>
  <si>
    <t xml:space="preserve">  Low/Medium Pressure - Demand</t>
  </si>
  <si>
    <t xml:space="preserve">  High  Pressure - Demand</t>
  </si>
  <si>
    <t>Low/Medium Pressure Distribution Mains</t>
  </si>
  <si>
    <t>High Pressure Distribution Mains</t>
  </si>
  <si>
    <t>CUST01a</t>
  </si>
  <si>
    <t>DEM05a</t>
  </si>
  <si>
    <t>Revenue</t>
  </si>
  <si>
    <t>Services Cost</t>
  </si>
  <si>
    <t>Duplicate Charges -Credit</t>
  </si>
  <si>
    <t>Franchise Requirement</t>
  </si>
  <si>
    <t>REVADJ4</t>
  </si>
  <si>
    <t xml:space="preserve">    Removal of DSM Revenues</t>
  </si>
  <si>
    <t xml:space="preserve">   Eliminate DSM Expenses</t>
  </si>
  <si>
    <t xml:space="preserve">  Miscellaneous Revenue</t>
  </si>
  <si>
    <t>Actual Revenue</t>
  </si>
  <si>
    <t>Interest Adjustment</t>
  </si>
  <si>
    <t>Net Operating Income (Pro-Forma)</t>
  </si>
  <si>
    <t>Rate of Return  -- Pro-Forma</t>
  </si>
  <si>
    <t>Net Cost Rate Base (Same as Above)</t>
  </si>
  <si>
    <t>Incremental Income Taxes</t>
  </si>
  <si>
    <t>DSM Allocation</t>
  </si>
  <si>
    <t>Maintenance Expense -- Distribution</t>
  </si>
  <si>
    <t>Storage Maintenance Expenses Labor Subtotal</t>
  </si>
  <si>
    <t>Storage Operation Expenses Labor Subtotal</t>
  </si>
  <si>
    <t>Distribution Operation Expenses Labor Subtotal</t>
  </si>
  <si>
    <t>Distribution Maintenance Expenses Labor Subtotal</t>
  </si>
  <si>
    <t>Asset Retire Obligation Gas Plant</t>
  </si>
  <si>
    <t xml:space="preserve">Misc. General Expense  </t>
  </si>
  <si>
    <t>General &amp; Intangible</t>
  </si>
  <si>
    <t xml:space="preserve">General </t>
  </si>
  <si>
    <t>PT388</t>
  </si>
  <si>
    <t>Asset Retire Obligation Gas Plant-Mains</t>
  </si>
  <si>
    <t>Asset Retire Obligation Gas Plant-City Gate</t>
  </si>
  <si>
    <t>As Available Gas Service Rate AAGS</t>
  </si>
  <si>
    <t>DP388</t>
  </si>
  <si>
    <t>Total Underground Storage</t>
  </si>
  <si>
    <t>As Available Gas Service</t>
  </si>
  <si>
    <t>Reference</t>
  </si>
  <si>
    <t>(1)</t>
  </si>
  <si>
    <t>REVMISC</t>
  </si>
  <si>
    <t>Miscellaneous Revenue Allocation</t>
  </si>
  <si>
    <r>
      <t xml:space="preserve">Purification of Natural Gas </t>
    </r>
    <r>
      <rPr>
        <i/>
        <sz val="10"/>
        <rFont val="Times New Roman"/>
        <family val="1"/>
      </rPr>
      <t xml:space="preserve">  (1)</t>
    </r>
  </si>
  <si>
    <r>
      <t xml:space="preserve">Gas losses  </t>
    </r>
    <r>
      <rPr>
        <i/>
        <sz val="10"/>
        <rFont val="Times New Roman"/>
        <family val="1"/>
      </rPr>
      <t xml:space="preserve"> (2)</t>
    </r>
  </si>
  <si>
    <r>
      <t xml:space="preserve">Sales Expenses  </t>
    </r>
    <r>
      <rPr>
        <i/>
        <sz val="10"/>
        <rFont val="Times New Roman"/>
        <family val="1"/>
      </rPr>
      <t xml:space="preserve">  </t>
    </r>
  </si>
  <si>
    <r>
      <t xml:space="preserve">Injuries and Damages  </t>
    </r>
    <r>
      <rPr>
        <i/>
        <sz val="10"/>
        <rFont val="Times New Roman"/>
        <family val="1"/>
      </rPr>
      <t xml:space="preserve"> </t>
    </r>
  </si>
  <si>
    <r>
      <t xml:space="preserve">Employee Pensions and Benefits </t>
    </r>
    <r>
      <rPr>
        <i/>
        <sz val="10"/>
        <rFont val="Times New Roman"/>
        <family val="1"/>
      </rPr>
      <t xml:space="preserve"> </t>
    </r>
  </si>
  <si>
    <r>
      <t xml:space="preserve">General Advertising Expense </t>
    </r>
    <r>
      <rPr>
        <i/>
        <sz val="10"/>
        <rFont val="Times New Roman"/>
        <family val="1"/>
      </rPr>
      <t xml:space="preserve"> </t>
    </r>
  </si>
  <si>
    <t>Regulatory Credits</t>
  </si>
  <si>
    <t>Regulatory Credits and Accretion</t>
  </si>
  <si>
    <t>Accretion</t>
  </si>
  <si>
    <t>Amortization of Income Tax Credits</t>
  </si>
  <si>
    <t>REGCR</t>
  </si>
  <si>
    <t>ACCRE</t>
  </si>
  <si>
    <t>ITCAM</t>
  </si>
  <si>
    <t>RCR</t>
  </si>
  <si>
    <t>Accretion Expense</t>
  </si>
  <si>
    <t>ITC Amortization</t>
  </si>
  <si>
    <t>ACC</t>
  </si>
  <si>
    <t xml:space="preserve">   Other Expenses (ITC amortization, Reg Credits, Accretion)</t>
  </si>
  <si>
    <t>FAS 109 Deferred Income taxes</t>
  </si>
  <si>
    <t>Asset Retirement Obligation-Net Assets</t>
  </si>
  <si>
    <t>Accum Depre reclassification</t>
  </si>
  <si>
    <t>Asset Retirement Obligation-Liabilities</t>
  </si>
  <si>
    <t>Asset Retirement Obligation-Regulatory Assets</t>
  </si>
  <si>
    <t>Asset Retirement Obligation-Regulatory Liabilities</t>
  </si>
  <si>
    <t>High Pressure System</t>
  </si>
  <si>
    <t>RBTHP</t>
  </si>
  <si>
    <t>Depreciation</t>
  </si>
  <si>
    <t>Taxes (Other than Income)</t>
  </si>
  <si>
    <t>Accretion Expenses</t>
  </si>
  <si>
    <t>Design-Day Demands</t>
  </si>
  <si>
    <t>Firm Rate Classes</t>
  </si>
  <si>
    <t>Return (at Rate FT ROR)</t>
  </si>
  <si>
    <t>Daily Utilization Charges Under Rate FT</t>
  </si>
  <si>
    <t>Louisville Gas and Electric Company</t>
  </si>
  <si>
    <t>Rate of Return -- Proposed</t>
  </si>
  <si>
    <t>Net Operating Income -- Proposed Rates</t>
  </si>
  <si>
    <t>Total Operating Revenues</t>
  </si>
  <si>
    <t>Annual Cost</t>
  </si>
  <si>
    <t>Monthly Cost</t>
  </si>
  <si>
    <t>Unit Cost at 100 Percent Load Factor</t>
  </si>
  <si>
    <t xml:space="preserve">  Interdepartmental Sales</t>
  </si>
  <si>
    <t xml:space="preserve">    Adjustment to eliminate gas supply cost recoveries</t>
  </si>
  <si>
    <t xml:space="preserve">   Property Insurance Adjmt.</t>
  </si>
  <si>
    <t xml:space="preserve">   Interest Rate Swap Amortization</t>
  </si>
  <si>
    <t xml:space="preserve">   Property Tax Adjmt.</t>
  </si>
  <si>
    <t xml:space="preserve">   Federal &amp; State Income Tax Adjmt.</t>
  </si>
  <si>
    <t xml:space="preserve">   Federal &amp; State Income Tax Interest Adjmt.</t>
  </si>
  <si>
    <t xml:space="preserve">   Prior Income tax true-ups &amp; adjustments</t>
  </si>
  <si>
    <t xml:space="preserve">   Adjustment to correct Edison Electric invoice</t>
  </si>
  <si>
    <t>PTISDIS</t>
  </si>
  <si>
    <t>Pro-Forma Adjustments</t>
  </si>
  <si>
    <t>PROFO</t>
  </si>
  <si>
    <t>REVGSC</t>
  </si>
  <si>
    <t>GSC Revenue</t>
  </si>
  <si>
    <t>REV01</t>
  </si>
  <si>
    <t>Actual Net Revenue</t>
  </si>
  <si>
    <t>Revenue Adjustment Reflective Base Rates for Full Year</t>
  </si>
  <si>
    <t>TREVADJ</t>
  </si>
  <si>
    <t xml:space="preserve">   Pensions/Post Retirement Benefits Adjmt.</t>
  </si>
  <si>
    <t xml:space="preserve">   Eliminate Advertising Expenses </t>
  </si>
  <si>
    <t xml:space="preserve">   Normalize 925 Injuries/Damages Adjmt.</t>
  </si>
  <si>
    <t>Unit Cost of Service Based on the Cost of Service Study</t>
  </si>
  <si>
    <t>Customer Costs</t>
  </si>
  <si>
    <t>Customer-Related</t>
  </si>
  <si>
    <t xml:space="preserve">Demand Related </t>
  </si>
  <si>
    <t>Low Pressure</t>
  </si>
  <si>
    <t>High Pressure</t>
  </si>
  <si>
    <t>Demand-Related</t>
  </si>
  <si>
    <t>Mains Costs</t>
  </si>
  <si>
    <t>Main Costs</t>
  </si>
  <si>
    <t>Direct Costs</t>
  </si>
  <si>
    <t>Costs</t>
  </si>
  <si>
    <t>Total Costs</t>
  </si>
  <si>
    <t>(2)</t>
  </si>
  <si>
    <t>(3)</t>
  </si>
  <si>
    <t>(1)+(2)</t>
  </si>
  <si>
    <t>(4)</t>
  </si>
  <si>
    <t>(5)</t>
  </si>
  <si>
    <t>(3) x (4)</t>
  </si>
  <si>
    <t>(6)</t>
  </si>
  <si>
    <t>(7)</t>
  </si>
  <si>
    <t>(5) - (6)</t>
  </si>
  <si>
    <t>(8)</t>
  </si>
  <si>
    <t>(9)</t>
  </si>
  <si>
    <t>(10)</t>
  </si>
  <si>
    <t>(11)</t>
  </si>
  <si>
    <t>(12)</t>
  </si>
  <si>
    <t>(13)</t>
  </si>
  <si>
    <t>(14)</t>
  </si>
  <si>
    <t>Less: Misc Revenue</t>
  </si>
  <si>
    <t>(15)</t>
  </si>
  <si>
    <t>(13) - (14)</t>
  </si>
  <si>
    <t>(16)</t>
  </si>
  <si>
    <t>(17)</t>
  </si>
  <si>
    <t>(15) / (16)</t>
  </si>
  <si>
    <t>Rate RGS</t>
  </si>
  <si>
    <t>(18)</t>
  </si>
  <si>
    <t>See Note Below</t>
  </si>
  <si>
    <t>Compressor</t>
  </si>
  <si>
    <t>LG&amp;E System</t>
  </si>
  <si>
    <t>Transmission Costs</t>
  </si>
  <si>
    <t>Storage Costs</t>
  </si>
  <si>
    <t>Firm Rate Classes are RGS, CGS, IGS</t>
  </si>
  <si>
    <t xml:space="preserve">   Remove out of period items.</t>
  </si>
  <si>
    <t xml:space="preserve">   General Management audit regulatory asset</t>
  </si>
  <si>
    <t xml:space="preserve">   Swap termination regulatory asset</t>
  </si>
  <si>
    <t xml:space="preserve">   Gas Supply Uncollectible Accounts Expense</t>
  </si>
  <si>
    <t>392-396</t>
  </si>
  <si>
    <t>Common Utility Plant Amortization</t>
  </si>
  <si>
    <t xml:space="preserve">Operating </t>
  </si>
  <si>
    <t>Operating</t>
  </si>
  <si>
    <t>Margin</t>
  </si>
  <si>
    <t>ROR</t>
  </si>
  <si>
    <t>Summary of Adjusted Rates of Return by Class</t>
  </si>
  <si>
    <t>Summary of Rates of Return by Class w/Proposed Increase</t>
  </si>
  <si>
    <t>Industrial Service Rate IGS</t>
  </si>
  <si>
    <t>Residential Service Rate RGS</t>
  </si>
  <si>
    <t>Commercial Service Rate CGS</t>
  </si>
  <si>
    <t>Firm Transportation Service Rate FT</t>
  </si>
  <si>
    <t>Special Contracts Rate SP</t>
  </si>
  <si>
    <t xml:space="preserve">   Adjustment for amortization of investment tax credit</t>
  </si>
  <si>
    <t>with Equal increase across RGS, CGS, IGS, AAGS after FT rates</t>
  </si>
  <si>
    <t>Conroy Exhibit C10 Page 2</t>
  </si>
  <si>
    <t>Conroy Exhibit C10 Page 12</t>
  </si>
  <si>
    <t>Conroy Exhibit C10 Page 10</t>
  </si>
  <si>
    <t>Conroy Exhibit C10 Page 3</t>
  </si>
  <si>
    <t>Conroy Exhibit C10 Page 5</t>
  </si>
  <si>
    <t>Conroy Exhibit C10 Page 9</t>
  </si>
  <si>
    <t>Conroy Exhibit C10 Pages 6,7 &amp; 8</t>
  </si>
  <si>
    <t>Conroy Exhibit C10 Page 11</t>
  </si>
  <si>
    <t>Conroy Exhibit C10 Page 14</t>
  </si>
  <si>
    <t>Proposed Class ROR</t>
  </si>
  <si>
    <t>(4)+(8)+(9)+(10)+(11)+(12)+(13)</t>
  </si>
  <si>
    <t>Rate Base as Adjusted [(1) + (2)]</t>
  </si>
  <si>
    <t>Return [(3) x (4)]</t>
  </si>
  <si>
    <t>Net Income [(5) - (6)]</t>
  </si>
  <si>
    <t>Total Cost of Service [(4)+(8)+(9)+(10)+(11)+(12)+(13)]</t>
  </si>
  <si>
    <t>Net Cost of Service [(13) - (14)]</t>
  </si>
  <si>
    <t>Unit Costs [(15) / (16)]</t>
  </si>
  <si>
    <t>Cash Working Capital Adjustment</t>
  </si>
  <si>
    <t>Note:  Income Taxes = Income Taxes for the Test Year ($6,808,142) + Income Taxes calculated to yield the Proposed Rate of Return of 6.19% ($4,585,030).</t>
  </si>
  <si>
    <t>N/A</t>
  </si>
  <si>
    <t xml:space="preserve">    Adjustment to eliminate gas line tracker revenues</t>
  </si>
  <si>
    <t>High Pressure Distrib Mains</t>
  </si>
  <si>
    <t>Low/Med Pres. Distrib Mains</t>
  </si>
  <si>
    <t>Expense Adjustments (Non-Income Tax)</t>
  </si>
  <si>
    <t>Straight Fixed Variable Customer Charge</t>
  </si>
  <si>
    <t>For the 12 Months Ended June 30, 2016</t>
  </si>
  <si>
    <t>Incremental Uncollectable Accounts Expense</t>
  </si>
  <si>
    <t>Incremental Commission Fees</t>
  </si>
  <si>
    <t>Rate CGS</t>
  </si>
  <si>
    <t xml:space="preserve">    Adj to eliminate GSC recoveries Interdepartmental Sales</t>
  </si>
  <si>
    <t>Rate IGS</t>
  </si>
  <si>
    <t>Rate AAGS</t>
  </si>
  <si>
    <t>Increase in Miscellaneous Charges - Interdepartmental Sales</t>
  </si>
  <si>
    <t>807 - 813</t>
  </si>
</sst>
</file>

<file path=xl/styles.xml><?xml version="1.0" encoding="utf-8"?>
<styleSheet xmlns="http://schemas.openxmlformats.org/spreadsheetml/2006/main">
  <numFmts count="1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&quot;$&quot;* #,##0.0000_);_(&quot;$&quot;* \(#,##0.0000\);_(&quot;$&quot;* &quot;-&quot;??_);_(@_)"/>
    <numFmt numFmtId="172" formatCode="_(* #,##0.0000000_);_(* \(#,##0.0000000\);_(* &quot;-&quot;??_);_(@_)"/>
    <numFmt numFmtId="173" formatCode="_([$€-2]* #,##0.00_);_([$€-2]* \(#,##0.00\);_([$€-2]* &quot;-&quot;??_)"/>
    <numFmt numFmtId="174" formatCode="&quot;$&quot;#,##0\ ;\(&quot;$&quot;#,##0\)"/>
    <numFmt numFmtId="175" formatCode="0.0%"/>
  </numFmts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0"/>
      <color rgb="FF000000"/>
      <name val="Times New Roman"/>
      <family val="1"/>
    </font>
    <font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Protection="0"/>
    <xf numFmtId="0" fontId="8" fillId="0" borderId="0" applyProtection="0"/>
    <xf numFmtId="0" fontId="12" fillId="0" borderId="0" applyProtection="0"/>
    <xf numFmtId="0" fontId="13" fillId="0" borderId="0" applyProtection="0"/>
    <xf numFmtId="0" fontId="1" fillId="0" borderId="0" applyProtection="0"/>
    <xf numFmtId="0" fontId="4" fillId="0" borderId="0" applyProtection="0"/>
    <xf numFmtId="0" fontId="14" fillId="0" borderId="0" applyProtection="0"/>
    <xf numFmtId="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" applyNumberFormat="0" applyFont="0" applyFill="0" applyAlignment="0" applyProtection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4" fontId="0" fillId="0" borderId="0" xfId="1" applyNumberFormat="1" applyFont="1"/>
    <xf numFmtId="165" fontId="0" fillId="0" borderId="0" xfId="5" applyNumberFormat="1" applyFont="1"/>
    <xf numFmtId="164" fontId="0" fillId="0" borderId="0" xfId="0" applyNumberFormat="1"/>
    <xf numFmtId="10" fontId="0" fillId="0" borderId="0" xfId="0" applyNumberFormat="1"/>
    <xf numFmtId="170" fontId="0" fillId="0" borderId="0" xfId="1" applyNumberFormat="1" applyFont="1"/>
    <xf numFmtId="164" fontId="0" fillId="0" borderId="0" xfId="1" applyNumberFormat="1" applyFont="1" applyBorder="1"/>
    <xf numFmtId="164" fontId="0" fillId="0" borderId="2" xfId="1" applyNumberFormat="1" applyFont="1" applyBorder="1"/>
    <xf numFmtId="43" fontId="0" fillId="0" borderId="0" xfId="1" applyFont="1"/>
    <xf numFmtId="0" fontId="2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0" fillId="0" borderId="2" xfId="0" applyBorder="1"/>
    <xf numFmtId="164" fontId="17" fillId="0" borderId="0" xfId="1" applyNumberFormat="1" applyFont="1" applyFill="1"/>
    <xf numFmtId="164" fontId="17" fillId="0" borderId="0" xfId="1" applyNumberFormat="1" applyFont="1" applyFill="1" applyBorder="1"/>
    <xf numFmtId="164" fontId="17" fillId="0" borderId="0" xfId="1" applyNumberFormat="1" applyFont="1" applyFill="1" applyAlignment="1">
      <alignment horizontal="right"/>
    </xf>
    <xf numFmtId="43" fontId="17" fillId="0" borderId="0" xfId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0" fillId="0" borderId="3" xfId="0" applyFont="1" applyFill="1" applyBorder="1" applyAlignment="1">
      <alignment horizontal="right"/>
    </xf>
    <xf numFmtId="168" fontId="0" fillId="0" borderId="0" xfId="0" applyNumberFormat="1"/>
    <xf numFmtId="44" fontId="0" fillId="0" borderId="0" xfId="5" applyFont="1"/>
    <xf numFmtId="0" fontId="8" fillId="0" borderId="0" xfId="0" applyFont="1" applyFill="1"/>
    <xf numFmtId="164" fontId="27" fillId="0" borderId="0" xfId="1" applyNumberFormat="1" applyFont="1" applyFill="1"/>
    <xf numFmtId="164" fontId="8" fillId="0" borderId="0" xfId="1" applyNumberFormat="1" applyFont="1" applyFill="1"/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65" fontId="8" fillId="0" borderId="0" xfId="5" applyNumberFormat="1" applyFont="1" applyFill="1"/>
    <xf numFmtId="165" fontId="8" fillId="0" borderId="0" xfId="0" applyNumberFormat="1" applyFont="1" applyFill="1"/>
    <xf numFmtId="175" fontId="3" fillId="0" borderId="0" xfId="0" applyNumberFormat="1" applyFont="1" applyFill="1"/>
    <xf numFmtId="0" fontId="23" fillId="0" borderId="0" xfId="0" applyFont="1"/>
    <xf numFmtId="0" fontId="9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Alignment="1"/>
    <xf numFmtId="43" fontId="9" fillId="0" borderId="0" xfId="1" applyFont="1" applyAlignment="1">
      <alignment horizontal="right"/>
    </xf>
    <xf numFmtId="17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9" fillId="0" borderId="3" xfId="0" applyFont="1" applyBorder="1" applyAlignment="1"/>
    <xf numFmtId="0" fontId="9" fillId="0" borderId="3" xfId="0" applyFont="1" applyBorder="1" applyAlignment="1">
      <alignment horizontal="left" wrapText="1"/>
    </xf>
    <xf numFmtId="43" fontId="9" fillId="0" borderId="3" xfId="1" applyFont="1" applyBorder="1" applyAlignment="1">
      <alignment horizontal="right"/>
    </xf>
    <xf numFmtId="170" fontId="9" fillId="0" borderId="3" xfId="1" applyNumberFormat="1" applyFont="1" applyBorder="1" applyAlignment="1">
      <alignment horizontal="right"/>
    </xf>
    <xf numFmtId="10" fontId="0" fillId="0" borderId="0" xfId="24" applyNumberFormat="1" applyFont="1"/>
    <xf numFmtId="10" fontId="0" fillId="0" borderId="0" xfId="24" applyNumberFormat="1" applyFont="1" applyBorder="1"/>
    <xf numFmtId="10" fontId="0" fillId="0" borderId="2" xfId="24" applyNumberFormat="1" applyFont="1" applyBorder="1"/>
    <xf numFmtId="0" fontId="2" fillId="0" borderId="2" xfId="0" applyFont="1" applyFill="1" applyBorder="1"/>
    <xf numFmtId="0" fontId="10" fillId="0" borderId="0" xfId="21" applyFont="1" applyBorder="1" applyAlignment="1">
      <alignment horizontal="center"/>
    </xf>
    <xf numFmtId="0" fontId="8" fillId="0" borderId="0" xfId="21" applyFont="1" applyBorder="1"/>
    <xf numFmtId="0" fontId="8" fillId="0" borderId="0" xfId="21" applyFont="1"/>
    <xf numFmtId="165" fontId="8" fillId="0" borderId="0" xfId="21" applyNumberFormat="1" applyFont="1"/>
    <xf numFmtId="165" fontId="8" fillId="0" borderId="0" xfId="6" applyNumberFormat="1" applyFont="1"/>
    <xf numFmtId="164" fontId="8" fillId="0" borderId="0" xfId="21" applyNumberFormat="1" applyFont="1"/>
    <xf numFmtId="0" fontId="8" fillId="0" borderId="0" xfId="21" applyNumberFormat="1" applyFont="1"/>
    <xf numFmtId="0" fontId="10" fillId="0" borderId="0" xfId="21" applyFont="1" applyBorder="1"/>
    <xf numFmtId="44" fontId="8" fillId="0" borderId="0" xfId="6" applyNumberFormat="1" applyFont="1" applyBorder="1"/>
    <xf numFmtId="44" fontId="8" fillId="0" borderId="0" xfId="6" applyFont="1" applyBorder="1"/>
    <xf numFmtId="171" fontId="8" fillId="0" borderId="0" xfId="6" applyNumberFormat="1" applyFont="1" applyBorder="1"/>
    <xf numFmtId="171" fontId="8" fillId="0" borderId="0" xfId="5" applyNumberFormat="1" applyFont="1" applyBorder="1"/>
    <xf numFmtId="164" fontId="8" fillId="0" borderId="0" xfId="21" applyNumberFormat="1" applyFont="1" applyBorder="1"/>
    <xf numFmtId="0" fontId="17" fillId="0" borderId="0" xfId="21" applyFont="1"/>
    <xf numFmtId="0" fontId="18" fillId="0" borderId="4" xfId="21" applyFont="1" applyBorder="1" applyAlignment="1">
      <alignment horizontal="center"/>
    </xf>
    <xf numFmtId="0" fontId="18" fillId="0" borderId="0" xfId="21" applyFont="1" applyBorder="1" applyAlignment="1">
      <alignment horizontal="center"/>
    </xf>
    <xf numFmtId="0" fontId="18" fillId="0" borderId="5" xfId="21" applyFont="1" applyBorder="1" applyAlignment="1">
      <alignment horizontal="center"/>
    </xf>
    <xf numFmtId="0" fontId="17" fillId="0" borderId="0" xfId="21" applyFont="1" applyBorder="1"/>
    <xf numFmtId="0" fontId="17" fillId="0" borderId="5" xfId="21" applyFont="1" applyBorder="1"/>
    <xf numFmtId="0" fontId="17" fillId="0" borderId="6" xfId="21" applyFont="1" applyBorder="1"/>
    <xf numFmtId="0" fontId="17" fillId="0" borderId="7" xfId="21" applyFont="1" applyBorder="1"/>
    <xf numFmtId="0" fontId="17" fillId="0" borderId="8" xfId="21" applyFont="1" applyBorder="1"/>
    <xf numFmtId="0" fontId="17" fillId="0" borderId="9" xfId="21" applyFont="1" applyBorder="1"/>
    <xf numFmtId="0" fontId="17" fillId="0" borderId="10" xfId="21" applyFont="1" applyBorder="1"/>
    <xf numFmtId="0" fontId="18" fillId="0" borderId="9" xfId="21" applyFont="1" applyBorder="1" applyAlignment="1">
      <alignment horizontal="center"/>
    </xf>
    <xf numFmtId="0" fontId="18" fillId="0" borderId="10" xfId="21" applyFont="1" applyBorder="1"/>
    <xf numFmtId="0" fontId="17" fillId="0" borderId="4" xfId="21" applyFont="1" applyBorder="1"/>
    <xf numFmtId="0" fontId="17" fillId="0" borderId="11" xfId="21" applyFont="1" applyBorder="1"/>
    <xf numFmtId="0" fontId="18" fillId="0" borderId="11" xfId="21" applyFont="1" applyBorder="1" applyAlignment="1">
      <alignment horizontal="center"/>
    </xf>
    <xf numFmtId="0" fontId="18" fillId="0" borderId="7" xfId="21" applyFont="1" applyBorder="1"/>
    <xf numFmtId="0" fontId="18" fillId="0" borderId="12" xfId="21" applyFont="1" applyBorder="1" applyAlignment="1">
      <alignment horizontal="center"/>
    </xf>
    <xf numFmtId="0" fontId="18" fillId="0" borderId="6" xfId="21" applyFont="1" applyBorder="1" applyAlignment="1">
      <alignment horizontal="center"/>
    </xf>
    <xf numFmtId="0" fontId="18" fillId="0" borderId="3" xfId="21" applyFont="1" applyBorder="1" applyAlignment="1">
      <alignment horizontal="center"/>
    </xf>
    <xf numFmtId="0" fontId="18" fillId="0" borderId="7" xfId="21" applyFont="1" applyBorder="1" applyAlignment="1">
      <alignment horizontal="center"/>
    </xf>
    <xf numFmtId="0" fontId="17" fillId="0" borderId="8" xfId="21" applyFont="1" applyBorder="1" applyAlignment="1">
      <alignment horizontal="center"/>
    </xf>
    <xf numFmtId="0" fontId="17" fillId="0" borderId="13" xfId="21" applyFont="1" applyBorder="1"/>
    <xf numFmtId="0" fontId="17" fillId="0" borderId="4" xfId="21" quotePrefix="1" applyFont="1" applyBorder="1"/>
    <xf numFmtId="0" fontId="17" fillId="0" borderId="5" xfId="21" applyFont="1" applyFill="1" applyBorder="1"/>
    <xf numFmtId="0" fontId="17" fillId="0" borderId="4" xfId="21" applyFont="1" applyBorder="1" applyAlignment="1">
      <alignment horizontal="center"/>
    </xf>
    <xf numFmtId="165" fontId="17" fillId="0" borderId="4" xfId="6" applyNumberFormat="1" applyFont="1" applyBorder="1"/>
    <xf numFmtId="165" fontId="17" fillId="0" borderId="0" xfId="6" applyNumberFormat="1" applyFont="1" applyBorder="1"/>
    <xf numFmtId="165" fontId="17" fillId="0" borderId="5" xfId="21" applyNumberFormat="1" applyFont="1" applyBorder="1"/>
    <xf numFmtId="165" fontId="17" fillId="0" borderId="4" xfId="21" applyNumberFormat="1" applyFont="1" applyBorder="1"/>
    <xf numFmtId="165" fontId="17" fillId="0" borderId="11" xfId="6" applyNumberFormat="1" applyFont="1" applyBorder="1"/>
    <xf numFmtId="165" fontId="17" fillId="0" borderId="5" xfId="6" applyNumberFormat="1" applyFont="1" applyBorder="1"/>
    <xf numFmtId="165" fontId="17" fillId="0" borderId="11" xfId="21" applyNumberFormat="1" applyFont="1" applyBorder="1"/>
    <xf numFmtId="164" fontId="17" fillId="0" borderId="4" xfId="2" applyNumberFormat="1" applyFont="1" applyBorder="1"/>
    <xf numFmtId="164" fontId="17" fillId="0" borderId="0" xfId="2" applyNumberFormat="1" applyFont="1" applyBorder="1"/>
    <xf numFmtId="164" fontId="17" fillId="0" borderId="5" xfId="2" applyNumberFormat="1" applyFont="1" applyBorder="1"/>
    <xf numFmtId="164" fontId="17" fillId="0" borderId="11" xfId="2" applyNumberFormat="1" applyFont="1" applyBorder="1"/>
    <xf numFmtId="165" fontId="17" fillId="0" borderId="11" xfId="21" applyNumberFormat="1" applyFont="1" applyFill="1" applyBorder="1"/>
    <xf numFmtId="10" fontId="17" fillId="0" borderId="4" xfId="21" applyNumberFormat="1" applyFont="1" applyBorder="1"/>
    <xf numFmtId="10" fontId="17" fillId="0" borderId="0" xfId="21" applyNumberFormat="1" applyFont="1" applyBorder="1"/>
    <xf numFmtId="10" fontId="17" fillId="0" borderId="5" xfId="21" applyNumberFormat="1" applyFont="1" applyBorder="1"/>
    <xf numFmtId="10" fontId="17" fillId="0" borderId="11" xfId="21" applyNumberFormat="1" applyFont="1" applyBorder="1"/>
    <xf numFmtId="165" fontId="17" fillId="0" borderId="0" xfId="21" applyNumberFormat="1" applyFont="1" applyBorder="1"/>
    <xf numFmtId="0" fontId="17" fillId="0" borderId="4" xfId="21" quotePrefix="1" applyFont="1" applyBorder="1" applyAlignment="1">
      <alignment horizontal="center"/>
    </xf>
    <xf numFmtId="0" fontId="17" fillId="0" borderId="6" xfId="21" quotePrefix="1" applyFont="1" applyBorder="1"/>
    <xf numFmtId="0" fontId="17" fillId="0" borderId="7" xfId="21" applyFont="1" applyFill="1" applyBorder="1"/>
    <xf numFmtId="0" fontId="17" fillId="0" borderId="6" xfId="21" applyFont="1" applyBorder="1" applyAlignment="1">
      <alignment horizontal="center"/>
    </xf>
    <xf numFmtId="44" fontId="17" fillId="0" borderId="6" xfId="6" applyNumberFormat="1" applyFont="1" applyBorder="1" applyAlignment="1">
      <alignment horizontal="right"/>
    </xf>
    <xf numFmtId="44" fontId="17" fillId="0" borderId="3" xfId="6" applyNumberFormat="1" applyFont="1" applyBorder="1" applyAlignment="1">
      <alignment horizontal="right"/>
    </xf>
    <xf numFmtId="44" fontId="17" fillId="0" borderId="14" xfId="6" applyNumberFormat="1" applyFont="1" applyBorder="1" applyAlignment="1">
      <alignment horizontal="right"/>
    </xf>
    <xf numFmtId="171" fontId="17" fillId="0" borderId="15" xfId="6" applyNumberFormat="1" applyFont="1" applyBorder="1" applyAlignment="1">
      <alignment horizontal="right"/>
    </xf>
    <xf numFmtId="0" fontId="17" fillId="0" borderId="12" xfId="21" applyFont="1" applyBorder="1"/>
    <xf numFmtId="0" fontId="17" fillId="0" borderId="0" xfId="21" applyNumberFormat="1" applyFont="1"/>
    <xf numFmtId="0" fontId="18" fillId="0" borderId="0" xfId="21" applyFont="1" applyBorder="1"/>
    <xf numFmtId="0" fontId="8" fillId="0" borderId="0" xfId="0" applyFont="1" applyFill="1" applyAlignment="1">
      <alignment horizontal="right"/>
    </xf>
    <xf numFmtId="0" fontId="10" fillId="0" borderId="3" xfId="0" applyFont="1" applyFill="1" applyBorder="1"/>
    <xf numFmtId="0" fontId="20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/>
    </xf>
    <xf numFmtId="0" fontId="8" fillId="0" borderId="3" xfId="0" applyFont="1" applyFill="1" applyBorder="1"/>
    <xf numFmtId="0" fontId="8" fillId="0" borderId="0" xfId="0" applyFont="1" applyFill="1" applyAlignment="1"/>
    <xf numFmtId="0" fontId="8" fillId="0" borderId="0" xfId="23" applyFont="1" applyFill="1" applyAlignment="1">
      <alignment horizontal="center"/>
    </xf>
    <xf numFmtId="43" fontId="8" fillId="0" borderId="0" xfId="5" applyNumberFormat="1" applyFont="1" applyFill="1"/>
    <xf numFmtId="10" fontId="8" fillId="0" borderId="0" xfId="24" applyNumberFormat="1" applyFont="1" applyFill="1"/>
    <xf numFmtId="2" fontId="8" fillId="0" borderId="0" xfId="0" applyNumberFormat="1" applyFont="1" applyFill="1" applyAlignment="1">
      <alignment horizontal="left"/>
    </xf>
    <xf numFmtId="43" fontId="8" fillId="0" borderId="0" xfId="0" applyNumberFormat="1" applyFont="1" applyFill="1"/>
    <xf numFmtId="164" fontId="8" fillId="0" borderId="0" xfId="0" applyNumberFormat="1" applyFont="1" applyFill="1"/>
    <xf numFmtId="43" fontId="8" fillId="0" borderId="0" xfId="1" applyFont="1" applyFill="1" applyAlignment="1">
      <alignment horizontal="right"/>
    </xf>
    <xf numFmtId="43" fontId="8" fillId="0" borderId="0" xfId="1" applyFont="1" applyFill="1"/>
    <xf numFmtId="16" fontId="8" fillId="0" borderId="0" xfId="0" quotePrefix="1" applyNumberFormat="1" applyFont="1" applyFill="1" applyAlignment="1">
      <alignment horizontal="center"/>
    </xf>
    <xf numFmtId="166" fontId="8" fillId="0" borderId="0" xfId="0" applyNumberFormat="1" applyFont="1" applyFill="1"/>
    <xf numFmtId="166" fontId="8" fillId="0" borderId="0" xfId="0" applyNumberFormat="1" applyFont="1" applyFill="1" applyAlignment="1">
      <alignment horizontal="right"/>
    </xf>
    <xf numFmtId="170" fontId="8" fillId="0" borderId="0" xfId="1" applyNumberFormat="1" applyFont="1" applyFill="1"/>
    <xf numFmtId="169" fontId="8" fillId="0" borderId="0" xfId="1" applyNumberFormat="1" applyFont="1" applyFill="1"/>
    <xf numFmtId="10" fontId="8" fillId="0" borderId="0" xfId="0" applyNumberFormat="1" applyFont="1" applyFill="1" applyAlignment="1">
      <alignment horizontal="right"/>
    </xf>
    <xf numFmtId="8" fontId="8" fillId="0" borderId="0" xfId="0" applyNumberFormat="1" applyFont="1" applyFill="1"/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right" wrapText="1"/>
    </xf>
    <xf numFmtId="0" fontId="17" fillId="0" borderId="0" xfId="0" applyFont="1" applyFill="1"/>
    <xf numFmtId="0" fontId="18" fillId="0" borderId="3" xfId="0" applyFont="1" applyFill="1" applyBorder="1"/>
    <xf numFmtId="0" fontId="18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 wrapText="1"/>
    </xf>
    <xf numFmtId="0" fontId="19" fillId="0" borderId="0" xfId="0" applyFont="1" applyFill="1"/>
    <xf numFmtId="0" fontId="17" fillId="0" borderId="0" xfId="0" quotePrefix="1" applyFont="1" applyFill="1"/>
    <xf numFmtId="165" fontId="17" fillId="0" borderId="0" xfId="5" applyNumberFormat="1" applyFont="1" applyFill="1"/>
    <xf numFmtId="165" fontId="17" fillId="0" borderId="0" xfId="0" applyNumberFormat="1" applyFont="1" applyFill="1"/>
    <xf numFmtId="43" fontId="17" fillId="0" borderId="0" xfId="0" applyNumberFormat="1" applyFont="1" applyFill="1"/>
    <xf numFmtId="0" fontId="17" fillId="0" borderId="0" xfId="0" applyFont="1" applyFill="1" applyAlignment="1">
      <alignment horizontal="right"/>
    </xf>
    <xf numFmtId="10" fontId="17" fillId="0" borderId="0" xfId="24" applyNumberFormat="1" applyFont="1" applyFill="1"/>
    <xf numFmtId="0" fontId="17" fillId="0" borderId="0" xfId="0" quotePrefix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5" fillId="0" borderId="0" xfId="0" applyFont="1" applyFill="1"/>
    <xf numFmtId="165" fontId="25" fillId="0" borderId="0" xfId="0" applyNumberFormat="1" applyFont="1" applyFill="1"/>
    <xf numFmtId="0" fontId="18" fillId="0" borderId="15" xfId="0" applyFont="1" applyFill="1" applyBorder="1"/>
    <xf numFmtId="0" fontId="18" fillId="0" borderId="16" xfId="0" applyFont="1" applyFill="1" applyBorder="1"/>
    <xf numFmtId="10" fontId="18" fillId="0" borderId="14" xfId="24" applyNumberFormat="1" applyFont="1" applyFill="1" applyBorder="1"/>
    <xf numFmtId="0" fontId="18" fillId="0" borderId="0" xfId="0" applyFont="1" applyFill="1" applyBorder="1"/>
    <xf numFmtId="10" fontId="18" fillId="0" borderId="0" xfId="24" applyNumberFormat="1" applyFont="1" applyFill="1" applyBorder="1"/>
    <xf numFmtId="0" fontId="17" fillId="0" borderId="0" xfId="0" applyFont="1" applyFill="1" applyBorder="1"/>
    <xf numFmtId="168" fontId="17" fillId="0" borderId="0" xfId="1" applyNumberFormat="1" applyFont="1" applyFill="1"/>
    <xf numFmtId="10" fontId="17" fillId="0" borderId="0" xfId="24" applyNumberFormat="1" applyFont="1" applyFill="1" applyBorder="1"/>
    <xf numFmtId="164" fontId="17" fillId="0" borderId="0" xfId="0" applyNumberFormat="1" applyFont="1" applyFill="1"/>
    <xf numFmtId="164" fontId="17" fillId="0" borderId="0" xfId="1" applyNumberFormat="1" applyFont="1" applyFill="1" applyAlignment="1">
      <alignment horizontal="center"/>
    </xf>
    <xf numFmtId="170" fontId="17" fillId="0" borderId="0" xfId="1" applyNumberFormat="1" applyFont="1" applyFill="1"/>
    <xf numFmtId="164" fontId="17" fillId="0" borderId="0" xfId="2" applyNumberFormat="1" applyFont="1" applyFill="1"/>
    <xf numFmtId="43" fontId="17" fillId="0" borderId="0" xfId="1" applyNumberFormat="1" applyFont="1" applyFill="1"/>
    <xf numFmtId="172" fontId="17" fillId="0" borderId="0" xfId="1" applyNumberFormat="1" applyFont="1" applyFill="1"/>
    <xf numFmtId="0" fontId="17" fillId="0" borderId="0" xfId="1" applyNumberFormat="1" applyFont="1" applyFill="1" applyAlignment="1">
      <alignment horizontal="left"/>
    </xf>
    <xf numFmtId="165" fontId="17" fillId="0" borderId="0" xfId="0" applyNumberFormat="1" applyFont="1" applyFill="1" applyBorder="1"/>
    <xf numFmtId="10" fontId="17" fillId="0" borderId="0" xfId="0" applyNumberFormat="1" applyFont="1" applyFill="1" applyBorder="1"/>
    <xf numFmtId="165" fontId="17" fillId="0" borderId="0" xfId="5" applyNumberFormat="1" applyFont="1" applyFill="1" applyBorder="1"/>
    <xf numFmtId="167" fontId="17" fillId="0" borderId="0" xfId="1" applyNumberFormat="1" applyFont="1" applyFill="1" applyBorder="1"/>
    <xf numFmtId="165" fontId="17" fillId="0" borderId="0" xfId="24" applyNumberFormat="1" applyFont="1" applyFill="1"/>
    <xf numFmtId="164" fontId="17" fillId="0" borderId="0" xfId="0" applyNumberFormat="1" applyFont="1" applyFill="1" applyBorder="1"/>
    <xf numFmtId="169" fontId="17" fillId="0" borderId="0" xfId="1" applyNumberFormat="1" applyFont="1" applyFill="1" applyBorder="1"/>
    <xf numFmtId="169" fontId="17" fillId="0" borderId="0" xfId="0" applyNumberFormat="1" applyFont="1" applyFill="1"/>
    <xf numFmtId="169" fontId="17" fillId="0" borderId="0" xfId="0" applyNumberFormat="1" applyFont="1" applyFill="1" applyBorder="1"/>
    <xf numFmtId="165" fontId="17" fillId="0" borderId="0" xfId="1" applyNumberFormat="1" applyFont="1" applyFill="1"/>
    <xf numFmtId="0" fontId="17" fillId="2" borderId="0" xfId="0" applyFont="1" applyFill="1"/>
    <xf numFmtId="1" fontId="8" fillId="0" borderId="0" xfId="0" applyNumberFormat="1" applyFont="1" applyFill="1" applyAlignment="1">
      <alignment horizontal="left"/>
    </xf>
    <xf numFmtId="1" fontId="8" fillId="0" borderId="0" xfId="0" quotePrefix="1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0" fontId="20" fillId="0" borderId="0" xfId="0" quotePrefix="1" applyFont="1" applyFill="1" applyAlignment="1">
      <alignment horizontal="left"/>
    </xf>
    <xf numFmtId="0" fontId="8" fillId="0" borderId="0" xfId="0" quotePrefix="1" applyFont="1" applyFill="1"/>
    <xf numFmtId="165" fontId="17" fillId="0" borderId="0" xfId="21" applyNumberFormat="1" applyFont="1"/>
    <xf numFmtId="0" fontId="10" fillId="0" borderId="0" xfId="21" applyFont="1" applyAlignment="1">
      <alignment horizontal="right"/>
    </xf>
    <xf numFmtId="0" fontId="18" fillId="0" borderId="0" xfId="21" applyFont="1" applyBorder="1" applyAlignment="1">
      <alignment horizontal="center"/>
    </xf>
    <xf numFmtId="44" fontId="10" fillId="0" borderId="0" xfId="5" applyFont="1"/>
    <xf numFmtId="44" fontId="8" fillId="0" borderId="0" xfId="5" applyNumberFormat="1" applyFont="1" applyBorder="1"/>
    <xf numFmtId="0" fontId="3" fillId="0" borderId="0" xfId="0" applyFont="1" applyFill="1"/>
    <xf numFmtId="0" fontId="0" fillId="0" borderId="0" xfId="0" applyFill="1"/>
    <xf numFmtId="0" fontId="18" fillId="0" borderId="0" xfId="21" applyFont="1" applyBorder="1" applyAlignment="1">
      <alignment horizontal="center"/>
    </xf>
    <xf numFmtId="0" fontId="18" fillId="0" borderId="15" xfId="21" applyFont="1" applyBorder="1" applyAlignment="1">
      <alignment horizontal="center"/>
    </xf>
    <xf numFmtId="0" fontId="18" fillId="0" borderId="16" xfId="21" applyFont="1" applyBorder="1" applyAlignment="1">
      <alignment horizontal="center"/>
    </xf>
    <xf numFmtId="0" fontId="18" fillId="0" borderId="17" xfId="21" applyFont="1" applyBorder="1" applyAlignment="1">
      <alignment horizontal="center"/>
    </xf>
  </cellXfs>
  <cellStyles count="33">
    <cellStyle name="Comma" xfId="1" builtinId="3"/>
    <cellStyle name="Comma 2" xfId="2"/>
    <cellStyle name="Comma 86" xfId="3"/>
    <cellStyle name="Comma0" xfId="4"/>
    <cellStyle name="Currency" xfId="5" builtinId="4"/>
    <cellStyle name="Currency 2" xfId="6"/>
    <cellStyle name="Currency 5" xfId="7"/>
    <cellStyle name="Currency0" xfId="8"/>
    <cellStyle name="Date" xfId="9"/>
    <cellStyle name="Euro" xfId="10"/>
    <cellStyle name="F2" xfId="11"/>
    <cellStyle name="F3" xfId="12"/>
    <cellStyle name="F4" xfId="13"/>
    <cellStyle name="F5" xfId="14"/>
    <cellStyle name="F6" xfId="15"/>
    <cellStyle name="F7" xfId="16"/>
    <cellStyle name="F8" xfId="17"/>
    <cellStyle name="Fixed" xfId="18"/>
    <cellStyle name="Heading 1" xfId="19" builtinId="16" customBuiltin="1"/>
    <cellStyle name="Heading 2" xfId="20" builtinId="17" customBuiltin="1"/>
    <cellStyle name="Normal" xfId="0" builtinId="0"/>
    <cellStyle name="Normal 14" xfId="21"/>
    <cellStyle name="Normal 3" xfId="22"/>
    <cellStyle name="Normal_LCEC 1998 Cost of Service Study" xfId="23"/>
    <cellStyle name="Percent" xfId="24" builtinId="5"/>
    <cellStyle name="Percent 2" xfId="25"/>
    <cellStyle name="STYL5 - Style5" xfId="26"/>
    <cellStyle name="STYL6 - Style6" xfId="27"/>
    <cellStyle name="STYLE1 - Style1" xfId="28"/>
    <cellStyle name="STYLE2 - Style2" xfId="29"/>
    <cellStyle name="STYLE3 - Style3" xfId="30"/>
    <cellStyle name="STYLE4 - Style4" xfId="31"/>
    <cellStyle name="Total" xfId="32" builtinId="25" customBuiltin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VID/PSC/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1999/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6Plan/Utility%20Plan/Supporting%20Schedules/Gross%20Margin/Gross%20Margin%202006-2008%20Pl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ellarExhibi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e004977/Temporary%20Internet%20Files/OLK2D/Rate%20Case%20LGE%20La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5Plan/Utility%20Plan/Margin/100504%20Version%20of%20GM%202005%20Plan/KU-Whsle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5Plan/Utility%20Plan/Margin/100504%20Version%20of%20GM%202005%20Plan/KU-Whsle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011661/Local%20Settings/Temporary%20Internet%20Files/OLK29/Rate%20Case%20KU%2012mosJune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644"/>
  <sheetViews>
    <sheetView view="pageBreakPreview" zoomScale="80" zoomScaleNormal="65" zoomScaleSheetLayoutView="80" workbookViewId="0">
      <pane xSplit="6" ySplit="2" topLeftCell="G480" activePane="bottomRight" state="frozen"/>
      <selection pane="topRight" activeCell="G1" sqref="G1"/>
      <selection pane="bottomLeft" activeCell="A3" sqref="A3"/>
      <selection pane="bottomRight" activeCell="G520" sqref="G520"/>
    </sheetView>
  </sheetViews>
  <sheetFormatPr defaultColWidth="9.140625" defaultRowHeight="12.75"/>
  <cols>
    <col min="1" max="1" width="10.5703125" style="25" customWidth="1"/>
    <col min="2" max="2" width="42.5703125" style="25" bestFit="1" customWidth="1"/>
    <col min="3" max="4" width="10.42578125" style="117" customWidth="1"/>
    <col min="5" max="5" width="3.85546875" style="117" customWidth="1"/>
    <col min="6" max="6" width="19.42578125" style="25" customWidth="1"/>
    <col min="7" max="14" width="19.42578125" style="117" customWidth="1"/>
    <col min="15" max="22" width="19.42578125" style="25" customWidth="1"/>
    <col min="23" max="24" width="14.28515625" style="25" customWidth="1"/>
    <col min="25" max="25" width="11.28515625" style="25" bestFit="1" customWidth="1"/>
    <col min="26" max="16384" width="9.140625" style="25"/>
  </cols>
  <sheetData>
    <row r="1" spans="1:32" ht="49.5" customHeight="1">
      <c r="F1" s="20" t="s">
        <v>14</v>
      </c>
      <c r="G1" s="20" t="s">
        <v>642</v>
      </c>
      <c r="H1" s="20" t="s">
        <v>642</v>
      </c>
      <c r="I1" s="20" t="s">
        <v>3</v>
      </c>
      <c r="J1" s="20" t="s">
        <v>3</v>
      </c>
      <c r="K1" s="20" t="s">
        <v>4</v>
      </c>
      <c r="L1" s="20" t="s">
        <v>4</v>
      </c>
      <c r="M1" s="21" t="s">
        <v>5</v>
      </c>
      <c r="N1" s="21" t="s">
        <v>7</v>
      </c>
      <c r="O1" s="21" t="s">
        <v>685</v>
      </c>
      <c r="P1" s="21" t="s">
        <v>685</v>
      </c>
      <c r="Q1" s="21" t="s">
        <v>686</v>
      </c>
      <c r="R1" s="21" t="s">
        <v>687</v>
      </c>
      <c r="S1" s="20" t="s">
        <v>10</v>
      </c>
      <c r="T1" s="20" t="s">
        <v>11</v>
      </c>
      <c r="U1" s="21" t="s">
        <v>12</v>
      </c>
      <c r="V1" s="21" t="s">
        <v>652</v>
      </c>
      <c r="W1" s="20" t="s">
        <v>14</v>
      </c>
      <c r="X1" s="20"/>
    </row>
    <row r="2" spans="1:32" ht="13.5" thickBot="1">
      <c r="A2" s="118" t="s">
        <v>19</v>
      </c>
      <c r="B2" s="123"/>
      <c r="C2" s="22" t="s">
        <v>17</v>
      </c>
      <c r="D2" s="22" t="s">
        <v>18</v>
      </c>
      <c r="E2" s="22"/>
      <c r="F2" s="22" t="s">
        <v>15</v>
      </c>
      <c r="G2" s="22" t="s">
        <v>1</v>
      </c>
      <c r="H2" s="22" t="s">
        <v>2</v>
      </c>
      <c r="I2" s="22" t="s">
        <v>1</v>
      </c>
      <c r="J2" s="22" t="s">
        <v>2</v>
      </c>
      <c r="K2" s="22" t="s">
        <v>1</v>
      </c>
      <c r="L2" s="22" t="s">
        <v>2</v>
      </c>
      <c r="M2" s="22" t="s">
        <v>2</v>
      </c>
      <c r="N2" s="22" t="s">
        <v>1</v>
      </c>
      <c r="O2" s="22" t="s">
        <v>1</v>
      </c>
      <c r="P2" s="22" t="s">
        <v>9</v>
      </c>
      <c r="Q2" s="22" t="s">
        <v>1</v>
      </c>
      <c r="R2" s="22" t="s">
        <v>9</v>
      </c>
      <c r="S2" s="22" t="s">
        <v>9</v>
      </c>
      <c r="T2" s="22" t="s">
        <v>9</v>
      </c>
      <c r="U2" s="22" t="s">
        <v>9</v>
      </c>
      <c r="V2" s="22" t="s">
        <v>9</v>
      </c>
      <c r="W2" s="22" t="s">
        <v>20</v>
      </c>
      <c r="X2" s="22" t="s">
        <v>21</v>
      </c>
    </row>
    <row r="4" spans="1:32">
      <c r="A4" s="119" t="s">
        <v>668</v>
      </c>
    </row>
    <row r="5" spans="1:32">
      <c r="A5" s="119"/>
    </row>
    <row r="6" spans="1:32">
      <c r="A6" s="13" t="s">
        <v>397</v>
      </c>
    </row>
    <row r="7" spans="1:32">
      <c r="A7" s="28" t="s">
        <v>22</v>
      </c>
      <c r="B7" s="124" t="s">
        <v>397</v>
      </c>
      <c r="C7" s="117" t="s">
        <v>24</v>
      </c>
      <c r="D7" s="117" t="s">
        <v>25</v>
      </c>
      <c r="F7" s="32">
        <v>141203400.56999999</v>
      </c>
      <c r="G7" s="27">
        <f>(VLOOKUP($D7,$C$6:$AJ$992,5,)/VLOOKUP($D7,$C$6:$AJ$992,4,))*$F7</f>
        <v>0</v>
      </c>
      <c r="H7" s="27">
        <f>(VLOOKUP($D7,$C$6:$AJ$992,6,)/VLOOKUP($D7,$C$6:$AJ$992,4,))*$F7</f>
        <v>0</v>
      </c>
      <c r="I7" s="27">
        <f>(VLOOKUP($D7,$C$6:$AJ$992,7,)/VLOOKUP($D7,$C$6:$AJ$992,4,))*$F7</f>
        <v>141203400.56999999</v>
      </c>
      <c r="J7" s="27">
        <f>(VLOOKUP($D7,$C$6:$AJ$992,8,)/VLOOKUP($D7,$C$6:$AJ$992,4,))*$F7</f>
        <v>0</v>
      </c>
      <c r="K7" s="27">
        <f>(VLOOKUP($D7,$C$6:$AJ$992,9,)/VLOOKUP($D7,$C$6:$AJ$992,4,))*$F7</f>
        <v>0</v>
      </c>
      <c r="L7" s="27">
        <f>(VLOOKUP($D7,$C$6:$AJ$992,10,)/VLOOKUP($D7,$C$6:$AJ$992,4,))*$F7</f>
        <v>0</v>
      </c>
      <c r="M7" s="27">
        <f>(VLOOKUP($D7,$C$6:$AJ$992,11,)/VLOOKUP($D7,$C$6:$AJ$992,4,))*$F7</f>
        <v>0</v>
      </c>
      <c r="N7" s="27">
        <f>(VLOOKUP($D7,$C$6:$AJ$992,12,)/VLOOKUP($D7,$C$6:$AJ$992,4,))*$F7</f>
        <v>0</v>
      </c>
      <c r="O7" s="27">
        <f>(VLOOKUP($D7,$C$6:$AJ$992,13,)/VLOOKUP($D7,$C$6:$AJ$992,4,))*$F7</f>
        <v>0</v>
      </c>
      <c r="P7" s="27">
        <f>(VLOOKUP($D7,$C$6:$AJ$992,14,)/VLOOKUP($D7,$C$6:$AJ$992,4,))*$F7</f>
        <v>0</v>
      </c>
      <c r="Q7" s="27">
        <f>(VLOOKUP($D7,$C$6:$AJ$992,15,)/VLOOKUP($D7,$C$6:$AJ$992,4,))*$F7</f>
        <v>0</v>
      </c>
      <c r="R7" s="27">
        <f>(VLOOKUP($D7,$C$6:$AJ$992,16,)/VLOOKUP($D7,$C$6:$AJ$992,4,))*$F7</f>
        <v>0</v>
      </c>
      <c r="S7" s="27">
        <f>(VLOOKUP($D7,$C$6:$AJ$992,17,)/VLOOKUP($D7,$C$6:$AJ$992,4,))*$F7</f>
        <v>0</v>
      </c>
      <c r="T7" s="27">
        <f>(VLOOKUP($D7,$C$6:$AJ$992,18,)/VLOOKUP($D7,$C$6:$AJ$992,4,))*$F7</f>
        <v>0</v>
      </c>
      <c r="U7" s="27">
        <f>(VLOOKUP($D7,$C$6:$AJ$992,19,)/VLOOKUP($D7,$C$6:$AJ$992,4,))*$F7</f>
        <v>0</v>
      </c>
      <c r="V7" s="27">
        <f>(VLOOKUP($D7,$C$6:$AJ$992,20,)/VLOOKUP($D7,$C$6:$AJ$992,4,))*$F7</f>
        <v>0</v>
      </c>
      <c r="W7" s="27">
        <f>SUM(G7:V7)</f>
        <v>141203400.56999999</v>
      </c>
      <c r="X7" s="125" t="str">
        <f>IF(ABS(W7-F7)&lt;1,"ok","err")</f>
        <v>ok</v>
      </c>
      <c r="Y7" s="126"/>
      <c r="Z7" s="126"/>
      <c r="AA7" s="126"/>
      <c r="AB7" s="126"/>
      <c r="AC7" s="126"/>
      <c r="AD7" s="126"/>
      <c r="AE7" s="27"/>
      <c r="AF7" s="125"/>
    </row>
    <row r="8" spans="1:32">
      <c r="A8" s="28">
        <v>358</v>
      </c>
      <c r="B8" s="124" t="s">
        <v>716</v>
      </c>
      <c r="C8" s="117" t="s">
        <v>24</v>
      </c>
      <c r="D8" s="117" t="s">
        <v>25</v>
      </c>
      <c r="F8" s="32">
        <v>0</v>
      </c>
      <c r="G8" s="27">
        <f>(VLOOKUP($D8,$C$6:$AJ$992,5,)/VLOOKUP($D8,$C$6:$AJ$992,4,))*$F8</f>
        <v>0</v>
      </c>
      <c r="H8" s="27">
        <f>(VLOOKUP($D8,$C$6:$AJ$992,6,)/VLOOKUP($D8,$C$6:$AJ$992,4,))*$F8</f>
        <v>0</v>
      </c>
      <c r="I8" s="27">
        <f>(VLOOKUP($D8,$C$6:$AJ$992,7,)/VLOOKUP($D8,$C$6:$AJ$992,4,))*$F8</f>
        <v>0</v>
      </c>
      <c r="J8" s="27">
        <f>(VLOOKUP($D8,$C$6:$AJ$992,8,)/VLOOKUP($D8,$C$6:$AJ$992,4,))*$F8</f>
        <v>0</v>
      </c>
      <c r="K8" s="27">
        <f>(VLOOKUP($D8,$C$6:$AJ$992,9,)/VLOOKUP($D8,$C$6:$AJ$992,4,))*$F8</f>
        <v>0</v>
      </c>
      <c r="L8" s="27">
        <f>(VLOOKUP($D8,$C$6:$AJ$992,10,)/VLOOKUP($D8,$C$6:$AJ$992,4,))*$F8</f>
        <v>0</v>
      </c>
      <c r="M8" s="27">
        <f>(VLOOKUP($D8,$C$6:$AJ$992,11,)/VLOOKUP($D8,$C$6:$AJ$992,4,))*$F8</f>
        <v>0</v>
      </c>
      <c r="N8" s="27">
        <f>(VLOOKUP($D8,$C$6:$AJ$992,12,)/VLOOKUP($D8,$C$6:$AJ$992,4,))*$F8</f>
        <v>0</v>
      </c>
      <c r="O8" s="27">
        <f>(VLOOKUP($D8,$C$6:$AJ$992,13,)/VLOOKUP($D8,$C$6:$AJ$992,4,))*$F8</f>
        <v>0</v>
      </c>
      <c r="P8" s="27">
        <f>(VLOOKUP($D8,$C$6:$AJ$992,14,)/VLOOKUP($D8,$C$6:$AJ$992,4,))*$F8</f>
        <v>0</v>
      </c>
      <c r="Q8" s="27">
        <f>(VLOOKUP($D8,$C$6:$AJ$992,15,)/VLOOKUP($D8,$C$6:$AJ$992,4,))*$F8</f>
        <v>0</v>
      </c>
      <c r="R8" s="27">
        <f>(VLOOKUP($D8,$C$6:$AJ$992,16,)/VLOOKUP($D8,$C$6:$AJ$992,4,))*$F8</f>
        <v>0</v>
      </c>
      <c r="S8" s="27">
        <f>(VLOOKUP($D8,$C$6:$AJ$992,17,)/VLOOKUP($D8,$C$6:$AJ$992,4,))*$F8</f>
        <v>0</v>
      </c>
      <c r="T8" s="27">
        <f>(VLOOKUP($D8,$C$6:$AJ$992,18,)/VLOOKUP($D8,$C$6:$AJ$992,4,))*$F8</f>
        <v>0</v>
      </c>
      <c r="U8" s="27">
        <f>(VLOOKUP($D8,$C$6:$AJ$992,19,)/VLOOKUP($D8,$C$6:$AJ$992,4,))*$F8</f>
        <v>0</v>
      </c>
      <c r="V8" s="27">
        <f>(VLOOKUP($D8,$C$6:$AJ$992,20,)/VLOOKUP($D8,$C$6:$AJ$992,4,))*$F8</f>
        <v>0</v>
      </c>
      <c r="W8" s="27">
        <f>SUM(G8:V8)</f>
        <v>0</v>
      </c>
      <c r="X8" s="125" t="str">
        <f>IF(ABS(W8-F8)&lt;1,"ok","err")</f>
        <v>ok</v>
      </c>
      <c r="Y8" s="126"/>
      <c r="Z8" s="126"/>
      <c r="AA8" s="126"/>
      <c r="AB8" s="126"/>
      <c r="AC8" s="126"/>
      <c r="AD8" s="126"/>
      <c r="AE8" s="27"/>
      <c r="AF8" s="125"/>
    </row>
    <row r="9" spans="1:32">
      <c r="A9" s="28"/>
      <c r="B9" s="124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125"/>
    </row>
    <row r="10" spans="1:32">
      <c r="A10" s="28" t="s">
        <v>183</v>
      </c>
      <c r="B10" s="124"/>
      <c r="C10" s="117" t="s">
        <v>200</v>
      </c>
      <c r="F10" s="32">
        <f t="shared" ref="F10:V10" si="0">SUM(F7:F9)</f>
        <v>141203400.56999999</v>
      </c>
      <c r="G10" s="32">
        <f t="shared" si="0"/>
        <v>0</v>
      </c>
      <c r="H10" s="32">
        <f t="shared" si="0"/>
        <v>0</v>
      </c>
      <c r="I10" s="32">
        <f t="shared" si="0"/>
        <v>141203400.56999999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>SUM(Q7:Q9)</f>
        <v>0</v>
      </c>
      <c r="R10" s="32">
        <f>SUM(R7:R9)</f>
        <v>0</v>
      </c>
      <c r="S10" s="32">
        <f t="shared" si="0"/>
        <v>0</v>
      </c>
      <c r="T10" s="32">
        <f t="shared" si="0"/>
        <v>0</v>
      </c>
      <c r="U10" s="32">
        <f t="shared" si="0"/>
        <v>0</v>
      </c>
      <c r="V10" s="32">
        <f t="shared" si="0"/>
        <v>0</v>
      </c>
      <c r="W10" s="27">
        <f>SUM(G10:V10)</f>
        <v>141203400.56999999</v>
      </c>
      <c r="X10" s="125" t="str">
        <f>IF(ABS(W10-F10)&lt;1,"ok","err")</f>
        <v>ok</v>
      </c>
    </row>
    <row r="11" spans="1:32">
      <c r="A11" s="117"/>
    </row>
    <row r="12" spans="1:32">
      <c r="A12" s="13" t="s">
        <v>391</v>
      </c>
    </row>
    <row r="13" spans="1:32">
      <c r="A13" s="28" t="s">
        <v>396</v>
      </c>
      <c r="B13" s="25" t="s">
        <v>4</v>
      </c>
      <c r="C13" s="117" t="s">
        <v>182</v>
      </c>
      <c r="D13" s="117" t="s">
        <v>28</v>
      </c>
      <c r="F13" s="32">
        <v>49813130.409999996</v>
      </c>
      <c r="G13" s="27">
        <f>(VLOOKUP($D13,$C$6:$AJ$992,5,)/VLOOKUP($D13,$C$6:$AJ$992,4,))*$F13</f>
        <v>0</v>
      </c>
      <c r="H13" s="27">
        <f>(VLOOKUP($D13,$C$6:$AJ$992,6,)/VLOOKUP($D13,$C$6:$AJ$992,4,))*$F13</f>
        <v>0</v>
      </c>
      <c r="I13" s="27">
        <f>(VLOOKUP($D13,$C$6:$AJ$992,7,)/VLOOKUP($D13,$C$6:$AJ$992,4,))*$F13</f>
        <v>0</v>
      </c>
      <c r="J13" s="27">
        <f>(VLOOKUP($D13,$C$6:$AJ$992,8,)/VLOOKUP($D13,$C$6:$AJ$992,4,))*$F13</f>
        <v>0</v>
      </c>
      <c r="K13" s="27">
        <f>(VLOOKUP($D13,$C$6:$AJ$992,9,)/VLOOKUP($D13,$C$6:$AJ$992,4,))*$F13</f>
        <v>49813130.409999996</v>
      </c>
      <c r="L13" s="27">
        <f>(VLOOKUP($D13,$C$6:$AJ$992,10,)/VLOOKUP($D13,$C$6:$AJ$992,4,))*$F13</f>
        <v>0</v>
      </c>
      <c r="M13" s="27">
        <f>(VLOOKUP($D13,$C$6:$AJ$992,11,)/VLOOKUP($D13,$C$6:$AJ$992,4,))*$F13</f>
        <v>0</v>
      </c>
      <c r="N13" s="27">
        <f>(VLOOKUP($D13,$C$6:$AJ$992,12,)/VLOOKUP($D13,$C$6:$AJ$992,4,))*$F13</f>
        <v>0</v>
      </c>
      <c r="O13" s="27">
        <f>(VLOOKUP($D13,$C$6:$AJ$992,13,)/VLOOKUP($D13,$C$6:$AJ$992,4,))*$F13</f>
        <v>0</v>
      </c>
      <c r="P13" s="27">
        <f>(VLOOKUP($D13,$C$6:$AJ$992,14,)/VLOOKUP($D13,$C$6:$AJ$992,4,))*$F13</f>
        <v>0</v>
      </c>
      <c r="Q13" s="27">
        <f>(VLOOKUP($D13,$C$6:$AJ$992,15,)/VLOOKUP($D13,$C$6:$AJ$992,4,))*$F13</f>
        <v>0</v>
      </c>
      <c r="R13" s="27">
        <f>(VLOOKUP($D13,$C$6:$AJ$992,16,)/VLOOKUP($D13,$C$6:$AJ$992,4,))*$F13</f>
        <v>0</v>
      </c>
      <c r="S13" s="27">
        <f>(VLOOKUP($D13,$C$6:$AJ$992,17,)/VLOOKUP($D13,$C$6:$AJ$992,4,))*$F13</f>
        <v>0</v>
      </c>
      <c r="T13" s="27">
        <f>(VLOOKUP($D13,$C$6:$AJ$992,18,)/VLOOKUP($D13,$C$6:$AJ$992,4,))*$F13</f>
        <v>0</v>
      </c>
      <c r="U13" s="27">
        <f>(VLOOKUP($D13,$C$6:$AJ$992,19,)/VLOOKUP($D13,$C$6:$AJ$992,4,))*$F13</f>
        <v>0</v>
      </c>
      <c r="V13" s="27">
        <f>(VLOOKUP($D13,$C$6:$AJ$992,20,)/VLOOKUP($D13,$C$6:$AJ$992,4,))*$F13</f>
        <v>0</v>
      </c>
      <c r="W13" s="27">
        <f>SUM(G13:V13)</f>
        <v>49813130.409999996</v>
      </c>
      <c r="X13" s="125" t="str">
        <f>IF(ABS(W13-F13)&lt;1,"ok","err")</f>
        <v>ok</v>
      </c>
    </row>
    <row r="14" spans="1:32">
      <c r="A14" s="117"/>
    </row>
    <row r="15" spans="1:32">
      <c r="A15" s="13" t="s">
        <v>65</v>
      </c>
    </row>
    <row r="16" spans="1:32">
      <c r="A16" s="189">
        <v>374</v>
      </c>
      <c r="B16" s="25" t="s">
        <v>26</v>
      </c>
      <c r="C16" s="117" t="s">
        <v>27</v>
      </c>
      <c r="D16" s="117" t="s">
        <v>39</v>
      </c>
      <c r="F16" s="32">
        <v>133742.81</v>
      </c>
      <c r="G16" s="27">
        <f t="shared" ref="G16:G29" si="1">(VLOOKUP($D16,$C$6:$AJ$992,5,)/VLOOKUP($D16,$C$6:$AJ$992,4,))*$F16</f>
        <v>0</v>
      </c>
      <c r="H16" s="27">
        <f t="shared" ref="H16:H29" si="2">(VLOOKUP($D16,$C$6:$AJ$992,6,)/VLOOKUP($D16,$C$6:$AJ$992,4,))*$F16</f>
        <v>0</v>
      </c>
      <c r="I16" s="27">
        <f t="shared" ref="I16:I29" si="3">(VLOOKUP($D16,$C$6:$AJ$992,7,)/VLOOKUP($D16,$C$6:$AJ$992,4,))*$F16</f>
        <v>0</v>
      </c>
      <c r="J16" s="27">
        <f t="shared" ref="J16:J29" si="4">(VLOOKUP($D16,$C$6:$AJ$992,8,)/VLOOKUP($D16,$C$6:$AJ$992,4,))*$F16</f>
        <v>0</v>
      </c>
      <c r="K16" s="27">
        <f t="shared" ref="K16:K29" si="5">(VLOOKUP($D16,$C$6:$AJ$992,9,)/VLOOKUP($D16,$C$6:$AJ$992,4,))*$F16</f>
        <v>0</v>
      </c>
      <c r="L16" s="27">
        <f t="shared" ref="L16:L29" si="6">(VLOOKUP($D16,$C$6:$AJ$992,10,)/VLOOKUP($D16,$C$6:$AJ$992,4,))*$F16</f>
        <v>0</v>
      </c>
      <c r="M16" s="27">
        <f t="shared" ref="M16:M29" si="7">(VLOOKUP($D16,$C$6:$AJ$992,11,)/VLOOKUP($D16,$C$6:$AJ$992,4,))*$F16</f>
        <v>0</v>
      </c>
      <c r="N16" s="27">
        <f t="shared" ref="N16:N29" si="8">(VLOOKUP($D16,$C$6:$AJ$992,12,)/VLOOKUP($D16,$C$6:$AJ$992,4,))*$F16</f>
        <v>133742.81</v>
      </c>
      <c r="O16" s="27">
        <f t="shared" ref="O16:O29" si="9">(VLOOKUP($D16,$C$6:$AJ$992,13,)/VLOOKUP($D16,$C$6:$AJ$992,4,))*$F16</f>
        <v>0</v>
      </c>
      <c r="P16" s="27">
        <f t="shared" ref="P16:P29" si="10">(VLOOKUP($D16,$C$6:$AJ$992,14,)/VLOOKUP($D16,$C$6:$AJ$992,4,))*$F16</f>
        <v>0</v>
      </c>
      <c r="Q16" s="27">
        <f t="shared" ref="Q16:Q29" si="11">(VLOOKUP($D16,$C$6:$AJ$992,15,)/VLOOKUP($D16,$C$6:$AJ$992,4,))*$F16</f>
        <v>0</v>
      </c>
      <c r="R16" s="27">
        <f t="shared" ref="R16:R29" si="12">(VLOOKUP($D16,$C$6:$AJ$992,16,)/VLOOKUP($D16,$C$6:$AJ$992,4,))*$F16</f>
        <v>0</v>
      </c>
      <c r="S16" s="27">
        <f t="shared" ref="S16:S29" si="13">(VLOOKUP($D16,$C$6:$AJ$992,17,)/VLOOKUP($D16,$C$6:$AJ$992,4,))*$F16</f>
        <v>0</v>
      </c>
      <c r="T16" s="27">
        <f t="shared" ref="T16:T29" si="14">(VLOOKUP($D16,$C$6:$AJ$992,18,)/VLOOKUP($D16,$C$6:$AJ$992,4,))*$F16</f>
        <v>0</v>
      </c>
      <c r="U16" s="27">
        <f t="shared" ref="U16:U29" si="15">(VLOOKUP($D16,$C$6:$AJ$992,19,)/VLOOKUP($D16,$C$6:$AJ$992,4,))*$F16</f>
        <v>0</v>
      </c>
      <c r="V16" s="27">
        <f t="shared" ref="V16:V29" si="16">(VLOOKUP($D16,$C$6:$AJ$992,20,)/VLOOKUP($D16,$C$6:$AJ$992,4,))*$F16</f>
        <v>0</v>
      </c>
      <c r="W16" s="27">
        <f t="shared" ref="W16:W26" si="17">SUM(G16:V16)</f>
        <v>133742.81</v>
      </c>
      <c r="X16" s="125" t="str">
        <f t="shared" ref="X16:X26" si="18">IF(ABS(W16-F16)&lt;1,"ok","err")</f>
        <v>ok</v>
      </c>
    </row>
    <row r="17" spans="1:31">
      <c r="A17" s="189">
        <v>375</v>
      </c>
      <c r="B17" s="25" t="s">
        <v>29</v>
      </c>
      <c r="C17" s="117" t="s">
        <v>30</v>
      </c>
      <c r="D17" s="117" t="s">
        <v>39</v>
      </c>
      <c r="F17" s="27">
        <v>943972.46</v>
      </c>
      <c r="G17" s="27">
        <f t="shared" si="1"/>
        <v>0</v>
      </c>
      <c r="H17" s="27">
        <f t="shared" si="2"/>
        <v>0</v>
      </c>
      <c r="I17" s="27">
        <f t="shared" si="3"/>
        <v>0</v>
      </c>
      <c r="J17" s="27">
        <f t="shared" si="4"/>
        <v>0</v>
      </c>
      <c r="K17" s="27">
        <f t="shared" si="5"/>
        <v>0</v>
      </c>
      <c r="L17" s="27">
        <f t="shared" si="6"/>
        <v>0</v>
      </c>
      <c r="M17" s="27">
        <f t="shared" si="7"/>
        <v>0</v>
      </c>
      <c r="N17" s="27">
        <f t="shared" si="8"/>
        <v>943972.46</v>
      </c>
      <c r="O17" s="27">
        <f t="shared" si="9"/>
        <v>0</v>
      </c>
      <c r="P17" s="27">
        <f t="shared" si="10"/>
        <v>0</v>
      </c>
      <c r="Q17" s="27">
        <f t="shared" si="11"/>
        <v>0</v>
      </c>
      <c r="R17" s="27">
        <f t="shared" si="12"/>
        <v>0</v>
      </c>
      <c r="S17" s="27">
        <f t="shared" si="13"/>
        <v>0</v>
      </c>
      <c r="T17" s="27">
        <f t="shared" si="14"/>
        <v>0</v>
      </c>
      <c r="U17" s="27">
        <f t="shared" si="15"/>
        <v>0</v>
      </c>
      <c r="V17" s="27">
        <f t="shared" si="16"/>
        <v>0</v>
      </c>
      <c r="W17" s="27">
        <f t="shared" si="17"/>
        <v>943972.46</v>
      </c>
      <c r="X17" s="125" t="str">
        <f t="shared" si="18"/>
        <v>ok</v>
      </c>
    </row>
    <row r="18" spans="1:31">
      <c r="A18" s="189">
        <v>376</v>
      </c>
      <c r="B18" s="25" t="s">
        <v>31</v>
      </c>
      <c r="C18" s="117" t="s">
        <v>32</v>
      </c>
      <c r="D18" s="117" t="s">
        <v>41</v>
      </c>
      <c r="F18" s="27">
        <v>343262511.38</v>
      </c>
      <c r="G18" s="27">
        <f t="shared" si="1"/>
        <v>0</v>
      </c>
      <c r="H18" s="27">
        <f t="shared" si="2"/>
        <v>0</v>
      </c>
      <c r="I18" s="27">
        <f t="shared" si="3"/>
        <v>0</v>
      </c>
      <c r="J18" s="27">
        <f t="shared" si="4"/>
        <v>0</v>
      </c>
      <c r="K18" s="27">
        <f t="shared" si="5"/>
        <v>0</v>
      </c>
      <c r="L18" s="27">
        <f t="shared" si="6"/>
        <v>0</v>
      </c>
      <c r="M18" s="27">
        <f t="shared" si="7"/>
        <v>0</v>
      </c>
      <c r="N18" s="27">
        <f t="shared" si="8"/>
        <v>0</v>
      </c>
      <c r="O18" s="27">
        <f t="shared" si="9"/>
        <v>117382273.80543102</v>
      </c>
      <c r="P18" s="27">
        <f t="shared" si="10"/>
        <v>196488901.79651788</v>
      </c>
      <c r="Q18" s="27">
        <f t="shared" si="11"/>
        <v>17081267.386558712</v>
      </c>
      <c r="R18" s="27">
        <f t="shared" si="12"/>
        <v>12310068.39149238</v>
      </c>
      <c r="S18" s="27">
        <f t="shared" si="13"/>
        <v>0</v>
      </c>
      <c r="T18" s="27">
        <f t="shared" si="14"/>
        <v>0</v>
      </c>
      <c r="U18" s="27">
        <f t="shared" si="15"/>
        <v>0</v>
      </c>
      <c r="V18" s="27">
        <f t="shared" si="16"/>
        <v>0</v>
      </c>
      <c r="W18" s="27">
        <f>SUM(G18:V18)</f>
        <v>343262511.38</v>
      </c>
      <c r="X18" s="125" t="str">
        <f t="shared" si="18"/>
        <v>ok</v>
      </c>
      <c r="Y18" s="127"/>
      <c r="Z18" s="127"/>
      <c r="AA18" s="127"/>
      <c r="AB18" s="127"/>
      <c r="AC18" s="127"/>
      <c r="AD18" s="127"/>
      <c r="AE18" s="127"/>
    </row>
    <row r="19" spans="1:31">
      <c r="A19" s="189">
        <v>378</v>
      </c>
      <c r="B19" s="25" t="s">
        <v>34</v>
      </c>
      <c r="C19" s="117" t="s">
        <v>35</v>
      </c>
      <c r="D19" s="117" t="s">
        <v>39</v>
      </c>
      <c r="F19" s="27">
        <v>16962668.32</v>
      </c>
      <c r="G19" s="27">
        <f t="shared" si="1"/>
        <v>0</v>
      </c>
      <c r="H19" s="27">
        <f t="shared" si="2"/>
        <v>0</v>
      </c>
      <c r="I19" s="27">
        <f t="shared" si="3"/>
        <v>0</v>
      </c>
      <c r="J19" s="27">
        <f t="shared" si="4"/>
        <v>0</v>
      </c>
      <c r="K19" s="27">
        <f t="shared" si="5"/>
        <v>0</v>
      </c>
      <c r="L19" s="27">
        <f t="shared" si="6"/>
        <v>0</v>
      </c>
      <c r="M19" s="27">
        <f t="shared" si="7"/>
        <v>0</v>
      </c>
      <c r="N19" s="27">
        <f t="shared" si="8"/>
        <v>16962668.32</v>
      </c>
      <c r="O19" s="27">
        <f t="shared" si="9"/>
        <v>0</v>
      </c>
      <c r="P19" s="27">
        <f t="shared" si="10"/>
        <v>0</v>
      </c>
      <c r="Q19" s="27">
        <f t="shared" si="11"/>
        <v>0</v>
      </c>
      <c r="R19" s="27">
        <f t="shared" si="12"/>
        <v>0</v>
      </c>
      <c r="S19" s="27">
        <f t="shared" si="13"/>
        <v>0</v>
      </c>
      <c r="T19" s="27">
        <f t="shared" si="14"/>
        <v>0</v>
      </c>
      <c r="U19" s="27">
        <f t="shared" si="15"/>
        <v>0</v>
      </c>
      <c r="V19" s="27">
        <f t="shared" si="16"/>
        <v>0</v>
      </c>
      <c r="W19" s="27">
        <f t="shared" si="17"/>
        <v>16962668.32</v>
      </c>
      <c r="X19" s="125" t="str">
        <f t="shared" si="18"/>
        <v>ok</v>
      </c>
    </row>
    <row r="20" spans="1:31">
      <c r="A20" s="189">
        <v>379</v>
      </c>
      <c r="B20" s="25" t="s">
        <v>37</v>
      </c>
      <c r="C20" s="117" t="s">
        <v>38</v>
      </c>
      <c r="D20" s="117" t="s">
        <v>39</v>
      </c>
      <c r="F20" s="27">
        <v>7801464.9299999997</v>
      </c>
      <c r="G20" s="27">
        <f t="shared" si="1"/>
        <v>0</v>
      </c>
      <c r="H20" s="27">
        <f t="shared" si="2"/>
        <v>0</v>
      </c>
      <c r="I20" s="27">
        <f t="shared" si="3"/>
        <v>0</v>
      </c>
      <c r="J20" s="27">
        <f t="shared" si="4"/>
        <v>0</v>
      </c>
      <c r="K20" s="27">
        <f t="shared" si="5"/>
        <v>0</v>
      </c>
      <c r="L20" s="27">
        <f t="shared" si="6"/>
        <v>0</v>
      </c>
      <c r="M20" s="27">
        <f t="shared" si="7"/>
        <v>0</v>
      </c>
      <c r="N20" s="27">
        <f t="shared" si="8"/>
        <v>7801464.9299999997</v>
      </c>
      <c r="O20" s="27">
        <f t="shared" si="9"/>
        <v>0</v>
      </c>
      <c r="P20" s="27">
        <f t="shared" si="10"/>
        <v>0</v>
      </c>
      <c r="Q20" s="27">
        <f t="shared" si="11"/>
        <v>0</v>
      </c>
      <c r="R20" s="27">
        <f t="shared" si="12"/>
        <v>0</v>
      </c>
      <c r="S20" s="27">
        <f t="shared" si="13"/>
        <v>0</v>
      </c>
      <c r="T20" s="27">
        <f t="shared" si="14"/>
        <v>0</v>
      </c>
      <c r="U20" s="27">
        <f t="shared" si="15"/>
        <v>0</v>
      </c>
      <c r="V20" s="27">
        <f t="shared" si="16"/>
        <v>0</v>
      </c>
      <c r="W20" s="27">
        <f t="shared" si="17"/>
        <v>7801464.9299999997</v>
      </c>
      <c r="X20" s="125" t="str">
        <f t="shared" si="18"/>
        <v>ok</v>
      </c>
    </row>
    <row r="21" spans="1:31">
      <c r="A21" s="189">
        <v>380</v>
      </c>
      <c r="B21" s="25" t="s">
        <v>10</v>
      </c>
      <c r="C21" s="117" t="s">
        <v>40</v>
      </c>
      <c r="D21" s="117" t="s">
        <v>43</v>
      </c>
      <c r="F21" s="27">
        <v>207003499.09</v>
      </c>
      <c r="G21" s="27">
        <f t="shared" si="1"/>
        <v>0</v>
      </c>
      <c r="H21" s="27">
        <f t="shared" si="2"/>
        <v>0</v>
      </c>
      <c r="I21" s="27">
        <f t="shared" si="3"/>
        <v>0</v>
      </c>
      <c r="J21" s="27">
        <f t="shared" si="4"/>
        <v>0</v>
      </c>
      <c r="K21" s="27">
        <f t="shared" si="5"/>
        <v>0</v>
      </c>
      <c r="L21" s="27">
        <f t="shared" si="6"/>
        <v>0</v>
      </c>
      <c r="M21" s="27">
        <f t="shared" si="7"/>
        <v>0</v>
      </c>
      <c r="N21" s="27">
        <f t="shared" si="8"/>
        <v>0</v>
      </c>
      <c r="O21" s="27">
        <f t="shared" si="9"/>
        <v>0</v>
      </c>
      <c r="P21" s="27">
        <f t="shared" si="10"/>
        <v>0</v>
      </c>
      <c r="Q21" s="27">
        <f t="shared" si="11"/>
        <v>0</v>
      </c>
      <c r="R21" s="27">
        <f t="shared" si="12"/>
        <v>0</v>
      </c>
      <c r="S21" s="27">
        <f t="shared" si="13"/>
        <v>207003499.09</v>
      </c>
      <c r="T21" s="27">
        <f t="shared" si="14"/>
        <v>0</v>
      </c>
      <c r="U21" s="27">
        <f t="shared" si="15"/>
        <v>0</v>
      </c>
      <c r="V21" s="27">
        <f t="shared" si="16"/>
        <v>0</v>
      </c>
      <c r="W21" s="27">
        <f t="shared" si="17"/>
        <v>207003499.09</v>
      </c>
      <c r="X21" s="125" t="str">
        <f t="shared" si="18"/>
        <v>ok</v>
      </c>
    </row>
    <row r="22" spans="1:31">
      <c r="A22" s="189">
        <v>381</v>
      </c>
      <c r="B22" s="25" t="s">
        <v>11</v>
      </c>
      <c r="C22" s="117" t="s">
        <v>42</v>
      </c>
      <c r="D22" s="117" t="s">
        <v>46</v>
      </c>
      <c r="F22" s="27">
        <v>49293088.32</v>
      </c>
      <c r="G22" s="27">
        <f t="shared" si="1"/>
        <v>0</v>
      </c>
      <c r="H22" s="27">
        <f t="shared" si="2"/>
        <v>0</v>
      </c>
      <c r="I22" s="27">
        <f t="shared" si="3"/>
        <v>0</v>
      </c>
      <c r="J22" s="27">
        <f t="shared" si="4"/>
        <v>0</v>
      </c>
      <c r="K22" s="27">
        <f t="shared" si="5"/>
        <v>0</v>
      </c>
      <c r="L22" s="27">
        <f t="shared" si="6"/>
        <v>0</v>
      </c>
      <c r="M22" s="27">
        <f t="shared" si="7"/>
        <v>0</v>
      </c>
      <c r="N22" s="27">
        <f t="shared" si="8"/>
        <v>0</v>
      </c>
      <c r="O22" s="27">
        <f t="shared" si="9"/>
        <v>0</v>
      </c>
      <c r="P22" s="27">
        <f t="shared" si="10"/>
        <v>0</v>
      </c>
      <c r="Q22" s="27">
        <f t="shared" si="11"/>
        <v>0</v>
      </c>
      <c r="R22" s="27">
        <f t="shared" si="12"/>
        <v>0</v>
      </c>
      <c r="S22" s="27">
        <f t="shared" si="13"/>
        <v>0</v>
      </c>
      <c r="T22" s="27">
        <f t="shared" si="14"/>
        <v>49293088.32</v>
      </c>
      <c r="U22" s="27">
        <f t="shared" si="15"/>
        <v>0</v>
      </c>
      <c r="V22" s="27">
        <f t="shared" si="16"/>
        <v>0</v>
      </c>
      <c r="W22" s="27">
        <f t="shared" si="17"/>
        <v>49293088.32</v>
      </c>
      <c r="X22" s="125" t="str">
        <f t="shared" si="18"/>
        <v>ok</v>
      </c>
    </row>
    <row r="23" spans="1:31">
      <c r="A23" s="189">
        <v>382</v>
      </c>
      <c r="B23" s="25" t="s">
        <v>44</v>
      </c>
      <c r="C23" s="117" t="s">
        <v>45</v>
      </c>
      <c r="D23" s="117" t="s">
        <v>46</v>
      </c>
      <c r="F23" s="27"/>
      <c r="G23" s="27">
        <f t="shared" si="1"/>
        <v>0</v>
      </c>
      <c r="H23" s="27">
        <f t="shared" si="2"/>
        <v>0</v>
      </c>
      <c r="I23" s="27">
        <f t="shared" si="3"/>
        <v>0</v>
      </c>
      <c r="J23" s="27">
        <f t="shared" si="4"/>
        <v>0</v>
      </c>
      <c r="K23" s="27">
        <f t="shared" si="5"/>
        <v>0</v>
      </c>
      <c r="L23" s="27">
        <f t="shared" si="6"/>
        <v>0</v>
      </c>
      <c r="M23" s="27">
        <f t="shared" si="7"/>
        <v>0</v>
      </c>
      <c r="N23" s="27">
        <f t="shared" si="8"/>
        <v>0</v>
      </c>
      <c r="O23" s="27">
        <f t="shared" si="9"/>
        <v>0</v>
      </c>
      <c r="P23" s="27">
        <f t="shared" si="10"/>
        <v>0</v>
      </c>
      <c r="Q23" s="27">
        <f t="shared" si="11"/>
        <v>0</v>
      </c>
      <c r="R23" s="27">
        <f t="shared" si="12"/>
        <v>0</v>
      </c>
      <c r="S23" s="27">
        <f t="shared" si="13"/>
        <v>0</v>
      </c>
      <c r="T23" s="27">
        <f t="shared" si="14"/>
        <v>0</v>
      </c>
      <c r="U23" s="27">
        <f t="shared" si="15"/>
        <v>0</v>
      </c>
      <c r="V23" s="27">
        <f t="shared" si="16"/>
        <v>0</v>
      </c>
      <c r="W23" s="27">
        <f t="shared" si="17"/>
        <v>0</v>
      </c>
      <c r="X23" s="125" t="str">
        <f t="shared" si="18"/>
        <v>ok</v>
      </c>
    </row>
    <row r="24" spans="1:31">
      <c r="A24" s="189">
        <v>383</v>
      </c>
      <c r="B24" s="25" t="s">
        <v>47</v>
      </c>
      <c r="C24" s="117" t="s">
        <v>48</v>
      </c>
      <c r="D24" s="117" t="s">
        <v>46</v>
      </c>
      <c r="F24" s="27">
        <v>25156173.760000002</v>
      </c>
      <c r="G24" s="27">
        <f t="shared" si="1"/>
        <v>0</v>
      </c>
      <c r="H24" s="27">
        <f t="shared" si="2"/>
        <v>0</v>
      </c>
      <c r="I24" s="27">
        <f t="shared" si="3"/>
        <v>0</v>
      </c>
      <c r="J24" s="27">
        <f t="shared" si="4"/>
        <v>0</v>
      </c>
      <c r="K24" s="27">
        <f t="shared" si="5"/>
        <v>0</v>
      </c>
      <c r="L24" s="27">
        <f t="shared" si="6"/>
        <v>0</v>
      </c>
      <c r="M24" s="27">
        <f t="shared" si="7"/>
        <v>0</v>
      </c>
      <c r="N24" s="27">
        <f t="shared" si="8"/>
        <v>0</v>
      </c>
      <c r="O24" s="27">
        <f t="shared" si="9"/>
        <v>0</v>
      </c>
      <c r="P24" s="27">
        <f t="shared" si="10"/>
        <v>0</v>
      </c>
      <c r="Q24" s="27">
        <f t="shared" si="11"/>
        <v>0</v>
      </c>
      <c r="R24" s="27">
        <f t="shared" si="12"/>
        <v>0</v>
      </c>
      <c r="S24" s="27">
        <f t="shared" si="13"/>
        <v>0</v>
      </c>
      <c r="T24" s="27">
        <f t="shared" si="14"/>
        <v>25156173.760000002</v>
      </c>
      <c r="U24" s="27">
        <f t="shared" si="15"/>
        <v>0</v>
      </c>
      <c r="V24" s="27">
        <f t="shared" si="16"/>
        <v>0</v>
      </c>
      <c r="W24" s="27">
        <f t="shared" si="17"/>
        <v>25156173.760000002</v>
      </c>
      <c r="X24" s="125" t="str">
        <f t="shared" si="18"/>
        <v>ok</v>
      </c>
    </row>
    <row r="25" spans="1:31">
      <c r="A25" s="189">
        <v>384</v>
      </c>
      <c r="B25" s="25" t="s">
        <v>50</v>
      </c>
      <c r="C25" s="117" t="s">
        <v>51</v>
      </c>
      <c r="D25" s="117" t="s">
        <v>46</v>
      </c>
      <c r="F25" s="27"/>
      <c r="G25" s="27">
        <f t="shared" si="1"/>
        <v>0</v>
      </c>
      <c r="H25" s="27">
        <f t="shared" si="2"/>
        <v>0</v>
      </c>
      <c r="I25" s="27">
        <f t="shared" si="3"/>
        <v>0</v>
      </c>
      <c r="J25" s="27">
        <f t="shared" si="4"/>
        <v>0</v>
      </c>
      <c r="K25" s="27">
        <f t="shared" si="5"/>
        <v>0</v>
      </c>
      <c r="L25" s="27">
        <f t="shared" si="6"/>
        <v>0</v>
      </c>
      <c r="M25" s="27">
        <f t="shared" si="7"/>
        <v>0</v>
      </c>
      <c r="N25" s="27">
        <f t="shared" si="8"/>
        <v>0</v>
      </c>
      <c r="O25" s="27">
        <f t="shared" si="9"/>
        <v>0</v>
      </c>
      <c r="P25" s="27">
        <f t="shared" si="10"/>
        <v>0</v>
      </c>
      <c r="Q25" s="27">
        <f t="shared" si="11"/>
        <v>0</v>
      </c>
      <c r="R25" s="27">
        <f t="shared" si="12"/>
        <v>0</v>
      </c>
      <c r="S25" s="27">
        <f t="shared" si="13"/>
        <v>0</v>
      </c>
      <c r="T25" s="27">
        <f t="shared" si="14"/>
        <v>0</v>
      </c>
      <c r="U25" s="27">
        <f t="shared" si="15"/>
        <v>0</v>
      </c>
      <c r="V25" s="27">
        <f t="shared" si="16"/>
        <v>0</v>
      </c>
      <c r="W25" s="27">
        <f t="shared" si="17"/>
        <v>0</v>
      </c>
      <c r="X25" s="125" t="str">
        <f t="shared" si="18"/>
        <v>ok</v>
      </c>
    </row>
    <row r="26" spans="1:31">
      <c r="A26" s="189">
        <v>385</v>
      </c>
      <c r="B26" s="25" t="s">
        <v>53</v>
      </c>
      <c r="C26" s="117" t="s">
        <v>54</v>
      </c>
      <c r="D26" s="117" t="s">
        <v>46</v>
      </c>
      <c r="F26" s="27">
        <v>2469301.86</v>
      </c>
      <c r="G26" s="27">
        <f t="shared" si="1"/>
        <v>0</v>
      </c>
      <c r="H26" s="27">
        <f t="shared" si="2"/>
        <v>0</v>
      </c>
      <c r="I26" s="27">
        <f t="shared" si="3"/>
        <v>0</v>
      </c>
      <c r="J26" s="27">
        <f t="shared" si="4"/>
        <v>0</v>
      </c>
      <c r="K26" s="27">
        <f t="shared" si="5"/>
        <v>0</v>
      </c>
      <c r="L26" s="27">
        <f t="shared" si="6"/>
        <v>0</v>
      </c>
      <c r="M26" s="27">
        <f t="shared" si="7"/>
        <v>0</v>
      </c>
      <c r="N26" s="27">
        <f t="shared" si="8"/>
        <v>0</v>
      </c>
      <c r="O26" s="27">
        <f t="shared" si="9"/>
        <v>0</v>
      </c>
      <c r="P26" s="27">
        <f t="shared" si="10"/>
        <v>0</v>
      </c>
      <c r="Q26" s="27">
        <f t="shared" si="11"/>
        <v>0</v>
      </c>
      <c r="R26" s="27">
        <f t="shared" si="12"/>
        <v>0</v>
      </c>
      <c r="S26" s="27">
        <f t="shared" si="13"/>
        <v>0</v>
      </c>
      <c r="T26" s="27">
        <f t="shared" si="14"/>
        <v>2469301.86</v>
      </c>
      <c r="U26" s="27">
        <f t="shared" si="15"/>
        <v>0</v>
      </c>
      <c r="V26" s="27">
        <f t="shared" si="16"/>
        <v>0</v>
      </c>
      <c r="W26" s="27">
        <f t="shared" si="17"/>
        <v>2469301.86</v>
      </c>
      <c r="X26" s="125" t="str">
        <f t="shared" si="18"/>
        <v>ok</v>
      </c>
    </row>
    <row r="27" spans="1:31">
      <c r="A27" s="190">
        <v>387</v>
      </c>
      <c r="B27" s="25" t="s">
        <v>55</v>
      </c>
      <c r="C27" s="117" t="s">
        <v>56</v>
      </c>
      <c r="D27" s="117" t="s">
        <v>46</v>
      </c>
      <c r="F27" s="27">
        <v>864557.24</v>
      </c>
      <c r="G27" s="27">
        <f t="shared" si="1"/>
        <v>0</v>
      </c>
      <c r="H27" s="27">
        <f t="shared" si="2"/>
        <v>0</v>
      </c>
      <c r="I27" s="27">
        <f t="shared" si="3"/>
        <v>0</v>
      </c>
      <c r="J27" s="27">
        <f t="shared" si="4"/>
        <v>0</v>
      </c>
      <c r="K27" s="27">
        <f t="shared" si="5"/>
        <v>0</v>
      </c>
      <c r="L27" s="27">
        <f t="shared" si="6"/>
        <v>0</v>
      </c>
      <c r="M27" s="27">
        <f t="shared" si="7"/>
        <v>0</v>
      </c>
      <c r="N27" s="27">
        <f t="shared" si="8"/>
        <v>0</v>
      </c>
      <c r="O27" s="27">
        <f t="shared" si="9"/>
        <v>0</v>
      </c>
      <c r="P27" s="27">
        <f t="shared" si="10"/>
        <v>0</v>
      </c>
      <c r="Q27" s="27">
        <f t="shared" si="11"/>
        <v>0</v>
      </c>
      <c r="R27" s="27">
        <f t="shared" si="12"/>
        <v>0</v>
      </c>
      <c r="S27" s="27">
        <f t="shared" si="13"/>
        <v>0</v>
      </c>
      <c r="T27" s="27">
        <f t="shared" si="14"/>
        <v>864557.24</v>
      </c>
      <c r="U27" s="27">
        <f t="shared" si="15"/>
        <v>0</v>
      </c>
      <c r="V27" s="27">
        <f t="shared" si="16"/>
        <v>0</v>
      </c>
      <c r="W27" s="27">
        <f>SUM(G27:V27)</f>
        <v>864557.24</v>
      </c>
      <c r="X27" s="125" t="str">
        <f>IF(ABS(W27-F27)&lt;1,"ok","err")</f>
        <v>ok</v>
      </c>
    </row>
    <row r="28" spans="1:31">
      <c r="A28" s="190">
        <v>388</v>
      </c>
      <c r="B28" s="25" t="s">
        <v>722</v>
      </c>
      <c r="C28" s="117" t="s">
        <v>720</v>
      </c>
      <c r="D28" s="117" t="str">
        <f>+D20</f>
        <v>F008</v>
      </c>
      <c r="F28" s="27">
        <v>0</v>
      </c>
      <c r="G28" s="27">
        <f t="shared" si="1"/>
        <v>0</v>
      </c>
      <c r="H28" s="27">
        <f t="shared" si="2"/>
        <v>0</v>
      </c>
      <c r="I28" s="27">
        <f t="shared" si="3"/>
        <v>0</v>
      </c>
      <c r="J28" s="27">
        <f t="shared" si="4"/>
        <v>0</v>
      </c>
      <c r="K28" s="27">
        <f t="shared" si="5"/>
        <v>0</v>
      </c>
      <c r="L28" s="27">
        <f t="shared" si="6"/>
        <v>0</v>
      </c>
      <c r="M28" s="27">
        <f t="shared" si="7"/>
        <v>0</v>
      </c>
      <c r="N28" s="27">
        <f t="shared" si="8"/>
        <v>0</v>
      </c>
      <c r="O28" s="27">
        <f t="shared" si="9"/>
        <v>0</v>
      </c>
      <c r="P28" s="27">
        <f t="shared" si="10"/>
        <v>0</v>
      </c>
      <c r="Q28" s="27">
        <f t="shared" si="11"/>
        <v>0</v>
      </c>
      <c r="R28" s="27">
        <f t="shared" si="12"/>
        <v>0</v>
      </c>
      <c r="S28" s="27">
        <f t="shared" si="13"/>
        <v>0</v>
      </c>
      <c r="T28" s="27">
        <f t="shared" si="14"/>
        <v>0</v>
      </c>
      <c r="U28" s="27">
        <f t="shared" si="15"/>
        <v>0</v>
      </c>
      <c r="V28" s="27">
        <f t="shared" si="16"/>
        <v>0</v>
      </c>
      <c r="W28" s="27">
        <f>SUM(G28:V28)</f>
        <v>0</v>
      </c>
      <c r="X28" s="125" t="str">
        <f>IF(ABS(W28-F28)&lt;1,"ok","err")</f>
        <v>ok</v>
      </c>
    </row>
    <row r="29" spans="1:31">
      <c r="A29" s="190">
        <v>388</v>
      </c>
      <c r="B29" s="25" t="s">
        <v>721</v>
      </c>
      <c r="C29" s="117" t="s">
        <v>720</v>
      </c>
      <c r="D29" s="117" t="str">
        <f>+D18</f>
        <v>F009</v>
      </c>
      <c r="F29" s="27">
        <v>0</v>
      </c>
      <c r="G29" s="27">
        <f t="shared" si="1"/>
        <v>0</v>
      </c>
      <c r="H29" s="27">
        <f t="shared" si="2"/>
        <v>0</v>
      </c>
      <c r="I29" s="27">
        <f t="shared" si="3"/>
        <v>0</v>
      </c>
      <c r="J29" s="27">
        <f t="shared" si="4"/>
        <v>0</v>
      </c>
      <c r="K29" s="27">
        <f t="shared" si="5"/>
        <v>0</v>
      </c>
      <c r="L29" s="27">
        <f t="shared" si="6"/>
        <v>0</v>
      </c>
      <c r="M29" s="27">
        <f t="shared" si="7"/>
        <v>0</v>
      </c>
      <c r="N29" s="27">
        <f t="shared" si="8"/>
        <v>0</v>
      </c>
      <c r="O29" s="27">
        <f t="shared" si="9"/>
        <v>0</v>
      </c>
      <c r="P29" s="27">
        <f t="shared" si="10"/>
        <v>0</v>
      </c>
      <c r="Q29" s="27">
        <f t="shared" si="11"/>
        <v>0</v>
      </c>
      <c r="R29" s="27">
        <f t="shared" si="12"/>
        <v>0</v>
      </c>
      <c r="S29" s="27">
        <f t="shared" si="13"/>
        <v>0</v>
      </c>
      <c r="T29" s="27">
        <f t="shared" si="14"/>
        <v>0</v>
      </c>
      <c r="U29" s="27">
        <f t="shared" si="15"/>
        <v>0</v>
      </c>
      <c r="V29" s="27">
        <f t="shared" si="16"/>
        <v>0</v>
      </c>
      <c r="W29" s="27">
        <f>SUM(G29:V29)</f>
        <v>0</v>
      </c>
      <c r="X29" s="125" t="str">
        <f>IF(ABS(W29-F29)&lt;1,"ok","err")</f>
        <v>ok</v>
      </c>
    </row>
    <row r="30" spans="1:31">
      <c r="A30" s="12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125"/>
    </row>
    <row r="31" spans="1:31">
      <c r="A31" s="128" t="s">
        <v>201</v>
      </c>
      <c r="C31" s="117" t="s">
        <v>202</v>
      </c>
      <c r="F31" s="32">
        <f>SUM(F16:F29)</f>
        <v>653890980.17000008</v>
      </c>
      <c r="G31" s="32">
        <f t="shared" ref="G31:V31" si="19">SUM(G16:G29)</f>
        <v>0</v>
      </c>
      <c r="H31" s="32">
        <f t="shared" si="19"/>
        <v>0</v>
      </c>
      <c r="I31" s="32">
        <f t="shared" si="19"/>
        <v>0</v>
      </c>
      <c r="J31" s="32">
        <f t="shared" si="19"/>
        <v>0</v>
      </c>
      <c r="K31" s="32">
        <f t="shared" si="19"/>
        <v>0</v>
      </c>
      <c r="L31" s="32">
        <f t="shared" si="19"/>
        <v>0</v>
      </c>
      <c r="M31" s="32">
        <f t="shared" si="19"/>
        <v>0</v>
      </c>
      <c r="N31" s="32">
        <f t="shared" si="19"/>
        <v>25841848.52</v>
      </c>
      <c r="O31" s="32">
        <f t="shared" si="19"/>
        <v>117382273.80543102</v>
      </c>
      <c r="P31" s="32">
        <f t="shared" si="19"/>
        <v>196488901.79651788</v>
      </c>
      <c r="Q31" s="32">
        <f t="shared" si="19"/>
        <v>17081267.386558712</v>
      </c>
      <c r="R31" s="32">
        <f t="shared" si="19"/>
        <v>12310068.39149238</v>
      </c>
      <c r="S31" s="32">
        <f t="shared" si="19"/>
        <v>207003499.09</v>
      </c>
      <c r="T31" s="32">
        <f t="shared" si="19"/>
        <v>77783121.179999992</v>
      </c>
      <c r="U31" s="32">
        <f t="shared" si="19"/>
        <v>0</v>
      </c>
      <c r="V31" s="32">
        <f t="shared" si="19"/>
        <v>0</v>
      </c>
      <c r="W31" s="27">
        <f>SUM(G31:V31)</f>
        <v>653890980.16999996</v>
      </c>
      <c r="X31" s="125" t="str">
        <f>IF(ABS(W31-F31)&lt;1,"ok","err")</f>
        <v>ok</v>
      </c>
      <c r="Y31" s="129"/>
    </row>
    <row r="32" spans="1:31">
      <c r="A32" s="12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125"/>
    </row>
    <row r="33" spans="1:24">
      <c r="A33" s="128" t="s">
        <v>458</v>
      </c>
      <c r="C33" s="117" t="s">
        <v>57</v>
      </c>
      <c r="F33" s="32">
        <f>+F10+F13+F31</f>
        <v>844907511.1500001</v>
      </c>
      <c r="G33" s="27">
        <f t="shared" ref="G33:W33" si="20">+G10+G13+G31</f>
        <v>0</v>
      </c>
      <c r="H33" s="27">
        <f t="shared" si="20"/>
        <v>0</v>
      </c>
      <c r="I33" s="27">
        <f t="shared" si="20"/>
        <v>141203400.56999999</v>
      </c>
      <c r="J33" s="27">
        <f t="shared" si="20"/>
        <v>0</v>
      </c>
      <c r="K33" s="27">
        <f t="shared" si="20"/>
        <v>49813130.409999996</v>
      </c>
      <c r="L33" s="27">
        <f t="shared" si="20"/>
        <v>0</v>
      </c>
      <c r="M33" s="27">
        <f t="shared" si="20"/>
        <v>0</v>
      </c>
      <c r="N33" s="27">
        <f t="shared" si="20"/>
        <v>25841848.52</v>
      </c>
      <c r="O33" s="27">
        <f t="shared" si="20"/>
        <v>117382273.80543102</v>
      </c>
      <c r="P33" s="27">
        <f t="shared" si="20"/>
        <v>196488901.79651788</v>
      </c>
      <c r="Q33" s="27">
        <f t="shared" si="20"/>
        <v>17081267.386558712</v>
      </c>
      <c r="R33" s="27">
        <f t="shared" si="20"/>
        <v>12310068.39149238</v>
      </c>
      <c r="S33" s="27">
        <f t="shared" si="20"/>
        <v>207003499.09</v>
      </c>
      <c r="T33" s="27">
        <f t="shared" si="20"/>
        <v>77783121.179999992</v>
      </c>
      <c r="U33" s="27">
        <f t="shared" si="20"/>
        <v>0</v>
      </c>
      <c r="V33" s="27">
        <f t="shared" si="20"/>
        <v>0</v>
      </c>
      <c r="W33" s="27">
        <f t="shared" si="20"/>
        <v>844907511.14999998</v>
      </c>
      <c r="X33" s="125" t="str">
        <f>IF(ABS(W33-F33)&lt;1,"ok","err")</f>
        <v>ok</v>
      </c>
    </row>
    <row r="34" spans="1:24">
      <c r="A34" s="128"/>
      <c r="F34" s="32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125"/>
    </row>
    <row r="35" spans="1:24">
      <c r="A35" s="191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125"/>
    </row>
    <row r="36" spans="1:24">
      <c r="A36" s="28">
        <v>117</v>
      </c>
      <c r="B36" s="25" t="s">
        <v>593</v>
      </c>
      <c r="C36" s="117" t="s">
        <v>398</v>
      </c>
      <c r="D36" s="117" t="s">
        <v>25</v>
      </c>
      <c r="F36" s="32">
        <f>2139.3177*1000</f>
        <v>2139317.7000000002</v>
      </c>
      <c r="G36" s="27">
        <f>(VLOOKUP($D36,$C$6:$AJ$992,5,)/VLOOKUP($D36,$C$6:$AJ$992,4,))*$F36</f>
        <v>0</v>
      </c>
      <c r="H36" s="27">
        <f>(VLOOKUP($D36,$C$6:$AJ$992,6,)/VLOOKUP($D36,$C$6:$AJ$992,4,))*$F36</f>
        <v>0</v>
      </c>
      <c r="I36" s="27">
        <f>(VLOOKUP($D36,$C$6:$AJ$992,7,)/VLOOKUP($D36,$C$6:$AJ$992,4,))*$F36</f>
        <v>2139317.7000000002</v>
      </c>
      <c r="J36" s="27">
        <f>(VLOOKUP($D36,$C$6:$AJ$992,8,)/VLOOKUP($D36,$C$6:$AJ$992,4,))*$F36</f>
        <v>0</v>
      </c>
      <c r="K36" s="27">
        <f>(VLOOKUP($D36,$C$6:$AJ$992,9,)/VLOOKUP($D36,$C$6:$AJ$992,4,))*$F36</f>
        <v>0</v>
      </c>
      <c r="L36" s="27">
        <f>(VLOOKUP($D36,$C$6:$AJ$992,10,)/VLOOKUP($D36,$C$6:$AJ$992,4,))*$F36</f>
        <v>0</v>
      </c>
      <c r="M36" s="27">
        <f>(VLOOKUP($D36,$C$6:$AJ$992,11,)/VLOOKUP($D36,$C$6:$AJ$992,4,))*$F36</f>
        <v>0</v>
      </c>
      <c r="N36" s="27">
        <f>(VLOOKUP($D36,$C$6:$AJ$992,12,)/VLOOKUP($D36,$C$6:$AJ$992,4,))*$F36</f>
        <v>0</v>
      </c>
      <c r="O36" s="27">
        <f>(VLOOKUP($D36,$C$6:$AJ$992,13,)/VLOOKUP($D36,$C$6:$AJ$992,4,))*$F36</f>
        <v>0</v>
      </c>
      <c r="P36" s="27">
        <f>(VLOOKUP($D36,$C$6:$AJ$992,14,)/VLOOKUP($D36,$C$6:$AJ$992,4,))*$F36</f>
        <v>0</v>
      </c>
      <c r="Q36" s="27">
        <f>(VLOOKUP($D36,$C$6:$AJ$992,15,)/VLOOKUP($D36,$C$6:$AJ$992,4,))*$F36</f>
        <v>0</v>
      </c>
      <c r="R36" s="27">
        <f>(VLOOKUP($D36,$C$6:$AJ$992,16,)/VLOOKUP($D36,$C$6:$AJ$992,4,))*$F36</f>
        <v>0</v>
      </c>
      <c r="S36" s="27">
        <f>(VLOOKUP($D36,$C$6:$AJ$992,17,)/VLOOKUP($D36,$C$6:$AJ$992,4,))*$F36</f>
        <v>0</v>
      </c>
      <c r="T36" s="27">
        <f>(VLOOKUP($D36,$C$6:$AJ$992,18,)/VLOOKUP($D36,$C$6:$AJ$992,4,))*$F36</f>
        <v>0</v>
      </c>
      <c r="U36" s="27">
        <f>(VLOOKUP($D36,$C$6:$AJ$992,19,)/VLOOKUP($D36,$C$6:$AJ$992,4,))*$F36</f>
        <v>0</v>
      </c>
      <c r="V36" s="27">
        <f>(VLOOKUP($D36,$C$6:$AJ$992,20,)/VLOOKUP($D36,$C$6:$AJ$992,4,))*$F36</f>
        <v>0</v>
      </c>
      <c r="W36" s="27">
        <f>SUM(G36:V36)</f>
        <v>2139317.7000000002</v>
      </c>
      <c r="X36" s="125" t="str">
        <f>IF(ABS(W36-F36)&lt;1,"ok","err")</f>
        <v>ok</v>
      </c>
    </row>
    <row r="37" spans="1:24">
      <c r="A37" s="128" t="s">
        <v>58</v>
      </c>
      <c r="B37" s="25" t="s">
        <v>59</v>
      </c>
      <c r="C37" s="117" t="s">
        <v>60</v>
      </c>
      <c r="D37" s="117" t="s">
        <v>57</v>
      </c>
      <c r="F37" s="27">
        <v>387.49</v>
      </c>
      <c r="G37" s="27">
        <f>(VLOOKUP($D37,$C$6:$AJ$992,5,)/VLOOKUP($D37,$C$6:$AJ$992,4,))*$F37</f>
        <v>0</v>
      </c>
      <c r="H37" s="27">
        <f>(VLOOKUP($D37,$C$6:$AJ$992,6,)/VLOOKUP($D37,$C$6:$AJ$992,4,))*$F37</f>
        <v>0</v>
      </c>
      <c r="I37" s="27">
        <f>(VLOOKUP($D37,$C$6:$AJ$992,7,)/VLOOKUP($D37,$C$6:$AJ$992,4,))*$F37</f>
        <v>64.758455765645962</v>
      </c>
      <c r="J37" s="27">
        <f>(VLOOKUP($D37,$C$6:$AJ$992,8,)/VLOOKUP($D37,$C$6:$AJ$992,4,))*$F37</f>
        <v>0</v>
      </c>
      <c r="K37" s="27">
        <f>(VLOOKUP($D37,$C$6:$AJ$992,9,)/VLOOKUP($D37,$C$6:$AJ$992,4,))*$F37</f>
        <v>22.845210449483286</v>
      </c>
      <c r="L37" s="27">
        <f>(VLOOKUP($D37,$C$6:$AJ$992,10,)/VLOOKUP($D37,$C$6:$AJ$992,4,))*$F37</f>
        <v>0</v>
      </c>
      <c r="M37" s="27">
        <f>(VLOOKUP($D37,$C$6:$AJ$992,11,)/VLOOKUP($D37,$C$6:$AJ$992,4,))*$F37</f>
        <v>0</v>
      </c>
      <c r="N37" s="27">
        <f>(VLOOKUP($D37,$C$6:$AJ$992,12,)/VLOOKUP($D37,$C$6:$AJ$992,4,))*$F37</f>
        <v>11.851543217299044</v>
      </c>
      <c r="O37" s="27">
        <f>(VLOOKUP($D37,$C$6:$AJ$992,13,)/VLOOKUP($D37,$C$6:$AJ$992,4,))*$F37</f>
        <v>53.833652413573368</v>
      </c>
      <c r="P37" s="27">
        <f>(VLOOKUP($D37,$C$6:$AJ$992,14,)/VLOOKUP($D37,$C$6:$AJ$992,4,))*$F37</f>
        <v>90.113395315307699</v>
      </c>
      <c r="Q37" s="27">
        <f>(VLOOKUP($D37,$C$6:$AJ$992,15,)/VLOOKUP($D37,$C$6:$AJ$992,4,))*$F37</f>
        <v>7.8337808721913076</v>
      </c>
      <c r="R37" s="27">
        <f>(VLOOKUP($D37,$C$6:$AJ$992,16,)/VLOOKUP($D37,$C$6:$AJ$992,4,))*$F37</f>
        <v>5.6456219622511306</v>
      </c>
      <c r="S37" s="27">
        <f>(VLOOKUP($D37,$C$6:$AJ$992,17,)/VLOOKUP($D37,$C$6:$AJ$992,4,))*$F37</f>
        <v>94.935581473536871</v>
      </c>
      <c r="T37" s="27">
        <f>(VLOOKUP($D37,$C$6:$AJ$992,18,)/VLOOKUP($D37,$C$6:$AJ$992,4,))*$F37</f>
        <v>35.672758530711278</v>
      </c>
      <c r="U37" s="27">
        <f>(VLOOKUP($D37,$C$6:$AJ$992,19,)/VLOOKUP($D37,$C$6:$AJ$992,4,))*$F37</f>
        <v>0</v>
      </c>
      <c r="V37" s="27">
        <f>(VLOOKUP($D37,$C$6:$AJ$992,20,)/VLOOKUP($D37,$C$6:$AJ$992,4,))*$F37</f>
        <v>0</v>
      </c>
      <c r="W37" s="27">
        <f>SUM(G37:V37)</f>
        <v>387.48999999999995</v>
      </c>
      <c r="X37" s="125" t="str">
        <f>IF(ABS(W37-F37)&lt;1,"ok","err")</f>
        <v>ok</v>
      </c>
    </row>
    <row r="38" spans="1:24">
      <c r="A38" s="25" t="s">
        <v>838</v>
      </c>
      <c r="B38" s="25" t="s">
        <v>62</v>
      </c>
      <c r="C38" s="117" t="s">
        <v>63</v>
      </c>
      <c r="D38" s="117" t="s">
        <v>57</v>
      </c>
      <c r="F38" s="27">
        <v>11447232.09</v>
      </c>
      <c r="G38" s="27">
        <f>(VLOOKUP($D38,$C$6:$AJ$992,5,)/VLOOKUP($D38,$C$6:$AJ$992,4,))*$F38</f>
        <v>0</v>
      </c>
      <c r="H38" s="27">
        <f>(VLOOKUP($D38,$C$6:$AJ$992,6,)/VLOOKUP($D38,$C$6:$AJ$992,4,))*$F38</f>
        <v>0</v>
      </c>
      <c r="I38" s="27">
        <f>(VLOOKUP($D38,$C$6:$AJ$992,7,)/VLOOKUP($D38,$C$6:$AJ$992,4,))*$F38</f>
        <v>1913094.7197072126</v>
      </c>
      <c r="J38" s="27">
        <f>(VLOOKUP($D38,$C$6:$AJ$992,8,)/VLOOKUP($D38,$C$6:$AJ$992,4,))*$F38</f>
        <v>0</v>
      </c>
      <c r="K38" s="27">
        <f>(VLOOKUP($D38,$C$6:$AJ$992,9,)/VLOOKUP($D38,$C$6:$AJ$992,4,))*$F38</f>
        <v>674893.35508046241</v>
      </c>
      <c r="L38" s="27">
        <f>(VLOOKUP($D38,$C$6:$AJ$992,10,)/VLOOKUP($D38,$C$6:$AJ$992,4,))*$F38</f>
        <v>0</v>
      </c>
      <c r="M38" s="27">
        <f>(VLOOKUP($D38,$C$6:$AJ$992,11,)/VLOOKUP($D38,$C$6:$AJ$992,4,))*$F38</f>
        <v>0</v>
      </c>
      <c r="N38" s="27">
        <f>(VLOOKUP($D38,$C$6:$AJ$992,12,)/VLOOKUP($D38,$C$6:$AJ$992,4,))*$F38</f>
        <v>350118.3664948449</v>
      </c>
      <c r="O38" s="27">
        <f>(VLOOKUP($D38,$C$6:$AJ$992,13,)/VLOOKUP($D38,$C$6:$AJ$992,4,))*$F38</f>
        <v>1590354.1083139256</v>
      </c>
      <c r="P38" s="27">
        <f>(VLOOKUP($D38,$C$6:$AJ$992,14,)/VLOOKUP($D38,$C$6:$AJ$992,4,))*$F38</f>
        <v>2662130.508122135</v>
      </c>
      <c r="Q38" s="27">
        <f>(VLOOKUP($D38,$C$6:$AJ$992,15,)/VLOOKUP($D38,$C$6:$AJ$992,4,))*$F38</f>
        <v>231425.60527026898</v>
      </c>
      <c r="R38" s="27">
        <f>(VLOOKUP($D38,$C$6:$AJ$992,16,)/VLOOKUP($D38,$C$6:$AJ$992,4,))*$F38</f>
        <v>166783.0005788276</v>
      </c>
      <c r="S38" s="27">
        <f>(VLOOKUP($D38,$C$6:$AJ$992,17,)/VLOOKUP($D38,$C$6:$AJ$992,4,))*$F38</f>
        <v>2804587.562844669</v>
      </c>
      <c r="T38" s="27">
        <f>(VLOOKUP($D38,$C$6:$AJ$992,18,)/VLOOKUP($D38,$C$6:$AJ$992,4,))*$F38</f>
        <v>1053844.8635876521</v>
      </c>
      <c r="U38" s="27">
        <f>(VLOOKUP($D38,$C$6:$AJ$992,19,)/VLOOKUP($D38,$C$6:$AJ$992,4,))*$F38</f>
        <v>0</v>
      </c>
      <c r="V38" s="27">
        <f>(VLOOKUP($D38,$C$6:$AJ$992,20,)/VLOOKUP($D38,$C$6:$AJ$992,4,))*$F38</f>
        <v>0</v>
      </c>
      <c r="W38" s="27">
        <f>SUM(G38:V38)</f>
        <v>11447232.089999998</v>
      </c>
      <c r="X38" s="125" t="str">
        <f>IF(ABS(W38-F38)&lt;1,"ok","err")</f>
        <v>ok</v>
      </c>
    </row>
    <row r="39" spans="1:24">
      <c r="A39" s="128" t="s">
        <v>61</v>
      </c>
      <c r="B39" s="25" t="s">
        <v>594</v>
      </c>
      <c r="C39" s="117" t="s">
        <v>404</v>
      </c>
      <c r="D39" s="117" t="s">
        <v>57</v>
      </c>
      <c r="F39" s="27">
        <v>85046730.269999996</v>
      </c>
      <c r="G39" s="27">
        <f>(VLOOKUP($D39,$C$6:$AJ$992,5,)/VLOOKUP($D39,$C$6:$AJ$992,4,))*$F39</f>
        <v>0</v>
      </c>
      <c r="H39" s="27">
        <f>(VLOOKUP($D39,$C$6:$AJ$992,6,)/VLOOKUP($D39,$C$6:$AJ$992,4,))*$F39</f>
        <v>0</v>
      </c>
      <c r="I39" s="27">
        <f>(VLOOKUP($D39,$C$6:$AJ$992,7,)/VLOOKUP($D39,$C$6:$AJ$992,4,))*$F39</f>
        <v>14213256.910378635</v>
      </c>
      <c r="J39" s="27">
        <f>(VLOOKUP($D39,$C$6:$AJ$992,8,)/VLOOKUP($D39,$C$6:$AJ$992,4,))*$F39</f>
        <v>0</v>
      </c>
      <c r="K39" s="27">
        <f>(VLOOKUP($D39,$C$6:$AJ$992,9,)/VLOOKUP($D39,$C$6:$AJ$992,4,))*$F39</f>
        <v>5014091.8502634661</v>
      </c>
      <c r="L39" s="27">
        <f>(VLOOKUP($D39,$C$6:$AJ$992,10,)/VLOOKUP($D39,$C$6:$AJ$992,4,))*$F39</f>
        <v>0</v>
      </c>
      <c r="M39" s="27">
        <f>(VLOOKUP($D39,$C$6:$AJ$992,11,)/VLOOKUP($D39,$C$6:$AJ$992,4,))*$F39</f>
        <v>0</v>
      </c>
      <c r="N39" s="27">
        <f>(VLOOKUP($D39,$C$6:$AJ$992,12,)/VLOOKUP($D39,$C$6:$AJ$992,4,))*$F39</f>
        <v>2601189.7062759805</v>
      </c>
      <c r="O39" s="27">
        <f>(VLOOKUP($D39,$C$6:$AJ$992,13,)/VLOOKUP($D39,$C$6:$AJ$992,4,))*$F39</f>
        <v>11815469.086340573</v>
      </c>
      <c r="P39" s="27">
        <f>(VLOOKUP($D39,$C$6:$AJ$992,14,)/VLOOKUP($D39,$C$6:$AJ$992,4,))*$F39</f>
        <v>19778186.856679801</v>
      </c>
      <c r="Q39" s="27">
        <f>(VLOOKUP($D39,$C$6:$AJ$992,15,)/VLOOKUP($D39,$C$6:$AJ$992,4,))*$F39</f>
        <v>1719366.8193541497</v>
      </c>
      <c r="R39" s="27">
        <f>(VLOOKUP($D39,$C$6:$AJ$992,16,)/VLOOKUP($D39,$C$6:$AJ$992,4,))*$F39</f>
        <v>1239107.3014270302</v>
      </c>
      <c r="S39" s="27">
        <f>(VLOOKUP($D39,$C$6:$AJ$992,17,)/VLOOKUP($D39,$C$6:$AJ$992,4,))*$F39</f>
        <v>20836565.56454489</v>
      </c>
      <c r="T39" s="27">
        <f>(VLOOKUP($D39,$C$6:$AJ$992,18,)/VLOOKUP($D39,$C$6:$AJ$992,4,))*$F39</f>
        <v>7829496.1747354595</v>
      </c>
      <c r="U39" s="27">
        <f>(VLOOKUP($D39,$C$6:$AJ$992,19,)/VLOOKUP($D39,$C$6:$AJ$992,4,))*$F39</f>
        <v>0</v>
      </c>
      <c r="V39" s="27">
        <f>(VLOOKUP($D39,$C$6:$AJ$992,20,)/VLOOKUP($D39,$C$6:$AJ$992,4,))*$F39</f>
        <v>0</v>
      </c>
      <c r="W39" s="27">
        <f>SUM(G39:V39)</f>
        <v>85046730.269999981</v>
      </c>
      <c r="X39" s="125" t="str">
        <f>IF(ABS(W39-F39)&lt;1,"ok","err")</f>
        <v>ok</v>
      </c>
    </row>
    <row r="40" spans="1:24">
      <c r="A40" s="128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125"/>
    </row>
    <row r="41" spans="1:24">
      <c r="A41" s="128" t="s">
        <v>68</v>
      </c>
      <c r="C41" s="117" t="s">
        <v>64</v>
      </c>
      <c r="F41" s="32">
        <f>F33+F36+F37+F38+F39</f>
        <v>943541178.70000017</v>
      </c>
      <c r="G41" s="27">
        <f t="shared" ref="G41:V41" si="21">G33+G36+G37+G38+G39</f>
        <v>0</v>
      </c>
      <c r="H41" s="27">
        <f t="shared" si="21"/>
        <v>0</v>
      </c>
      <c r="I41" s="27">
        <f t="shared" si="21"/>
        <v>159469134.65854159</v>
      </c>
      <c r="J41" s="27">
        <f t="shared" si="21"/>
        <v>0</v>
      </c>
      <c r="K41" s="27">
        <f t="shared" si="21"/>
        <v>55502138.460554376</v>
      </c>
      <c r="L41" s="27">
        <f t="shared" si="21"/>
        <v>0</v>
      </c>
      <c r="M41" s="27">
        <f t="shared" si="21"/>
        <v>0</v>
      </c>
      <c r="N41" s="27">
        <f t="shared" si="21"/>
        <v>28793168.444314044</v>
      </c>
      <c r="O41" s="27">
        <f t="shared" si="21"/>
        <v>130788150.83373794</v>
      </c>
      <c r="P41" s="27">
        <f t="shared" si="21"/>
        <v>218929309.27471513</v>
      </c>
      <c r="Q41" s="27">
        <f t="shared" si="21"/>
        <v>19032067.644964006</v>
      </c>
      <c r="R41" s="27">
        <f t="shared" si="21"/>
        <v>13715964.339120202</v>
      </c>
      <c r="S41" s="27">
        <f t="shared" si="21"/>
        <v>230644747.15297103</v>
      </c>
      <c r="T41" s="27">
        <f t="shared" si="21"/>
        <v>86666497.891081631</v>
      </c>
      <c r="U41" s="27">
        <f t="shared" si="21"/>
        <v>0</v>
      </c>
      <c r="V41" s="27">
        <f t="shared" si="21"/>
        <v>0</v>
      </c>
      <c r="W41" s="27">
        <f>SUM(G41:V41)</f>
        <v>943541178.69999981</v>
      </c>
      <c r="X41" s="125" t="str">
        <f>IF(ABS(W41-F41)&lt;1,"ok","err")</f>
        <v>ok</v>
      </c>
    </row>
    <row r="42" spans="1:24">
      <c r="A42" s="128"/>
      <c r="F42" s="32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125"/>
    </row>
    <row r="43" spans="1:24">
      <c r="A43" s="128"/>
      <c r="F43" s="32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125"/>
    </row>
    <row r="44" spans="1:24">
      <c r="A44" s="128"/>
      <c r="F44" s="32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125"/>
    </row>
    <row r="45" spans="1:24">
      <c r="A45" s="128"/>
      <c r="F45" s="32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25"/>
    </row>
    <row r="46" spans="1:24">
      <c r="A46" s="128"/>
      <c r="F46" s="32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125"/>
    </row>
    <row r="47" spans="1:24">
      <c r="A47" s="128"/>
      <c r="F47" s="32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125"/>
    </row>
    <row r="48" spans="1:24">
      <c r="A48" s="128"/>
      <c r="F48" s="32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125"/>
    </row>
    <row r="49" spans="1:24">
      <c r="A49" s="128"/>
      <c r="F49" s="32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125"/>
    </row>
    <row r="50" spans="1:24">
      <c r="A50" s="128"/>
      <c r="F50" s="32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125"/>
    </row>
    <row r="51" spans="1:24">
      <c r="A51" s="128"/>
      <c r="F51" s="32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125"/>
    </row>
    <row r="52" spans="1:24">
      <c r="A52" s="192" t="s">
        <v>669</v>
      </c>
      <c r="F52" s="32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125"/>
    </row>
    <row r="53" spans="1:24">
      <c r="A53" s="128"/>
      <c r="B53" s="11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125"/>
    </row>
    <row r="54" spans="1:24">
      <c r="A54" s="128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125"/>
    </row>
    <row r="55" spans="1:24">
      <c r="A55" s="128"/>
      <c r="B55" s="25" t="s">
        <v>399</v>
      </c>
      <c r="C55" s="117" t="s">
        <v>69</v>
      </c>
      <c r="D55" s="117" t="s">
        <v>25</v>
      </c>
      <c r="F55" s="32">
        <v>4752755</v>
      </c>
      <c r="G55" s="27">
        <f t="shared" ref="G55:G60" si="22">(VLOOKUP($D55,$C$6:$AJ$992,5,)/VLOOKUP($D55,$C$6:$AJ$992,4,))*$F55</f>
        <v>0</v>
      </c>
      <c r="H55" s="27">
        <f t="shared" ref="H55:H60" si="23">(VLOOKUP($D55,$C$6:$AJ$992,6,)/VLOOKUP($D55,$C$6:$AJ$992,4,))*$F55</f>
        <v>0</v>
      </c>
      <c r="I55" s="27">
        <f t="shared" ref="I55:I60" si="24">(VLOOKUP($D55,$C$6:$AJ$992,7,)/VLOOKUP($D55,$C$6:$AJ$992,4,))*$F55</f>
        <v>4752755</v>
      </c>
      <c r="J55" s="27">
        <f t="shared" ref="J55:J60" si="25">(VLOOKUP($D55,$C$6:$AJ$992,8,)/VLOOKUP($D55,$C$6:$AJ$992,4,))*$F55</f>
        <v>0</v>
      </c>
      <c r="K55" s="27">
        <f t="shared" ref="K55:K60" si="26">(VLOOKUP($D55,$C$6:$AJ$992,9,)/VLOOKUP($D55,$C$6:$AJ$992,4,))*$F55</f>
        <v>0</v>
      </c>
      <c r="L55" s="27">
        <f t="shared" ref="L55:L60" si="27">(VLOOKUP($D55,$C$6:$AJ$992,10,)/VLOOKUP($D55,$C$6:$AJ$992,4,))*$F55</f>
        <v>0</v>
      </c>
      <c r="M55" s="27">
        <f t="shared" ref="M55:M60" si="28">(VLOOKUP($D55,$C$6:$AJ$992,11,)/VLOOKUP($D55,$C$6:$AJ$992,4,))*$F55</f>
        <v>0</v>
      </c>
      <c r="N55" s="27">
        <f t="shared" ref="N55:N60" si="29">(VLOOKUP($D55,$C$6:$AJ$992,12,)/VLOOKUP($D55,$C$6:$AJ$992,4,))*$F55</f>
        <v>0</v>
      </c>
      <c r="O55" s="27">
        <f t="shared" ref="O55:O60" si="30">(VLOOKUP($D55,$C$6:$AJ$992,13,)/VLOOKUP($D55,$C$6:$AJ$992,4,))*$F55</f>
        <v>0</v>
      </c>
      <c r="P55" s="27">
        <f t="shared" ref="P55:P60" si="31">(VLOOKUP($D55,$C$6:$AJ$992,14,)/VLOOKUP($D55,$C$6:$AJ$992,4,))*$F55</f>
        <v>0</v>
      </c>
      <c r="Q55" s="27">
        <f t="shared" ref="Q55:Q60" si="32">(VLOOKUP($D55,$C$6:$AJ$992,15,)/VLOOKUP($D55,$C$6:$AJ$992,4,))*$F55</f>
        <v>0</v>
      </c>
      <c r="R55" s="27">
        <f t="shared" ref="R55:R60" si="33">(VLOOKUP($D55,$C$6:$AJ$992,16,)/VLOOKUP($D55,$C$6:$AJ$992,4,))*$F55</f>
        <v>0</v>
      </c>
      <c r="S55" s="27">
        <f t="shared" ref="S55:S60" si="34">(VLOOKUP($D55,$C$6:$AJ$992,17,)/VLOOKUP($D55,$C$6:$AJ$992,4,))*$F55</f>
        <v>0</v>
      </c>
      <c r="T55" s="27">
        <f t="shared" ref="T55:T60" si="35">(VLOOKUP($D55,$C$6:$AJ$992,18,)/VLOOKUP($D55,$C$6:$AJ$992,4,))*$F55</f>
        <v>0</v>
      </c>
      <c r="U55" s="27">
        <f t="shared" ref="U55:U60" si="36">(VLOOKUP($D55,$C$6:$AJ$992,19,)/VLOOKUP($D55,$C$6:$AJ$992,4,))*$F55</f>
        <v>0</v>
      </c>
      <c r="V55" s="27">
        <f t="shared" ref="V55:V60" si="37">(VLOOKUP($D55,$C$6:$AJ$992,20,)/VLOOKUP($D55,$C$6:$AJ$992,4,))*$F55</f>
        <v>0</v>
      </c>
      <c r="W55" s="27">
        <f>SUM(G55:V55)</f>
        <v>4752755</v>
      </c>
      <c r="X55" s="125" t="str">
        <f>IF(ABS(W55-F55)&lt;1,"ok","err")</f>
        <v>ok</v>
      </c>
    </row>
    <row r="56" spans="1:24">
      <c r="A56" s="128"/>
      <c r="B56" s="25" t="s">
        <v>4</v>
      </c>
      <c r="C56" s="117" t="s">
        <v>70</v>
      </c>
      <c r="D56" s="117" t="s">
        <v>28</v>
      </c>
      <c r="F56" s="27">
        <v>1574863.47</v>
      </c>
      <c r="G56" s="27">
        <f t="shared" si="22"/>
        <v>0</v>
      </c>
      <c r="H56" s="27">
        <f t="shared" si="23"/>
        <v>0</v>
      </c>
      <c r="I56" s="27">
        <f t="shared" si="24"/>
        <v>0</v>
      </c>
      <c r="J56" s="27">
        <f t="shared" si="25"/>
        <v>0</v>
      </c>
      <c r="K56" s="27">
        <f t="shared" si="26"/>
        <v>1574863.47</v>
      </c>
      <c r="L56" s="27">
        <f t="shared" si="27"/>
        <v>0</v>
      </c>
      <c r="M56" s="27">
        <f t="shared" si="28"/>
        <v>0</v>
      </c>
      <c r="N56" s="27">
        <f t="shared" si="29"/>
        <v>0</v>
      </c>
      <c r="O56" s="27">
        <f t="shared" si="30"/>
        <v>0</v>
      </c>
      <c r="P56" s="27">
        <f t="shared" si="31"/>
        <v>0</v>
      </c>
      <c r="Q56" s="27">
        <f t="shared" si="32"/>
        <v>0</v>
      </c>
      <c r="R56" s="27">
        <f t="shared" si="33"/>
        <v>0</v>
      </c>
      <c r="S56" s="27">
        <f t="shared" si="34"/>
        <v>0</v>
      </c>
      <c r="T56" s="27">
        <f t="shared" si="35"/>
        <v>0</v>
      </c>
      <c r="U56" s="27">
        <f t="shared" si="36"/>
        <v>0</v>
      </c>
      <c r="V56" s="27">
        <f t="shared" si="37"/>
        <v>0</v>
      </c>
      <c r="W56" s="27">
        <f t="shared" ref="W56:W61" si="38">SUM(G56:V56)</f>
        <v>1574863.47</v>
      </c>
      <c r="X56" s="125" t="str">
        <f t="shared" ref="X56:X61" si="39">IF(ABS(W56-F56)&lt;1,"ok","err")</f>
        <v>ok</v>
      </c>
    </row>
    <row r="57" spans="1:24">
      <c r="A57" s="128"/>
      <c r="B57" s="25" t="s">
        <v>8</v>
      </c>
      <c r="C57" s="117" t="s">
        <v>595</v>
      </c>
      <c r="D57" s="117" t="s">
        <v>41</v>
      </c>
      <c r="F57" s="27">
        <v>3516620.32</v>
      </c>
      <c r="G57" s="27">
        <f t="shared" si="22"/>
        <v>0</v>
      </c>
      <c r="H57" s="27">
        <f t="shared" si="23"/>
        <v>0</v>
      </c>
      <c r="I57" s="27">
        <f t="shared" si="24"/>
        <v>0</v>
      </c>
      <c r="J57" s="27">
        <f t="shared" si="25"/>
        <v>0</v>
      </c>
      <c r="K57" s="27">
        <f t="shared" si="26"/>
        <v>0</v>
      </c>
      <c r="L57" s="27">
        <f t="shared" si="27"/>
        <v>0</v>
      </c>
      <c r="M57" s="27">
        <f t="shared" si="28"/>
        <v>0</v>
      </c>
      <c r="N57" s="27">
        <f t="shared" si="29"/>
        <v>0</v>
      </c>
      <c r="O57" s="27">
        <f t="shared" si="30"/>
        <v>1202545.7939245077</v>
      </c>
      <c r="P57" s="27">
        <f t="shared" si="31"/>
        <v>2012969.2052132979</v>
      </c>
      <c r="Q57" s="27">
        <f t="shared" si="32"/>
        <v>174992.40374789585</v>
      </c>
      <c r="R57" s="27">
        <f t="shared" si="33"/>
        <v>126112.9171142983</v>
      </c>
      <c r="S57" s="27">
        <f t="shared" si="34"/>
        <v>0</v>
      </c>
      <c r="T57" s="27">
        <f t="shared" si="35"/>
        <v>0</v>
      </c>
      <c r="U57" s="27">
        <f t="shared" si="36"/>
        <v>0</v>
      </c>
      <c r="V57" s="27">
        <f t="shared" si="37"/>
        <v>0</v>
      </c>
      <c r="W57" s="27">
        <f t="shared" si="38"/>
        <v>3516620.32</v>
      </c>
      <c r="X57" s="125" t="str">
        <f t="shared" si="39"/>
        <v>ok</v>
      </c>
    </row>
    <row r="58" spans="1:24">
      <c r="A58" s="128"/>
      <c r="B58" s="25" t="s">
        <v>400</v>
      </c>
      <c r="C58" s="117" t="s">
        <v>596</v>
      </c>
      <c r="D58" s="117" t="s">
        <v>202</v>
      </c>
      <c r="F58" s="27">
        <v>0</v>
      </c>
      <c r="G58" s="27">
        <f t="shared" si="22"/>
        <v>0</v>
      </c>
      <c r="H58" s="27">
        <f t="shared" si="23"/>
        <v>0</v>
      </c>
      <c r="I58" s="27">
        <f t="shared" si="24"/>
        <v>0</v>
      </c>
      <c r="J58" s="27">
        <f t="shared" si="25"/>
        <v>0</v>
      </c>
      <c r="K58" s="27">
        <f t="shared" si="26"/>
        <v>0</v>
      </c>
      <c r="L58" s="27">
        <f t="shared" si="27"/>
        <v>0</v>
      </c>
      <c r="M58" s="27">
        <f t="shared" si="28"/>
        <v>0</v>
      </c>
      <c r="N58" s="27">
        <f t="shared" si="29"/>
        <v>0</v>
      </c>
      <c r="O58" s="27">
        <f t="shared" si="30"/>
        <v>0</v>
      </c>
      <c r="P58" s="27">
        <f t="shared" si="31"/>
        <v>0</v>
      </c>
      <c r="Q58" s="27">
        <f t="shared" si="32"/>
        <v>0</v>
      </c>
      <c r="R58" s="27">
        <f t="shared" si="33"/>
        <v>0</v>
      </c>
      <c r="S58" s="27">
        <f t="shared" si="34"/>
        <v>0</v>
      </c>
      <c r="T58" s="27">
        <f t="shared" si="35"/>
        <v>0</v>
      </c>
      <c r="U58" s="27">
        <f t="shared" si="36"/>
        <v>0</v>
      </c>
      <c r="V58" s="27">
        <f t="shared" si="37"/>
        <v>0</v>
      </c>
      <c r="W58" s="27">
        <f t="shared" si="38"/>
        <v>0</v>
      </c>
      <c r="X58" s="125" t="str">
        <f t="shared" si="39"/>
        <v>ok</v>
      </c>
    </row>
    <row r="59" spans="1:24">
      <c r="A59" s="128"/>
      <c r="B59" s="25" t="s">
        <v>719</v>
      </c>
      <c r="C59" s="117" t="s">
        <v>71</v>
      </c>
      <c r="D59" s="117" t="s">
        <v>57</v>
      </c>
      <c r="F59" s="27">
        <v>66620.22</v>
      </c>
      <c r="G59" s="27">
        <f t="shared" si="22"/>
        <v>0</v>
      </c>
      <c r="H59" s="27">
        <f t="shared" si="23"/>
        <v>0</v>
      </c>
      <c r="I59" s="27">
        <f t="shared" si="24"/>
        <v>11133.764922882145</v>
      </c>
      <c r="J59" s="27">
        <f t="shared" si="25"/>
        <v>0</v>
      </c>
      <c r="K59" s="27">
        <f t="shared" si="26"/>
        <v>3927.7218666052681</v>
      </c>
      <c r="L59" s="27">
        <f t="shared" si="27"/>
        <v>0</v>
      </c>
      <c r="M59" s="27">
        <f t="shared" si="28"/>
        <v>0</v>
      </c>
      <c r="N59" s="27">
        <f t="shared" si="29"/>
        <v>2037.6072065755764</v>
      </c>
      <c r="O59" s="27">
        <f t="shared" si="30"/>
        <v>9255.48986346948</v>
      </c>
      <c r="P59" s="27">
        <f t="shared" si="31"/>
        <v>15492.978453257552</v>
      </c>
      <c r="Q59" s="27">
        <f t="shared" si="32"/>
        <v>1346.8430285611933</v>
      </c>
      <c r="R59" s="27">
        <f t="shared" si="33"/>
        <v>970.63815108003303</v>
      </c>
      <c r="S59" s="27">
        <f t="shared" si="34"/>
        <v>16322.045274961807</v>
      </c>
      <c r="T59" s="27">
        <f t="shared" si="35"/>
        <v>6133.1312326069365</v>
      </c>
      <c r="U59" s="27">
        <f t="shared" si="36"/>
        <v>0</v>
      </c>
      <c r="V59" s="27">
        <f t="shared" si="37"/>
        <v>0</v>
      </c>
      <c r="W59" s="27">
        <f t="shared" si="38"/>
        <v>66620.219999999987</v>
      </c>
      <c r="X59" s="125" t="str">
        <f t="shared" si="39"/>
        <v>ok</v>
      </c>
    </row>
    <row r="60" spans="1:24">
      <c r="A60" s="128"/>
      <c r="B60" s="25" t="s">
        <v>401</v>
      </c>
      <c r="D60" s="117" t="s">
        <v>57</v>
      </c>
      <c r="F60" s="27">
        <v>3946390.68</v>
      </c>
      <c r="G60" s="27">
        <f t="shared" si="22"/>
        <v>0</v>
      </c>
      <c r="H60" s="27">
        <f t="shared" si="23"/>
        <v>0</v>
      </c>
      <c r="I60" s="27">
        <f t="shared" si="24"/>
        <v>659532.28801965853</v>
      </c>
      <c r="J60" s="27">
        <f t="shared" si="25"/>
        <v>0</v>
      </c>
      <c r="K60" s="27">
        <f t="shared" si="26"/>
        <v>232666.97360055603</v>
      </c>
      <c r="L60" s="27">
        <f t="shared" si="27"/>
        <v>0</v>
      </c>
      <c r="M60" s="27">
        <f t="shared" si="28"/>
        <v>0</v>
      </c>
      <c r="N60" s="27">
        <f t="shared" si="29"/>
        <v>120702.00442944634</v>
      </c>
      <c r="O60" s="27">
        <f t="shared" si="30"/>
        <v>548268.66281784163</v>
      </c>
      <c r="P60" s="27">
        <f t="shared" si="31"/>
        <v>917759.58970679494</v>
      </c>
      <c r="Q60" s="27">
        <f t="shared" si="32"/>
        <v>79783.11652733761</v>
      </c>
      <c r="R60" s="27">
        <f t="shared" si="33"/>
        <v>57497.819026635974</v>
      </c>
      <c r="S60" s="27">
        <f t="shared" si="34"/>
        <v>966871.12939055613</v>
      </c>
      <c r="T60" s="27">
        <f t="shared" si="35"/>
        <v>363309.09648117237</v>
      </c>
      <c r="U60" s="27">
        <f t="shared" si="36"/>
        <v>0</v>
      </c>
      <c r="V60" s="27">
        <f t="shared" si="37"/>
        <v>0</v>
      </c>
      <c r="W60" s="27">
        <f>SUM(G60:V60)</f>
        <v>3946390.6799999997</v>
      </c>
      <c r="X60" s="125" t="str">
        <f>IF(ABS(W60-F60)&lt;1,"ok","err")</f>
        <v>ok</v>
      </c>
    </row>
    <row r="61" spans="1:24">
      <c r="C61" s="117" t="s">
        <v>72</v>
      </c>
      <c r="F61" s="32">
        <f t="shared" ref="F61:V61" si="40">+SUM(F55:F60)</f>
        <v>13857249.689999999</v>
      </c>
      <c r="G61" s="32">
        <f t="shared" si="40"/>
        <v>0</v>
      </c>
      <c r="H61" s="32">
        <f t="shared" si="40"/>
        <v>0</v>
      </c>
      <c r="I61" s="32">
        <f t="shared" si="40"/>
        <v>5423421.0529425405</v>
      </c>
      <c r="J61" s="32">
        <f t="shared" si="40"/>
        <v>0</v>
      </c>
      <c r="K61" s="32">
        <f t="shared" si="40"/>
        <v>1811458.1654671612</v>
      </c>
      <c r="L61" s="32">
        <f t="shared" si="40"/>
        <v>0</v>
      </c>
      <c r="M61" s="32">
        <f t="shared" si="40"/>
        <v>0</v>
      </c>
      <c r="N61" s="32">
        <f t="shared" si="40"/>
        <v>122739.61163602192</v>
      </c>
      <c r="O61" s="32">
        <f t="shared" si="40"/>
        <v>1760069.9466058188</v>
      </c>
      <c r="P61" s="32">
        <f t="shared" si="40"/>
        <v>2946221.7733733505</v>
      </c>
      <c r="Q61" s="32">
        <f t="shared" si="40"/>
        <v>256122.36330379464</v>
      </c>
      <c r="R61" s="32">
        <f t="shared" si="40"/>
        <v>184581.37429201428</v>
      </c>
      <c r="S61" s="32">
        <f t="shared" si="40"/>
        <v>983193.17466551799</v>
      </c>
      <c r="T61" s="32">
        <f t="shared" si="40"/>
        <v>369442.22771377931</v>
      </c>
      <c r="U61" s="32">
        <f t="shared" si="40"/>
        <v>0</v>
      </c>
      <c r="V61" s="32">
        <f t="shared" si="40"/>
        <v>0</v>
      </c>
      <c r="W61" s="27">
        <f t="shared" si="38"/>
        <v>13857249.689999999</v>
      </c>
      <c r="X61" s="125" t="str">
        <f t="shared" si="39"/>
        <v>ok</v>
      </c>
    </row>
    <row r="62" spans="1:24">
      <c r="A62" s="1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125"/>
    </row>
    <row r="63" spans="1:24">
      <c r="A63" s="128"/>
      <c r="C63" s="117" t="s">
        <v>73</v>
      </c>
      <c r="F63" s="32">
        <f t="shared" ref="F63:V63" si="41">F41+F61</f>
        <v>957398428.39000022</v>
      </c>
      <c r="G63" s="27">
        <f t="shared" si="41"/>
        <v>0</v>
      </c>
      <c r="H63" s="27">
        <f t="shared" si="41"/>
        <v>0</v>
      </c>
      <c r="I63" s="27">
        <f t="shared" si="41"/>
        <v>164892555.71148413</v>
      </c>
      <c r="J63" s="27">
        <f t="shared" si="41"/>
        <v>0</v>
      </c>
      <c r="K63" s="27">
        <f t="shared" si="41"/>
        <v>57313596.626021534</v>
      </c>
      <c r="L63" s="27">
        <f t="shared" si="41"/>
        <v>0</v>
      </c>
      <c r="M63" s="27">
        <f t="shared" si="41"/>
        <v>0</v>
      </c>
      <c r="N63" s="27">
        <f t="shared" si="41"/>
        <v>28915908.055950064</v>
      </c>
      <c r="O63" s="27">
        <f t="shared" si="41"/>
        <v>132548220.78034376</v>
      </c>
      <c r="P63" s="27">
        <f t="shared" si="41"/>
        <v>221875531.04808849</v>
      </c>
      <c r="Q63" s="27">
        <f t="shared" si="41"/>
        <v>19288190.008267801</v>
      </c>
      <c r="R63" s="27">
        <f t="shared" si="41"/>
        <v>13900545.713412216</v>
      </c>
      <c r="S63" s="27">
        <f t="shared" si="41"/>
        <v>231627940.32763654</v>
      </c>
      <c r="T63" s="27">
        <f t="shared" si="41"/>
        <v>87035940.11879541</v>
      </c>
      <c r="U63" s="27">
        <f t="shared" si="41"/>
        <v>0</v>
      </c>
      <c r="V63" s="27">
        <f t="shared" si="41"/>
        <v>0</v>
      </c>
      <c r="W63" s="27">
        <f>SUM(G63:V63)</f>
        <v>957398428.38999987</v>
      </c>
      <c r="X63" s="125" t="str">
        <f>IF(ABS(W63-F63)&lt;1,"ok","err")</f>
        <v>ok</v>
      </c>
    </row>
    <row r="64" spans="1:24">
      <c r="A64" s="128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125"/>
    </row>
    <row r="65" spans="6:20">
      <c r="F65" s="27"/>
      <c r="T65" s="33">
        <f>T63+S63+R63+Q63+P63+O63+N63+M63</f>
        <v>735192276.05249429</v>
      </c>
    </row>
    <row r="66" spans="6:20">
      <c r="F66" s="27"/>
    </row>
    <row r="67" spans="6:20">
      <c r="F67" s="27"/>
    </row>
    <row r="68" spans="6:20">
      <c r="F68" s="130"/>
    </row>
    <row r="91" spans="1:24">
      <c r="F91" s="27"/>
    </row>
    <row r="93" spans="1:24">
      <c r="A93" s="128"/>
      <c r="F93" s="32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125"/>
    </row>
    <row r="95" spans="1:24">
      <c r="A95" s="119" t="s">
        <v>92</v>
      </c>
    </row>
    <row r="97" spans="1:25">
      <c r="A97" s="13" t="s">
        <v>597</v>
      </c>
      <c r="F97" s="33">
        <f>F63</f>
        <v>957398428.39000022</v>
      </c>
      <c r="G97" s="33">
        <f t="shared" ref="G97:V97" si="42">G63</f>
        <v>0</v>
      </c>
      <c r="H97" s="33">
        <f t="shared" si="42"/>
        <v>0</v>
      </c>
      <c r="I97" s="33">
        <f t="shared" si="42"/>
        <v>164892555.71148413</v>
      </c>
      <c r="J97" s="33">
        <f t="shared" si="42"/>
        <v>0</v>
      </c>
      <c r="K97" s="33">
        <f t="shared" si="42"/>
        <v>57313596.626021534</v>
      </c>
      <c r="L97" s="33">
        <f t="shared" si="42"/>
        <v>0</v>
      </c>
      <c r="M97" s="33">
        <f t="shared" si="42"/>
        <v>0</v>
      </c>
      <c r="N97" s="33">
        <f t="shared" si="42"/>
        <v>28915908.055950064</v>
      </c>
      <c r="O97" s="33">
        <f t="shared" si="42"/>
        <v>132548220.78034376</v>
      </c>
      <c r="P97" s="33">
        <f t="shared" si="42"/>
        <v>221875531.04808849</v>
      </c>
      <c r="Q97" s="33">
        <f t="shared" si="42"/>
        <v>19288190.008267801</v>
      </c>
      <c r="R97" s="33">
        <f t="shared" si="42"/>
        <v>13900545.713412216</v>
      </c>
      <c r="S97" s="33">
        <f t="shared" si="42"/>
        <v>231627940.32763654</v>
      </c>
      <c r="T97" s="33">
        <f t="shared" si="42"/>
        <v>87035940.11879541</v>
      </c>
      <c r="U97" s="33">
        <f t="shared" si="42"/>
        <v>0</v>
      </c>
      <c r="V97" s="33">
        <f t="shared" si="42"/>
        <v>0</v>
      </c>
      <c r="W97" s="27">
        <f>SUM(G97:V97)</f>
        <v>957398428.38999987</v>
      </c>
      <c r="X97" s="125" t="str">
        <f>IF(ABS(W97-F97)&lt;1,"ok","err")</f>
        <v>ok</v>
      </c>
    </row>
    <row r="98" spans="1:25">
      <c r="A98" s="128"/>
      <c r="F98" s="32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125"/>
    </row>
    <row r="99" spans="1:25">
      <c r="A99" s="13" t="s">
        <v>74</v>
      </c>
      <c r="F99" s="33"/>
    </row>
    <row r="100" spans="1:25">
      <c r="A100" s="13"/>
      <c r="F100" s="33"/>
    </row>
    <row r="101" spans="1:25">
      <c r="A101" s="13" t="s">
        <v>94</v>
      </c>
    </row>
    <row r="102" spans="1:25">
      <c r="A102" s="25" t="s">
        <v>399</v>
      </c>
      <c r="C102" s="117" t="s">
        <v>75</v>
      </c>
      <c r="D102" s="117" t="s">
        <v>200</v>
      </c>
      <c r="F102" s="32">
        <v>36743575.43</v>
      </c>
      <c r="G102" s="27">
        <f>(VLOOKUP($D102,$C$6:$AJ$992,5,)/VLOOKUP($D102,$C$6:$AJ$992,4,))*$F102</f>
        <v>0</v>
      </c>
      <c r="H102" s="27">
        <f>(VLOOKUP($D102,$C$6:$AJ$992,6,)/VLOOKUP($D102,$C$6:$AJ$992,4,))*$F102</f>
        <v>0</v>
      </c>
      <c r="I102" s="27">
        <f>(VLOOKUP($D102,$C$6:$AJ$992,7,)/VLOOKUP($D102,$C$6:$AJ$992,4,))*$F102</f>
        <v>36743575.43</v>
      </c>
      <c r="J102" s="27">
        <f>(VLOOKUP($D102,$C$6:$AJ$992,8,)/VLOOKUP($D102,$C$6:$AJ$992,4,))*$F102</f>
        <v>0</v>
      </c>
      <c r="K102" s="27">
        <f>(VLOOKUP($D102,$C$6:$AJ$992,9,)/VLOOKUP($D102,$C$6:$AJ$992,4,))*$F102</f>
        <v>0</v>
      </c>
      <c r="L102" s="27">
        <f>(VLOOKUP($D102,$C$6:$AJ$992,10,)/VLOOKUP($D102,$C$6:$AJ$992,4,))*$F102</f>
        <v>0</v>
      </c>
      <c r="M102" s="27">
        <f>(VLOOKUP($D102,$C$6:$AJ$992,11,)/VLOOKUP($D102,$C$6:$AJ$992,4,))*$F102</f>
        <v>0</v>
      </c>
      <c r="N102" s="27">
        <f>(VLOOKUP($D102,$C$6:$AJ$992,12,)/VLOOKUP($D102,$C$6:$AJ$992,4,))*$F102</f>
        <v>0</v>
      </c>
      <c r="O102" s="27">
        <f>(VLOOKUP($D102,$C$6:$AJ$992,13,)/VLOOKUP($D102,$C$6:$AJ$992,4,))*$F102</f>
        <v>0</v>
      </c>
      <c r="P102" s="27">
        <f>(VLOOKUP($D102,$C$6:$AJ$992,14,)/VLOOKUP($D102,$C$6:$AJ$992,4,))*$F102</f>
        <v>0</v>
      </c>
      <c r="Q102" s="27">
        <f>(VLOOKUP($D102,$C$6:$AJ$992,15,)/VLOOKUP($D102,$C$6:$AJ$992,4,))*$F102</f>
        <v>0</v>
      </c>
      <c r="R102" s="27">
        <f>(VLOOKUP($D102,$C$6:$AJ$992,16,)/VLOOKUP($D102,$C$6:$AJ$992,4,))*$F102</f>
        <v>0</v>
      </c>
      <c r="S102" s="27">
        <f>(VLOOKUP($D102,$C$6:$AJ$992,17,)/VLOOKUP($D102,$C$6:$AJ$992,4,))*$F102</f>
        <v>0</v>
      </c>
      <c r="T102" s="27">
        <f>(VLOOKUP($D102,$C$6:$AJ$992,18,)/VLOOKUP($D102,$C$6:$AJ$992,4,))*$F102</f>
        <v>0</v>
      </c>
      <c r="U102" s="27">
        <f>(VLOOKUP($D102,$C$6:$AJ$992,19,)/VLOOKUP($D102,$C$6:$AJ$992,4,))*$F102</f>
        <v>0</v>
      </c>
      <c r="V102" s="27">
        <f>(VLOOKUP($D102,$C$6:$AJ$992,20,)/VLOOKUP($D102,$C$6:$AJ$992,4,))*$F102</f>
        <v>0</v>
      </c>
      <c r="W102" s="27">
        <f>SUM(G102:V102)</f>
        <v>36743575.43</v>
      </c>
      <c r="X102" s="125" t="str">
        <f>IF(ABS(W102-F102)&lt;1,"ok","err")</f>
        <v>ok</v>
      </c>
    </row>
    <row r="103" spans="1:25">
      <c r="A103" s="25" t="s">
        <v>4</v>
      </c>
      <c r="C103" s="117" t="s">
        <v>402</v>
      </c>
      <c r="D103" s="117" t="s">
        <v>28</v>
      </c>
      <c r="F103" s="27">
        <v>11413011.060000001</v>
      </c>
      <c r="G103" s="27">
        <f>(VLOOKUP($D103,$C$6:$AJ$992,5,)/VLOOKUP($D103,$C$6:$AJ$992,4,))*$F103</f>
        <v>0</v>
      </c>
      <c r="H103" s="27">
        <f>(VLOOKUP($D103,$C$6:$AJ$992,6,)/VLOOKUP($D103,$C$6:$AJ$992,4,))*$F103</f>
        <v>0</v>
      </c>
      <c r="I103" s="27">
        <f>(VLOOKUP($D103,$C$6:$AJ$992,7,)/VLOOKUP($D103,$C$6:$AJ$992,4,))*$F103</f>
        <v>0</v>
      </c>
      <c r="J103" s="27">
        <f>(VLOOKUP($D103,$C$6:$AJ$992,8,)/VLOOKUP($D103,$C$6:$AJ$992,4,))*$F103</f>
        <v>0</v>
      </c>
      <c r="K103" s="27">
        <f>(VLOOKUP($D103,$C$6:$AJ$992,9,)/VLOOKUP($D103,$C$6:$AJ$992,4,))*$F103</f>
        <v>11413011.060000001</v>
      </c>
      <c r="L103" s="27">
        <f>(VLOOKUP($D103,$C$6:$AJ$992,10,)/VLOOKUP($D103,$C$6:$AJ$992,4,))*$F103</f>
        <v>0</v>
      </c>
      <c r="M103" s="27">
        <f>(VLOOKUP($D103,$C$6:$AJ$992,11,)/VLOOKUP($D103,$C$6:$AJ$992,4,))*$F103</f>
        <v>0</v>
      </c>
      <c r="N103" s="27">
        <f>(VLOOKUP($D103,$C$6:$AJ$992,12,)/VLOOKUP($D103,$C$6:$AJ$992,4,))*$F103</f>
        <v>0</v>
      </c>
      <c r="O103" s="27">
        <f>(VLOOKUP($D103,$C$6:$AJ$992,13,)/VLOOKUP($D103,$C$6:$AJ$992,4,))*$F103</f>
        <v>0</v>
      </c>
      <c r="P103" s="27">
        <f>(VLOOKUP($D103,$C$6:$AJ$992,14,)/VLOOKUP($D103,$C$6:$AJ$992,4,))*$F103</f>
        <v>0</v>
      </c>
      <c r="Q103" s="27">
        <f>(VLOOKUP($D103,$C$6:$AJ$992,15,)/VLOOKUP($D103,$C$6:$AJ$992,4,))*$F103</f>
        <v>0</v>
      </c>
      <c r="R103" s="27">
        <f>(VLOOKUP($D103,$C$6:$AJ$992,16,)/VLOOKUP($D103,$C$6:$AJ$992,4,))*$F103</f>
        <v>0</v>
      </c>
      <c r="S103" s="27">
        <f>(VLOOKUP($D103,$C$6:$AJ$992,17,)/VLOOKUP($D103,$C$6:$AJ$992,4,))*$F103</f>
        <v>0</v>
      </c>
      <c r="T103" s="27">
        <f>(VLOOKUP($D103,$C$6:$AJ$992,18,)/VLOOKUP($D103,$C$6:$AJ$992,4,))*$F103</f>
        <v>0</v>
      </c>
      <c r="U103" s="27">
        <f>(VLOOKUP($D103,$C$6:$AJ$992,19,)/VLOOKUP($D103,$C$6:$AJ$992,4,))*$F103</f>
        <v>0</v>
      </c>
      <c r="V103" s="27">
        <f>(VLOOKUP($D103,$C$6:$AJ$992,20,)/VLOOKUP($D103,$C$6:$AJ$992,4,))*$F103</f>
        <v>0</v>
      </c>
      <c r="W103" s="27">
        <f>SUM(G103:V103)</f>
        <v>11413011.060000001</v>
      </c>
      <c r="X103" s="125" t="str">
        <f>IF(ABS(W103-F103)&lt;1,"ok","err")</f>
        <v>ok</v>
      </c>
    </row>
    <row r="104" spans="1:25">
      <c r="A104" s="25" t="s">
        <v>5</v>
      </c>
      <c r="C104" s="117" t="s">
        <v>76</v>
      </c>
      <c r="D104" s="117" t="s">
        <v>678</v>
      </c>
      <c r="F104" s="27">
        <v>239022406.97</v>
      </c>
      <c r="G104" s="27">
        <f>(VLOOKUP($D104,$C$6:$AJ$992,5,)/VLOOKUP($D104,$C$6:$AJ$992,4,))*$F104</f>
        <v>0</v>
      </c>
      <c r="H104" s="27">
        <f>(VLOOKUP($D104,$C$6:$AJ$992,6,)/VLOOKUP($D104,$C$6:$AJ$992,4,))*$F104</f>
        <v>0</v>
      </c>
      <c r="I104" s="27">
        <f>(VLOOKUP($D104,$C$6:$AJ$992,7,)/VLOOKUP($D104,$C$6:$AJ$992,4,))*$F104</f>
        <v>0</v>
      </c>
      <c r="J104" s="27">
        <f>(VLOOKUP($D104,$C$6:$AJ$992,8,)/VLOOKUP($D104,$C$6:$AJ$992,4,))*$F104</f>
        <v>0</v>
      </c>
      <c r="K104" s="27">
        <f>(VLOOKUP($D104,$C$6:$AJ$992,9,)/VLOOKUP($D104,$C$6:$AJ$992,4,))*$F104</f>
        <v>0</v>
      </c>
      <c r="L104" s="27">
        <f>(VLOOKUP($D104,$C$6:$AJ$992,10,)/VLOOKUP($D104,$C$6:$AJ$992,4,))*$F104</f>
        <v>0</v>
      </c>
      <c r="M104" s="27">
        <f>(VLOOKUP($D104,$C$6:$AJ$992,11,)/VLOOKUP($D104,$C$6:$AJ$992,4,))*$F104</f>
        <v>0</v>
      </c>
      <c r="N104" s="27">
        <f>(VLOOKUP($D104,$C$6:$AJ$992,12,)/VLOOKUP($D104,$C$6:$AJ$992,4,))*$F104</f>
        <v>4247003.7563030412</v>
      </c>
      <c r="O104" s="27">
        <f>(VLOOKUP($D104,$C$6:$AJ$992,13,)/VLOOKUP($D104,$C$6:$AJ$992,4,))*$F104</f>
        <v>42917844.96119871</v>
      </c>
      <c r="P104" s="27">
        <f>(VLOOKUP($D104,$C$6:$AJ$992,14,)/VLOOKUP($D104,$C$6:$AJ$992,4,))*$F104</f>
        <v>71841172.866332576</v>
      </c>
      <c r="Q104" s="27">
        <f>(VLOOKUP($D104,$C$6:$AJ$992,15,)/VLOOKUP($D104,$C$6:$AJ$992,4,))*$F104</f>
        <v>6245331.272524626</v>
      </c>
      <c r="R104" s="27">
        <f>(VLOOKUP($D104,$C$6:$AJ$992,16,)/VLOOKUP($D104,$C$6:$AJ$992,4,))*$F104</f>
        <v>4500863.6275316244</v>
      </c>
      <c r="S104" s="27">
        <f>(VLOOKUP($D104,$C$6:$AJ$992,17,)/VLOOKUP($D104,$C$6:$AJ$992,4,))*$F104</f>
        <v>90457372.204854742</v>
      </c>
      <c r="T104" s="27">
        <f>(VLOOKUP($D104,$C$6:$AJ$992,18,)/VLOOKUP($D104,$C$6:$AJ$992,4,))*$F104</f>
        <v>18812818.281254679</v>
      </c>
      <c r="U104" s="27">
        <f>(VLOOKUP($D104,$C$6:$AJ$992,19,)/VLOOKUP($D104,$C$6:$AJ$992,4,))*$F104</f>
        <v>0</v>
      </c>
      <c r="V104" s="27">
        <f>(VLOOKUP($D104,$C$6:$AJ$992,20,)/VLOOKUP($D104,$C$6:$AJ$992,4,))*$F104</f>
        <v>0</v>
      </c>
      <c r="W104" s="27">
        <f>SUM(G104:V104)</f>
        <v>239022406.97</v>
      </c>
      <c r="X104" s="125" t="str">
        <f>IF(ABS(W104-F104)&lt;1,"ok","err")</f>
        <v>ok</v>
      </c>
    </row>
    <row r="105" spans="1:25">
      <c r="A105" s="25" t="s">
        <v>718</v>
      </c>
      <c r="C105" s="117" t="s">
        <v>77</v>
      </c>
      <c r="D105" s="117" t="s">
        <v>63</v>
      </c>
      <c r="F105" s="27">
        <v>5846697.4299999997</v>
      </c>
      <c r="G105" s="27">
        <f>(VLOOKUP($D105,$C$6:$AJ$992,5,)/VLOOKUP($D105,$C$6:$AJ$992,4,))*$F105</f>
        <v>0</v>
      </c>
      <c r="H105" s="27">
        <f>(VLOOKUP($D105,$C$6:$AJ$992,6,)/VLOOKUP($D105,$C$6:$AJ$992,4,))*$F105</f>
        <v>0</v>
      </c>
      <c r="I105" s="27">
        <f>(VLOOKUP($D105,$C$6:$AJ$992,7,)/VLOOKUP($D105,$C$6:$AJ$992,4,))*$F105</f>
        <v>977117.07888144429</v>
      </c>
      <c r="J105" s="27">
        <f>(VLOOKUP($D105,$C$6:$AJ$992,8,)/VLOOKUP($D105,$C$6:$AJ$992,4,))*$F105</f>
        <v>0</v>
      </c>
      <c r="K105" s="27">
        <f>(VLOOKUP($D105,$C$6:$AJ$992,9,)/VLOOKUP($D105,$C$6:$AJ$992,4,))*$F105</f>
        <v>344703.17485045566</v>
      </c>
      <c r="L105" s="27">
        <f>(VLOOKUP($D105,$C$6:$AJ$992,10,)/VLOOKUP($D105,$C$6:$AJ$992,4,))*$F105</f>
        <v>0</v>
      </c>
      <c r="M105" s="27">
        <f>(VLOOKUP($D105,$C$6:$AJ$992,11,)/VLOOKUP($D105,$C$6:$AJ$992,4,))*$F105</f>
        <v>0</v>
      </c>
      <c r="N105" s="27">
        <f>(VLOOKUP($D105,$C$6:$AJ$992,12,)/VLOOKUP($D105,$C$6:$AJ$992,4,))*$F105</f>
        <v>178823.67872749295</v>
      </c>
      <c r="O105" s="27">
        <f>(VLOOKUP($D105,$C$6:$AJ$992,13,)/VLOOKUP($D105,$C$6:$AJ$992,4,))*$F105</f>
        <v>812276.64511071949</v>
      </c>
      <c r="P105" s="27">
        <f>(VLOOKUP($D105,$C$6:$AJ$992,14,)/VLOOKUP($D105,$C$6:$AJ$992,4,))*$F105</f>
        <v>1359688.6546713042</v>
      </c>
      <c r="Q105" s="27">
        <f>(VLOOKUP($D105,$C$6:$AJ$992,15,)/VLOOKUP($D105,$C$6:$AJ$992,4,))*$F105</f>
        <v>118201.10581595416</v>
      </c>
      <c r="R105" s="27">
        <f>(VLOOKUP($D105,$C$6:$AJ$992,16,)/VLOOKUP($D105,$C$6:$AJ$992,4,))*$F105</f>
        <v>85184.761974361245</v>
      </c>
      <c r="S105" s="27">
        <f>(VLOOKUP($D105,$C$6:$AJ$992,17,)/VLOOKUP($D105,$C$6:$AJ$992,4,))*$F105</f>
        <v>1432448.8895633013</v>
      </c>
      <c r="T105" s="27">
        <f>(VLOOKUP($D105,$C$6:$AJ$992,18,)/VLOOKUP($D105,$C$6:$AJ$992,4,))*$F105</f>
        <v>538253.44040496578</v>
      </c>
      <c r="U105" s="27">
        <f>(VLOOKUP($D105,$C$6:$AJ$992,19,)/VLOOKUP($D105,$C$6:$AJ$992,4,))*$F105</f>
        <v>0</v>
      </c>
      <c r="V105" s="27">
        <f>(VLOOKUP($D105,$C$6:$AJ$992,20,)/VLOOKUP($D105,$C$6:$AJ$992,4,))*$F105</f>
        <v>0</v>
      </c>
      <c r="W105" s="27">
        <f>SUM(G105:V105)</f>
        <v>5846697.4299999988</v>
      </c>
      <c r="X105" s="125" t="str">
        <f>IF(ABS(W105-F105)&lt;1,"ok","err")</f>
        <v>ok</v>
      </c>
    </row>
    <row r="106" spans="1:25" ht="12.75" customHeight="1">
      <c r="A106" s="25" t="s">
        <v>401</v>
      </c>
      <c r="C106" s="117" t="s">
        <v>403</v>
      </c>
      <c r="D106" s="117" t="s">
        <v>404</v>
      </c>
      <c r="F106" s="27">
        <v>47558890.490000002</v>
      </c>
      <c r="G106" s="27">
        <f>(VLOOKUP($D106,$C$6:$AJ$992,5,)/VLOOKUP($D106,$C$6:$AJ$992,4,))*$F106</f>
        <v>0</v>
      </c>
      <c r="H106" s="27">
        <f>(VLOOKUP($D106,$C$6:$AJ$992,6,)/VLOOKUP($D106,$C$6:$AJ$992,4,))*$F106</f>
        <v>0</v>
      </c>
      <c r="I106" s="27">
        <f>(VLOOKUP($D106,$C$6:$AJ$992,7,)/VLOOKUP($D106,$C$6:$AJ$992,4,))*$F106</f>
        <v>7948180.0977053996</v>
      </c>
      <c r="J106" s="27">
        <f>(VLOOKUP($D106,$C$6:$AJ$992,8,)/VLOOKUP($D106,$C$6:$AJ$992,4,))*$F106</f>
        <v>0</v>
      </c>
      <c r="K106" s="27">
        <f>(VLOOKUP($D106,$C$6:$AJ$992,9,)/VLOOKUP($D106,$C$6:$AJ$992,4,))*$F106</f>
        <v>2803924.9064181768</v>
      </c>
      <c r="L106" s="27">
        <f>(VLOOKUP($D106,$C$6:$AJ$992,10,)/VLOOKUP($D106,$C$6:$AJ$992,4,))*$F106</f>
        <v>0</v>
      </c>
      <c r="M106" s="27">
        <f>(VLOOKUP($D106,$C$6:$AJ$992,11,)/VLOOKUP($D106,$C$6:$AJ$992,4,))*$F106</f>
        <v>0</v>
      </c>
      <c r="N106" s="27">
        <f>(VLOOKUP($D106,$C$6:$AJ$992,12,)/VLOOKUP($D106,$C$6:$AJ$992,4,))*$F106</f>
        <v>1454608.4957264124</v>
      </c>
      <c r="O106" s="27">
        <f>(VLOOKUP($D106,$C$6:$AJ$992,13,)/VLOOKUP($D106,$C$6:$AJ$992,4,))*$F106</f>
        <v>6607315.7496034997</v>
      </c>
      <c r="P106" s="27">
        <f>(VLOOKUP($D106,$C$6:$AJ$992,14,)/VLOOKUP($D106,$C$6:$AJ$992,4,))*$F106</f>
        <v>11060138.582886782</v>
      </c>
      <c r="Q106" s="27">
        <f>(VLOOKUP($D106,$C$6:$AJ$992,15,)/VLOOKUP($D106,$C$6:$AJ$992,4,))*$F106</f>
        <v>961485.26832486806</v>
      </c>
      <c r="R106" s="27">
        <f>(VLOOKUP($D106,$C$6:$AJ$992,16,)/VLOOKUP($D106,$C$6:$AJ$992,4,))*$F106</f>
        <v>692919.8602561109</v>
      </c>
      <c r="S106" s="27">
        <f>(VLOOKUP($D106,$C$6:$AJ$992,17,)/VLOOKUP($D106,$C$6:$AJ$992,4,))*$F106</f>
        <v>11651993.400873346</v>
      </c>
      <c r="T106" s="27">
        <f>(VLOOKUP($D106,$C$6:$AJ$992,18,)/VLOOKUP($D106,$C$6:$AJ$992,4,))*$F106</f>
        <v>4378324.1282054009</v>
      </c>
      <c r="U106" s="27">
        <f>(VLOOKUP($D106,$C$6:$AJ$992,19,)/VLOOKUP($D106,$C$6:$AJ$992,4,))*$F106</f>
        <v>0</v>
      </c>
      <c r="V106" s="27">
        <f>(VLOOKUP($D106,$C$6:$AJ$992,20,)/VLOOKUP($D106,$C$6:$AJ$992,4,))*$F106</f>
        <v>0</v>
      </c>
      <c r="W106" s="27">
        <f>SUM(G106:V106)</f>
        <v>47558890.489999995</v>
      </c>
      <c r="X106" s="125" t="str">
        <f>IF(ABS(W106-F106)&lt;1,"ok","err")</f>
        <v>ok</v>
      </c>
    </row>
    <row r="108" spans="1:25">
      <c r="A108" s="28" t="s">
        <v>78</v>
      </c>
      <c r="C108" s="117" t="s">
        <v>79</v>
      </c>
      <c r="F108" s="33">
        <f>SUM(F102:F107)</f>
        <v>340584581.38</v>
      </c>
      <c r="G108" s="33">
        <f t="shared" ref="G108:V108" si="43">SUM(G102:G107)</f>
        <v>0</v>
      </c>
      <c r="H108" s="33">
        <f t="shared" si="43"/>
        <v>0</v>
      </c>
      <c r="I108" s="33">
        <f t="shared" si="43"/>
        <v>45668872.606586844</v>
      </c>
      <c r="J108" s="33">
        <f t="shared" si="43"/>
        <v>0</v>
      </c>
      <c r="K108" s="33">
        <f t="shared" si="43"/>
        <v>14561639.141268633</v>
      </c>
      <c r="L108" s="33">
        <f t="shared" si="43"/>
        <v>0</v>
      </c>
      <c r="M108" s="33">
        <f t="shared" si="43"/>
        <v>0</v>
      </c>
      <c r="N108" s="33">
        <f t="shared" si="43"/>
        <v>5880435.9307569461</v>
      </c>
      <c r="O108" s="33">
        <f t="shared" si="43"/>
        <v>50337437.355912931</v>
      </c>
      <c r="P108" s="33">
        <f t="shared" si="43"/>
        <v>84261000.103890672</v>
      </c>
      <c r="Q108" s="33">
        <f>SUM(Q102:Q107)</f>
        <v>7325017.6466654483</v>
      </c>
      <c r="R108" s="33">
        <f>SUM(R102:R107)</f>
        <v>5278968.2497620964</v>
      </c>
      <c r="S108" s="33">
        <f t="shared" si="43"/>
        <v>103541814.4952914</v>
      </c>
      <c r="T108" s="33">
        <f t="shared" si="43"/>
        <v>23729395.849865045</v>
      </c>
      <c r="U108" s="33">
        <f t="shared" si="43"/>
        <v>0</v>
      </c>
      <c r="V108" s="33">
        <f t="shared" si="43"/>
        <v>0</v>
      </c>
      <c r="W108" s="27">
        <f>SUM(G108:V108)</f>
        <v>340584581.38</v>
      </c>
      <c r="X108" s="125" t="str">
        <f>IF(ABS(W108-F108)&lt;1,"ok","err")</f>
        <v>ok</v>
      </c>
      <c r="Y108" s="130">
        <f>+W108-F108</f>
        <v>0</v>
      </c>
    </row>
    <row r="109" spans="1:25">
      <c r="F109" s="33"/>
      <c r="G109" s="25"/>
      <c r="H109" s="25"/>
      <c r="I109" s="25"/>
      <c r="J109" s="25"/>
      <c r="K109" s="25"/>
      <c r="L109" s="25"/>
      <c r="M109" s="25"/>
      <c r="N109" s="25"/>
    </row>
    <row r="110" spans="1:25">
      <c r="A110" s="25" t="s">
        <v>598</v>
      </c>
      <c r="C110" s="117" t="s">
        <v>599</v>
      </c>
      <c r="D110" s="117" t="s">
        <v>644</v>
      </c>
      <c r="F110" s="32">
        <v>6209846.9000000004</v>
      </c>
      <c r="G110" s="27">
        <f t="shared" ref="G110:G117" si="44">(VLOOKUP($D110,$C$6:$AJ$992,5,)/VLOOKUP($D110,$C$6:$AJ$992,4,))*$F110</f>
        <v>0</v>
      </c>
      <c r="H110" s="27">
        <f t="shared" ref="H110:H117" si="45">(VLOOKUP($D110,$C$6:$AJ$992,6,)/VLOOKUP($D110,$C$6:$AJ$992,4,))*$F110</f>
        <v>0</v>
      </c>
      <c r="I110" s="27">
        <f t="shared" ref="I110:I117" si="46">(VLOOKUP($D110,$C$6:$AJ$992,7,)/VLOOKUP($D110,$C$6:$AJ$992,4,))*$F110</f>
        <v>0</v>
      </c>
      <c r="J110" s="27">
        <f t="shared" ref="J110:J117" si="47">(VLOOKUP($D110,$C$6:$AJ$992,8,)/VLOOKUP($D110,$C$6:$AJ$992,4,))*$F110</f>
        <v>0</v>
      </c>
      <c r="K110" s="27">
        <f t="shared" ref="K110:K117" si="48">(VLOOKUP($D110,$C$6:$AJ$992,9,)/VLOOKUP($D110,$C$6:$AJ$992,4,))*$F110</f>
        <v>0</v>
      </c>
      <c r="L110" s="27">
        <f t="shared" ref="L110:L117" si="49">(VLOOKUP($D110,$C$6:$AJ$992,10,)/VLOOKUP($D110,$C$6:$AJ$992,4,))*$F110</f>
        <v>0</v>
      </c>
      <c r="M110" s="27">
        <f t="shared" ref="M110:M117" si="50">(VLOOKUP($D110,$C$6:$AJ$992,11,)/VLOOKUP($D110,$C$6:$AJ$992,4,))*$F110</f>
        <v>0</v>
      </c>
      <c r="N110" s="27">
        <f t="shared" ref="N110:N117" si="51">(VLOOKUP($D110,$C$6:$AJ$992,12,)/VLOOKUP($D110,$C$6:$AJ$992,4,))*$F110</f>
        <v>0</v>
      </c>
      <c r="O110" s="27">
        <f t="shared" ref="O110:O117" si="52">(VLOOKUP($D110,$C$6:$AJ$992,13,)/VLOOKUP($D110,$C$6:$AJ$992,4,))*$F110</f>
        <v>1324679.2192071027</v>
      </c>
      <c r="P110" s="27">
        <f t="shared" ref="P110:P117" si="53">(VLOOKUP($D110,$C$6:$AJ$992,14,)/VLOOKUP($D110,$C$6:$AJ$992,4,))*$F110</f>
        <v>2217411.1693057832</v>
      </c>
      <c r="Q110" s="27">
        <f t="shared" ref="Q110:Q117" si="54">(VLOOKUP($D110,$C$6:$AJ$992,15,)/VLOOKUP($D110,$C$6:$AJ$992,4,))*$F110</f>
        <v>192765.05055780776</v>
      </c>
      <c r="R110" s="27">
        <f t="shared" ref="R110:R117" si="55">(VLOOKUP($D110,$C$6:$AJ$992,16,)/VLOOKUP($D110,$C$6:$AJ$992,4,))*$F110</f>
        <v>138921.24642480453</v>
      </c>
      <c r="S110" s="27">
        <f t="shared" ref="S110:S117" si="56">(VLOOKUP($D110,$C$6:$AJ$992,17,)/VLOOKUP($D110,$C$6:$AJ$992,4,))*$F110</f>
        <v>2336070.2145045018</v>
      </c>
      <c r="T110" s="27">
        <f t="shared" ref="T110:T117" si="57">(VLOOKUP($D110,$C$6:$AJ$992,18,)/VLOOKUP($D110,$C$6:$AJ$992,4,))*$F110</f>
        <v>0</v>
      </c>
      <c r="U110" s="27">
        <f t="shared" ref="U110:U117" si="58">(VLOOKUP($D110,$C$6:$AJ$992,19,)/VLOOKUP($D110,$C$6:$AJ$992,4,))*$F110</f>
        <v>0</v>
      </c>
      <c r="V110" s="27">
        <f t="shared" ref="V110:V117" si="59">(VLOOKUP($D110,$C$6:$AJ$992,20,)/VLOOKUP($D110,$C$6:$AJ$992,4,))*$F110</f>
        <v>0</v>
      </c>
      <c r="W110" s="27">
        <f t="shared" ref="W110:W117" si="60">SUM(G110:V110)</f>
        <v>6209846.9000000004</v>
      </c>
      <c r="X110" s="125" t="str">
        <f t="shared" ref="X110:X117" si="61">IF(ABS(W110-F110)&lt;1,"ok","err")</f>
        <v>ok</v>
      </c>
    </row>
    <row r="111" spans="1:25">
      <c r="A111" s="25" t="s">
        <v>80</v>
      </c>
      <c r="C111" s="117" t="s">
        <v>81</v>
      </c>
      <c r="D111" s="117" t="s">
        <v>57</v>
      </c>
      <c r="F111" s="27">
        <v>111741306.64</v>
      </c>
      <c r="G111" s="27">
        <f t="shared" si="44"/>
        <v>0</v>
      </c>
      <c r="H111" s="27">
        <f t="shared" si="45"/>
        <v>0</v>
      </c>
      <c r="I111" s="27">
        <f t="shared" si="46"/>
        <v>18674532.151131436</v>
      </c>
      <c r="J111" s="27">
        <f t="shared" si="47"/>
        <v>0</v>
      </c>
      <c r="K111" s="27">
        <f t="shared" si="48"/>
        <v>6587921.4072390106</v>
      </c>
      <c r="L111" s="27">
        <f t="shared" si="49"/>
        <v>0</v>
      </c>
      <c r="M111" s="27">
        <f t="shared" si="50"/>
        <v>0</v>
      </c>
      <c r="N111" s="27">
        <f t="shared" si="51"/>
        <v>3417654.4550863882</v>
      </c>
      <c r="O111" s="27">
        <f t="shared" si="52"/>
        <v>15524123.620987065</v>
      </c>
      <c r="P111" s="27">
        <f t="shared" si="53"/>
        <v>25986189.419854287</v>
      </c>
      <c r="Q111" s="27">
        <f t="shared" si="54"/>
        <v>2259043.8736227918</v>
      </c>
      <c r="R111" s="27">
        <f t="shared" si="55"/>
        <v>1628039.8845323029</v>
      </c>
      <c r="S111" s="27">
        <f t="shared" si="56"/>
        <v>27376773.388942134</v>
      </c>
      <c r="T111" s="27">
        <f t="shared" si="57"/>
        <v>10287028.438604569</v>
      </c>
      <c r="U111" s="27">
        <f t="shared" si="58"/>
        <v>0</v>
      </c>
      <c r="V111" s="27">
        <f t="shared" si="59"/>
        <v>0</v>
      </c>
      <c r="W111" s="27">
        <f t="shared" si="60"/>
        <v>111741306.63999999</v>
      </c>
      <c r="X111" s="125" t="str">
        <f t="shared" si="61"/>
        <v>ok</v>
      </c>
    </row>
    <row r="112" spans="1:25">
      <c r="A112" s="25" t="s">
        <v>749</v>
      </c>
      <c r="D112" s="117" t="s">
        <v>57</v>
      </c>
      <c r="F112" s="27">
        <v>0</v>
      </c>
      <c r="G112" s="27">
        <f t="shared" si="44"/>
        <v>0</v>
      </c>
      <c r="H112" s="27">
        <f t="shared" si="45"/>
        <v>0</v>
      </c>
      <c r="I112" s="27">
        <f t="shared" si="46"/>
        <v>0</v>
      </c>
      <c r="J112" s="27">
        <f t="shared" si="47"/>
        <v>0</v>
      </c>
      <c r="K112" s="27">
        <f t="shared" si="48"/>
        <v>0</v>
      </c>
      <c r="L112" s="27">
        <f t="shared" si="49"/>
        <v>0</v>
      </c>
      <c r="M112" s="27">
        <f t="shared" si="50"/>
        <v>0</v>
      </c>
      <c r="N112" s="27">
        <f t="shared" si="51"/>
        <v>0</v>
      </c>
      <c r="O112" s="27">
        <f t="shared" si="52"/>
        <v>0</v>
      </c>
      <c r="P112" s="27">
        <f t="shared" si="53"/>
        <v>0</v>
      </c>
      <c r="Q112" s="27">
        <f t="shared" si="54"/>
        <v>0</v>
      </c>
      <c r="R112" s="27">
        <f t="shared" si="55"/>
        <v>0</v>
      </c>
      <c r="S112" s="27">
        <f t="shared" si="56"/>
        <v>0</v>
      </c>
      <c r="T112" s="27">
        <f t="shared" si="57"/>
        <v>0</v>
      </c>
      <c r="U112" s="27">
        <f t="shared" si="58"/>
        <v>0</v>
      </c>
      <c r="V112" s="27">
        <f t="shared" si="59"/>
        <v>0</v>
      </c>
      <c r="W112" s="27">
        <f t="shared" si="60"/>
        <v>0</v>
      </c>
      <c r="X112" s="125" t="str">
        <f t="shared" si="61"/>
        <v>ok</v>
      </c>
    </row>
    <row r="113" spans="1:24">
      <c r="A113" s="25" t="s">
        <v>750</v>
      </c>
      <c r="D113" s="117" t="s">
        <v>79</v>
      </c>
      <c r="F113" s="27">
        <v>0</v>
      </c>
      <c r="G113" s="27">
        <f t="shared" si="44"/>
        <v>0</v>
      </c>
      <c r="H113" s="27">
        <f t="shared" si="45"/>
        <v>0</v>
      </c>
      <c r="I113" s="27">
        <f t="shared" si="46"/>
        <v>0</v>
      </c>
      <c r="J113" s="27">
        <f t="shared" si="47"/>
        <v>0</v>
      </c>
      <c r="K113" s="27">
        <f t="shared" si="48"/>
        <v>0</v>
      </c>
      <c r="L113" s="27">
        <f t="shared" si="49"/>
        <v>0</v>
      </c>
      <c r="M113" s="27">
        <f t="shared" si="50"/>
        <v>0</v>
      </c>
      <c r="N113" s="27">
        <f t="shared" si="51"/>
        <v>0</v>
      </c>
      <c r="O113" s="27">
        <f t="shared" si="52"/>
        <v>0</v>
      </c>
      <c r="P113" s="27">
        <f t="shared" si="53"/>
        <v>0</v>
      </c>
      <c r="Q113" s="27">
        <f t="shared" si="54"/>
        <v>0</v>
      </c>
      <c r="R113" s="27">
        <f t="shared" si="55"/>
        <v>0</v>
      </c>
      <c r="S113" s="27">
        <f t="shared" si="56"/>
        <v>0</v>
      </c>
      <c r="T113" s="27">
        <f t="shared" si="57"/>
        <v>0</v>
      </c>
      <c r="U113" s="27">
        <f t="shared" si="58"/>
        <v>0</v>
      </c>
      <c r="V113" s="27">
        <f t="shared" si="59"/>
        <v>0</v>
      </c>
      <c r="W113" s="27">
        <f t="shared" si="60"/>
        <v>0</v>
      </c>
      <c r="X113" s="125" t="str">
        <f t="shared" si="61"/>
        <v>ok</v>
      </c>
    </row>
    <row r="114" spans="1:24">
      <c r="A114" s="193" t="s">
        <v>752</v>
      </c>
      <c r="D114" s="117" t="s">
        <v>79</v>
      </c>
      <c r="F114" s="27">
        <v>0</v>
      </c>
      <c r="G114" s="27">
        <f t="shared" si="44"/>
        <v>0</v>
      </c>
      <c r="H114" s="27">
        <f t="shared" si="45"/>
        <v>0</v>
      </c>
      <c r="I114" s="27">
        <f t="shared" si="46"/>
        <v>0</v>
      </c>
      <c r="J114" s="27">
        <f t="shared" si="47"/>
        <v>0</v>
      </c>
      <c r="K114" s="27">
        <f t="shared" si="48"/>
        <v>0</v>
      </c>
      <c r="L114" s="27">
        <f t="shared" si="49"/>
        <v>0</v>
      </c>
      <c r="M114" s="27">
        <f t="shared" si="50"/>
        <v>0</v>
      </c>
      <c r="N114" s="27">
        <f t="shared" si="51"/>
        <v>0</v>
      </c>
      <c r="O114" s="27">
        <f t="shared" si="52"/>
        <v>0</v>
      </c>
      <c r="P114" s="27">
        <f t="shared" si="53"/>
        <v>0</v>
      </c>
      <c r="Q114" s="27">
        <f t="shared" si="54"/>
        <v>0</v>
      </c>
      <c r="R114" s="27">
        <f t="shared" si="55"/>
        <v>0</v>
      </c>
      <c r="S114" s="27">
        <f t="shared" si="56"/>
        <v>0</v>
      </c>
      <c r="T114" s="27">
        <f t="shared" si="57"/>
        <v>0</v>
      </c>
      <c r="U114" s="27">
        <f t="shared" si="58"/>
        <v>0</v>
      </c>
      <c r="V114" s="27">
        <f t="shared" si="59"/>
        <v>0</v>
      </c>
      <c r="W114" s="27">
        <f t="shared" si="60"/>
        <v>0</v>
      </c>
      <c r="X114" s="125" t="str">
        <f t="shared" si="61"/>
        <v>ok</v>
      </c>
    </row>
    <row r="115" spans="1:24">
      <c r="A115" s="193" t="s">
        <v>753</v>
      </c>
      <c r="D115" s="117" t="s">
        <v>79</v>
      </c>
      <c r="F115" s="27">
        <v>0</v>
      </c>
      <c r="G115" s="27">
        <f t="shared" si="44"/>
        <v>0</v>
      </c>
      <c r="H115" s="27">
        <f t="shared" si="45"/>
        <v>0</v>
      </c>
      <c r="I115" s="27">
        <f t="shared" si="46"/>
        <v>0</v>
      </c>
      <c r="J115" s="27">
        <f t="shared" si="47"/>
        <v>0</v>
      </c>
      <c r="K115" s="27">
        <f t="shared" si="48"/>
        <v>0</v>
      </c>
      <c r="L115" s="27">
        <f t="shared" si="49"/>
        <v>0</v>
      </c>
      <c r="M115" s="27">
        <f t="shared" si="50"/>
        <v>0</v>
      </c>
      <c r="N115" s="27">
        <f t="shared" si="51"/>
        <v>0</v>
      </c>
      <c r="O115" s="27">
        <f t="shared" si="52"/>
        <v>0</v>
      </c>
      <c r="P115" s="27">
        <f t="shared" si="53"/>
        <v>0</v>
      </c>
      <c r="Q115" s="27">
        <f t="shared" si="54"/>
        <v>0</v>
      </c>
      <c r="R115" s="27">
        <f t="shared" si="55"/>
        <v>0</v>
      </c>
      <c r="S115" s="27">
        <f t="shared" si="56"/>
        <v>0</v>
      </c>
      <c r="T115" s="27">
        <f t="shared" si="57"/>
        <v>0</v>
      </c>
      <c r="U115" s="27">
        <f t="shared" si="58"/>
        <v>0</v>
      </c>
      <c r="V115" s="27">
        <f t="shared" si="59"/>
        <v>0</v>
      </c>
      <c r="W115" s="27">
        <f t="shared" si="60"/>
        <v>0</v>
      </c>
      <c r="X115" s="125" t="str">
        <f t="shared" si="61"/>
        <v>ok</v>
      </c>
    </row>
    <row r="116" spans="1:24">
      <c r="A116" s="193" t="s">
        <v>754</v>
      </c>
      <c r="D116" s="117" t="s">
        <v>79</v>
      </c>
      <c r="F116" s="27">
        <v>0</v>
      </c>
      <c r="G116" s="27">
        <f t="shared" si="44"/>
        <v>0</v>
      </c>
      <c r="H116" s="27">
        <f t="shared" si="45"/>
        <v>0</v>
      </c>
      <c r="I116" s="27">
        <f t="shared" si="46"/>
        <v>0</v>
      </c>
      <c r="J116" s="27">
        <f t="shared" si="47"/>
        <v>0</v>
      </c>
      <c r="K116" s="27">
        <f t="shared" si="48"/>
        <v>0</v>
      </c>
      <c r="L116" s="27">
        <f t="shared" si="49"/>
        <v>0</v>
      </c>
      <c r="M116" s="27">
        <f t="shared" si="50"/>
        <v>0</v>
      </c>
      <c r="N116" s="27">
        <f t="shared" si="51"/>
        <v>0</v>
      </c>
      <c r="O116" s="27">
        <f t="shared" si="52"/>
        <v>0</v>
      </c>
      <c r="P116" s="27">
        <f t="shared" si="53"/>
        <v>0</v>
      </c>
      <c r="Q116" s="27">
        <f t="shared" si="54"/>
        <v>0</v>
      </c>
      <c r="R116" s="27">
        <f t="shared" si="55"/>
        <v>0</v>
      </c>
      <c r="S116" s="27">
        <f t="shared" si="56"/>
        <v>0</v>
      </c>
      <c r="T116" s="27">
        <f t="shared" si="57"/>
        <v>0</v>
      </c>
      <c r="U116" s="27">
        <f t="shared" si="58"/>
        <v>0</v>
      </c>
      <c r="V116" s="27">
        <f t="shared" si="59"/>
        <v>0</v>
      </c>
      <c r="W116" s="27">
        <f t="shared" si="60"/>
        <v>0</v>
      </c>
      <c r="X116" s="125" t="str">
        <f t="shared" si="61"/>
        <v>ok</v>
      </c>
    </row>
    <row r="117" spans="1:24">
      <c r="A117" s="25" t="s">
        <v>751</v>
      </c>
      <c r="C117" s="117" t="s">
        <v>82</v>
      </c>
      <c r="D117" s="117" t="s">
        <v>57</v>
      </c>
      <c r="F117" s="27">
        <v>0</v>
      </c>
      <c r="G117" s="27">
        <f t="shared" si="44"/>
        <v>0</v>
      </c>
      <c r="H117" s="27">
        <f t="shared" si="45"/>
        <v>0</v>
      </c>
      <c r="I117" s="27">
        <f t="shared" si="46"/>
        <v>0</v>
      </c>
      <c r="J117" s="27">
        <f t="shared" si="47"/>
        <v>0</v>
      </c>
      <c r="K117" s="27">
        <f t="shared" si="48"/>
        <v>0</v>
      </c>
      <c r="L117" s="27">
        <f t="shared" si="49"/>
        <v>0</v>
      </c>
      <c r="M117" s="27">
        <f t="shared" si="50"/>
        <v>0</v>
      </c>
      <c r="N117" s="27">
        <f t="shared" si="51"/>
        <v>0</v>
      </c>
      <c r="O117" s="27">
        <f t="shared" si="52"/>
        <v>0</v>
      </c>
      <c r="P117" s="27">
        <f t="shared" si="53"/>
        <v>0</v>
      </c>
      <c r="Q117" s="27">
        <f t="shared" si="54"/>
        <v>0</v>
      </c>
      <c r="R117" s="27">
        <f t="shared" si="55"/>
        <v>0</v>
      </c>
      <c r="S117" s="27">
        <f t="shared" si="56"/>
        <v>0</v>
      </c>
      <c r="T117" s="27">
        <f t="shared" si="57"/>
        <v>0</v>
      </c>
      <c r="U117" s="27">
        <f t="shared" si="58"/>
        <v>0</v>
      </c>
      <c r="V117" s="27">
        <f t="shared" si="59"/>
        <v>0</v>
      </c>
      <c r="W117" s="27">
        <f t="shared" si="60"/>
        <v>0</v>
      </c>
      <c r="X117" s="125" t="str">
        <f t="shared" si="61"/>
        <v>ok</v>
      </c>
    </row>
    <row r="118" spans="1:24">
      <c r="G118" s="25"/>
      <c r="H118" s="25"/>
      <c r="I118" s="25"/>
      <c r="J118" s="25"/>
      <c r="K118" s="25"/>
      <c r="L118" s="25"/>
      <c r="M118" s="25"/>
      <c r="N118" s="25"/>
    </row>
    <row r="119" spans="1:24">
      <c r="A119" s="13" t="s">
        <v>600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27"/>
      <c r="X119" s="125"/>
    </row>
    <row r="121" spans="1:24">
      <c r="A121" s="25" t="s">
        <v>83</v>
      </c>
      <c r="C121" s="117" t="s">
        <v>84</v>
      </c>
      <c r="D121" s="117" t="s">
        <v>57</v>
      </c>
      <c r="F121" s="32">
        <v>483731.00474458613</v>
      </c>
      <c r="G121" s="27">
        <f>(VLOOKUP($D121,$C$6:$AJ$992,5,)/VLOOKUP($D121,$C$6:$AJ$992,4,))*$F121</f>
        <v>0</v>
      </c>
      <c r="H121" s="27">
        <f>(VLOOKUP($D121,$C$6:$AJ$992,6,)/VLOOKUP($D121,$C$6:$AJ$992,4,))*$F121</f>
        <v>0</v>
      </c>
      <c r="I121" s="27">
        <f>(VLOOKUP($D121,$C$6:$AJ$992,7,)/VLOOKUP($D121,$C$6:$AJ$992,4,))*$F121</f>
        <v>80842.532383348618</v>
      </c>
      <c r="J121" s="27">
        <f>(VLOOKUP($D121,$C$6:$AJ$992,8,)/VLOOKUP($D121,$C$6:$AJ$992,4,))*$F121</f>
        <v>0</v>
      </c>
      <c r="K121" s="27">
        <f>(VLOOKUP($D121,$C$6:$AJ$992,9,)/VLOOKUP($D121,$C$6:$AJ$992,4,))*$F121</f>
        <v>28519.282057162942</v>
      </c>
      <c r="L121" s="27">
        <f>(VLOOKUP($D121,$C$6:$AJ$992,10,)/VLOOKUP($D121,$C$6:$AJ$992,4,))*$F121</f>
        <v>0</v>
      </c>
      <c r="M121" s="27">
        <f>(VLOOKUP($D121,$C$6:$AJ$992,11,)/VLOOKUP($D121,$C$6:$AJ$992,4,))*$F121</f>
        <v>0</v>
      </c>
      <c r="N121" s="27">
        <f>(VLOOKUP($D121,$C$6:$AJ$992,12,)/VLOOKUP($D121,$C$6:$AJ$992,4,))*$F121</f>
        <v>14795.114475929575</v>
      </c>
      <c r="O121" s="27">
        <f>(VLOOKUP($D121,$C$6:$AJ$992,13,)/VLOOKUP($D121,$C$6:$AJ$992,4,))*$F121</f>
        <v>67204.332424291351</v>
      </c>
      <c r="P121" s="27">
        <f>(VLOOKUP($D121,$C$6:$AJ$992,14,)/VLOOKUP($D121,$C$6:$AJ$992,4,))*$F121</f>
        <v>112494.88569206915</v>
      </c>
      <c r="Q121" s="27">
        <f>(VLOOKUP($D121,$C$6:$AJ$992,15,)/VLOOKUP($D121,$C$6:$AJ$992,4,))*$F121</f>
        <v>9779.4593208960796</v>
      </c>
      <c r="R121" s="27">
        <f>(VLOOKUP($D121,$C$6:$AJ$992,16,)/VLOOKUP($D121,$C$6:$AJ$992,4,))*$F121</f>
        <v>7047.8267418716387</v>
      </c>
      <c r="S121" s="27">
        <f>(VLOOKUP($D121,$C$6:$AJ$992,17,)/VLOOKUP($D121,$C$6:$AJ$992,4,))*$F121</f>
        <v>118514.75963819843</v>
      </c>
      <c r="T121" s="27">
        <f>(VLOOKUP($D121,$C$6:$AJ$992,18,)/VLOOKUP($D121,$C$6:$AJ$992,4,))*$F121</f>
        <v>44532.81201081827</v>
      </c>
      <c r="U121" s="27">
        <f>(VLOOKUP($D121,$C$6:$AJ$992,19,)/VLOOKUP($D121,$C$6:$AJ$992,4,))*$F121</f>
        <v>0</v>
      </c>
      <c r="V121" s="27">
        <f>(VLOOKUP($D121,$C$6:$AJ$992,20,)/VLOOKUP($D121,$C$6:$AJ$992,4,))*$F121</f>
        <v>0</v>
      </c>
      <c r="W121" s="27">
        <f>SUM(G121:V121)</f>
        <v>483731.00474458607</v>
      </c>
      <c r="X121" s="125" t="str">
        <f>IF(ABS(W121-F121)&lt;1,"ok","err")</f>
        <v>ok</v>
      </c>
    </row>
    <row r="122" spans="1:24">
      <c r="A122" s="25" t="s">
        <v>85</v>
      </c>
      <c r="C122" s="117" t="s">
        <v>86</v>
      </c>
      <c r="D122" s="117" t="s">
        <v>57</v>
      </c>
      <c r="F122" s="27">
        <v>853918.22412552941</v>
      </c>
      <c r="G122" s="27">
        <f>(VLOOKUP($D122,$C$6:$AJ$992,5,)/VLOOKUP($D122,$C$6:$AJ$992,4,))*$F122</f>
        <v>0</v>
      </c>
      <c r="H122" s="27">
        <f>(VLOOKUP($D122,$C$6:$AJ$992,6,)/VLOOKUP($D122,$C$6:$AJ$992,4,))*$F122</f>
        <v>0</v>
      </c>
      <c r="I122" s="27">
        <f>(VLOOKUP($D122,$C$6:$AJ$992,7,)/VLOOKUP($D122,$C$6:$AJ$992,4,))*$F122</f>
        <v>142709.29712898924</v>
      </c>
      <c r="J122" s="27">
        <f>(VLOOKUP($D122,$C$6:$AJ$992,8,)/VLOOKUP($D122,$C$6:$AJ$992,4,))*$F122</f>
        <v>0</v>
      </c>
      <c r="K122" s="27">
        <f>(VLOOKUP($D122,$C$6:$AJ$992,9,)/VLOOKUP($D122,$C$6:$AJ$992,4,))*$F122</f>
        <v>50344.374143324356</v>
      </c>
      <c r="L122" s="27">
        <f>(VLOOKUP($D122,$C$6:$AJ$992,10,)/VLOOKUP($D122,$C$6:$AJ$992,4,))*$F122</f>
        <v>0</v>
      </c>
      <c r="M122" s="27">
        <f>(VLOOKUP($D122,$C$6:$AJ$992,11,)/VLOOKUP($D122,$C$6:$AJ$992,4,))*$F122</f>
        <v>0</v>
      </c>
      <c r="N122" s="27">
        <f>(VLOOKUP($D122,$C$6:$AJ$992,12,)/VLOOKUP($D122,$C$6:$AJ$992,4,))*$F122</f>
        <v>26117.44493345109</v>
      </c>
      <c r="O122" s="27">
        <f>(VLOOKUP($D122,$C$6:$AJ$992,13,)/VLOOKUP($D122,$C$6:$AJ$992,4,))*$F122</f>
        <v>118634.1244088611</v>
      </c>
      <c r="P122" s="27">
        <f>(VLOOKUP($D122,$C$6:$AJ$992,14,)/VLOOKUP($D122,$C$6:$AJ$992,4,))*$F122</f>
        <v>198584.4034622038</v>
      </c>
      <c r="Q122" s="27">
        <f>(VLOOKUP($D122,$C$6:$AJ$992,15,)/VLOOKUP($D122,$C$6:$AJ$992,4,))*$F122</f>
        <v>17263.434541717572</v>
      </c>
      <c r="R122" s="27">
        <f>(VLOOKUP($D122,$C$6:$AJ$992,16,)/VLOOKUP($D122,$C$6:$AJ$992,4,))*$F122</f>
        <v>12441.351983508146</v>
      </c>
      <c r="S122" s="27">
        <f>(VLOOKUP($D122,$C$6:$AJ$992,17,)/VLOOKUP($D122,$C$6:$AJ$992,4,))*$F122</f>
        <v>209211.13612791843</v>
      </c>
      <c r="T122" s="27">
        <f>(VLOOKUP($D122,$C$6:$AJ$992,18,)/VLOOKUP($D122,$C$6:$AJ$992,4,))*$F122</f>
        <v>78612.657395555507</v>
      </c>
      <c r="U122" s="27">
        <f>(VLOOKUP($D122,$C$6:$AJ$992,19,)/VLOOKUP($D122,$C$6:$AJ$992,4,))*$F122</f>
        <v>0</v>
      </c>
      <c r="V122" s="27">
        <f>(VLOOKUP($D122,$C$6:$AJ$992,20,)/VLOOKUP($D122,$C$6:$AJ$992,4,))*$F122</f>
        <v>0</v>
      </c>
      <c r="W122" s="27">
        <f>SUM(G122:V122)</f>
        <v>853918.22412552906</v>
      </c>
      <c r="X122" s="125" t="str">
        <f>IF(ABS(W122-F122)&lt;1,"ok","err")</f>
        <v>ok</v>
      </c>
    </row>
    <row r="123" spans="1:24">
      <c r="A123" s="25" t="s">
        <v>87</v>
      </c>
      <c r="C123" s="117" t="s">
        <v>88</v>
      </c>
      <c r="D123" s="117" t="s">
        <v>25</v>
      </c>
      <c r="F123" s="27">
        <v>30973030.849484239</v>
      </c>
      <c r="G123" s="27">
        <f>(VLOOKUP($D123,$C$6:$AJ$992,5,)/VLOOKUP($D123,$C$6:$AJ$992,4,))*$F123</f>
        <v>0</v>
      </c>
      <c r="H123" s="27">
        <f>(VLOOKUP($D123,$C$6:$AJ$992,6,)/VLOOKUP($D123,$C$6:$AJ$992,4,))*$F123</f>
        <v>0</v>
      </c>
      <c r="I123" s="27">
        <f>(VLOOKUP($D123,$C$6:$AJ$992,7,)/VLOOKUP($D123,$C$6:$AJ$992,4,))*$F123</f>
        <v>30973030.849484239</v>
      </c>
      <c r="J123" s="27">
        <f>(VLOOKUP($D123,$C$6:$AJ$992,8,)/VLOOKUP($D123,$C$6:$AJ$992,4,))*$F123</f>
        <v>0</v>
      </c>
      <c r="K123" s="27">
        <f>(VLOOKUP($D123,$C$6:$AJ$992,9,)/VLOOKUP($D123,$C$6:$AJ$992,4,))*$F123</f>
        <v>0</v>
      </c>
      <c r="L123" s="27">
        <f>(VLOOKUP($D123,$C$6:$AJ$992,10,)/VLOOKUP($D123,$C$6:$AJ$992,4,))*$F123</f>
        <v>0</v>
      </c>
      <c r="M123" s="27">
        <f>(VLOOKUP($D123,$C$6:$AJ$992,11,)/VLOOKUP($D123,$C$6:$AJ$992,4,))*$F123</f>
        <v>0</v>
      </c>
      <c r="N123" s="27">
        <f>(VLOOKUP($D123,$C$6:$AJ$992,12,)/VLOOKUP($D123,$C$6:$AJ$992,4,))*$F123</f>
        <v>0</v>
      </c>
      <c r="O123" s="27">
        <f>(VLOOKUP($D123,$C$6:$AJ$992,13,)/VLOOKUP($D123,$C$6:$AJ$992,4,))*$F123</f>
        <v>0</v>
      </c>
      <c r="P123" s="27">
        <f>(VLOOKUP($D123,$C$6:$AJ$992,14,)/VLOOKUP($D123,$C$6:$AJ$992,4,))*$F123</f>
        <v>0</v>
      </c>
      <c r="Q123" s="27">
        <f>(VLOOKUP($D123,$C$6:$AJ$992,15,)/VLOOKUP($D123,$C$6:$AJ$992,4,))*$F123</f>
        <v>0</v>
      </c>
      <c r="R123" s="27">
        <f>(VLOOKUP($D123,$C$6:$AJ$992,16,)/VLOOKUP($D123,$C$6:$AJ$992,4,))*$F123</f>
        <v>0</v>
      </c>
      <c r="S123" s="27">
        <f>(VLOOKUP($D123,$C$6:$AJ$992,17,)/VLOOKUP($D123,$C$6:$AJ$992,4,))*$F123</f>
        <v>0</v>
      </c>
      <c r="T123" s="27">
        <f>(VLOOKUP($D123,$C$6:$AJ$992,18,)/VLOOKUP($D123,$C$6:$AJ$992,4,))*$F123</f>
        <v>0</v>
      </c>
      <c r="U123" s="27">
        <f>(VLOOKUP($D123,$C$6:$AJ$992,19,)/VLOOKUP($D123,$C$6:$AJ$992,4,))*$F123</f>
        <v>0</v>
      </c>
      <c r="V123" s="27">
        <f>(VLOOKUP($D123,$C$6:$AJ$992,20,)/VLOOKUP($D123,$C$6:$AJ$992,4,))*$F123</f>
        <v>0</v>
      </c>
      <c r="W123" s="27">
        <f>SUM(G123:V123)</f>
        <v>30973030.849484239</v>
      </c>
      <c r="X123" s="125" t="str">
        <f>IF(ABS(W123-F123)&lt;1,"ok","err")</f>
        <v>ok</v>
      </c>
    </row>
    <row r="124" spans="1:24">
      <c r="A124" s="25" t="s">
        <v>89</v>
      </c>
      <c r="C124" s="117" t="s">
        <v>90</v>
      </c>
      <c r="D124" s="117" t="s">
        <v>91</v>
      </c>
      <c r="F124" s="27">
        <v>9688244.5347258411</v>
      </c>
      <c r="G124" s="27">
        <f>(VLOOKUP($D124,$C$6:$AJ$992,5,)/VLOOKUP($D124,$C$6:$AJ$992,4,))*$F124</f>
        <v>11554.846483996886</v>
      </c>
      <c r="H124" s="27">
        <f>(VLOOKUP($D124,$C$6:$AJ$992,6,)/VLOOKUP($D124,$C$6:$AJ$992,4,))*$F124</f>
        <v>86868.036684630773</v>
      </c>
      <c r="I124" s="27">
        <f>(VLOOKUP($D124,$C$6:$AJ$992,7,)/VLOOKUP($D124,$C$6:$AJ$992,4,))*$F124</f>
        <v>792435.44790345151</v>
      </c>
      <c r="J124" s="27">
        <f>(VLOOKUP($D124,$C$6:$AJ$992,8,)/VLOOKUP($D124,$C$6:$AJ$992,4,))*$F124</f>
        <v>1212333.708171027</v>
      </c>
      <c r="K124" s="27">
        <f>(VLOOKUP($D124,$C$6:$AJ$992,9,)/VLOOKUP($D124,$C$6:$AJ$992,4,))*$F124</f>
        <v>550664.3602954403</v>
      </c>
      <c r="L124" s="27">
        <f>(VLOOKUP($D124,$C$6:$AJ$992,10,)/VLOOKUP($D124,$C$6:$AJ$992,4,))*$F124</f>
        <v>0</v>
      </c>
      <c r="M124" s="27">
        <f>(VLOOKUP($D124,$C$6:$AJ$992,11,)/VLOOKUP($D124,$C$6:$AJ$992,4,))*$F124</f>
        <v>60588.869550514159</v>
      </c>
      <c r="N124" s="27">
        <f>(VLOOKUP($D124,$C$6:$AJ$992,12,)/VLOOKUP($D124,$C$6:$AJ$992,4,))*$F124</f>
        <v>532623.69704973709</v>
      </c>
      <c r="O124" s="27">
        <f>(VLOOKUP($D124,$C$6:$AJ$992,13,)/VLOOKUP($D124,$C$6:$AJ$992,4,))*$F124</f>
        <v>1111636.102976338</v>
      </c>
      <c r="P124" s="27">
        <f>(VLOOKUP($D124,$C$6:$AJ$992,14,)/VLOOKUP($D124,$C$6:$AJ$992,4,))*$F124</f>
        <v>1860793.3718615314</v>
      </c>
      <c r="Q124" s="27">
        <f>(VLOOKUP($D124,$C$6:$AJ$992,15,)/VLOOKUP($D124,$C$6:$AJ$992,4,))*$F124</f>
        <v>161763.38126628113</v>
      </c>
      <c r="R124" s="27">
        <f>(VLOOKUP($D124,$C$6:$AJ$992,16,)/VLOOKUP($D124,$C$6:$AJ$992,4,))*$F124</f>
        <v>116579.07118730259</v>
      </c>
      <c r="S124" s="27">
        <f>(VLOOKUP($D124,$C$6:$AJ$992,17,)/VLOOKUP($D124,$C$6:$AJ$992,4,))*$F124</f>
        <v>762898.24498347298</v>
      </c>
      <c r="T124" s="27">
        <f>(VLOOKUP($D124,$C$6:$AJ$992,18,)/VLOOKUP($D124,$C$6:$AJ$992,4,))*$F124</f>
        <v>564848.73053976975</v>
      </c>
      <c r="U124" s="27">
        <f>(VLOOKUP($D124,$C$6:$AJ$992,19,)/VLOOKUP($D124,$C$6:$AJ$992,4,))*$F124</f>
        <v>1753229.8141748814</v>
      </c>
      <c r="V124" s="27">
        <f>(VLOOKUP($D124,$C$6:$AJ$992,20,)/VLOOKUP($D124,$C$6:$AJ$992,4,))*$F124</f>
        <v>109426.85159746764</v>
      </c>
      <c r="W124" s="27">
        <f>SUM(G124:V124)</f>
        <v>9688244.534725843</v>
      </c>
      <c r="X124" s="125" t="str">
        <f>IF(ABS(W124-F124)&lt;1,"ok","err")</f>
        <v>ok</v>
      </c>
    </row>
    <row r="126" spans="1:24">
      <c r="A126" s="13" t="s">
        <v>184</v>
      </c>
    </row>
    <row r="128" spans="1:24">
      <c r="A128" s="25" t="s">
        <v>185</v>
      </c>
      <c r="D128" s="117" t="s">
        <v>57</v>
      </c>
      <c r="F128" s="32">
        <v>0</v>
      </c>
      <c r="G128" s="27">
        <f>(VLOOKUP($D128,$C$6:$AJ$992,5,)/VLOOKUP($D128,$C$6:$AJ$992,4,))*$F128</f>
        <v>0</v>
      </c>
      <c r="H128" s="27">
        <f>(VLOOKUP($D128,$C$6:$AJ$992,6,)/VLOOKUP($D128,$C$6:$AJ$992,4,))*$F128</f>
        <v>0</v>
      </c>
      <c r="I128" s="27">
        <f>(VLOOKUP($D128,$C$6:$AJ$992,7,)/VLOOKUP($D128,$C$6:$AJ$992,4,))*$F128</f>
        <v>0</v>
      </c>
      <c r="J128" s="27">
        <f>(VLOOKUP($D128,$C$6:$AJ$992,8,)/VLOOKUP($D128,$C$6:$AJ$992,4,))*$F128</f>
        <v>0</v>
      </c>
      <c r="K128" s="27">
        <f>(VLOOKUP($D128,$C$6:$AJ$992,9,)/VLOOKUP($D128,$C$6:$AJ$992,4,))*$F128</f>
        <v>0</v>
      </c>
      <c r="L128" s="27">
        <f>(VLOOKUP($D128,$C$6:$AJ$992,10,)/VLOOKUP($D128,$C$6:$AJ$992,4,))*$F128</f>
        <v>0</v>
      </c>
      <c r="M128" s="27">
        <f>(VLOOKUP($D128,$C$6:$AJ$992,11,)/VLOOKUP($D128,$C$6:$AJ$992,4,))*$F128</f>
        <v>0</v>
      </c>
      <c r="N128" s="27">
        <f>(VLOOKUP($D128,$C$6:$AJ$992,12,)/VLOOKUP($D128,$C$6:$AJ$992,4,))*$F128</f>
        <v>0</v>
      </c>
      <c r="O128" s="27">
        <f>(VLOOKUP($D128,$C$6:$AJ$992,13,)/VLOOKUP($D128,$C$6:$AJ$992,4,))*$F128</f>
        <v>0</v>
      </c>
      <c r="P128" s="27">
        <f>(VLOOKUP($D128,$C$6:$AJ$992,14,)/VLOOKUP($D128,$C$6:$AJ$992,4,))*$F128</f>
        <v>0</v>
      </c>
      <c r="Q128" s="27">
        <f>(VLOOKUP($D128,$C$6:$AJ$992,15,)/VLOOKUP($D128,$C$6:$AJ$992,4,))*$F128</f>
        <v>0</v>
      </c>
      <c r="R128" s="27">
        <f>(VLOOKUP($D128,$C$6:$AJ$992,16,)/VLOOKUP($D128,$C$6:$AJ$992,4,))*$F128</f>
        <v>0</v>
      </c>
      <c r="S128" s="27">
        <f>(VLOOKUP($D128,$C$6:$AJ$992,17,)/VLOOKUP($D128,$C$6:$AJ$992,4,))*$F128</f>
        <v>0</v>
      </c>
      <c r="T128" s="27">
        <f>(VLOOKUP($D128,$C$6:$AJ$992,18,)/VLOOKUP($D128,$C$6:$AJ$992,4,))*$F128</f>
        <v>0</v>
      </c>
      <c r="U128" s="27">
        <f>(VLOOKUP($D128,$C$6:$AJ$992,19,)/VLOOKUP($D128,$C$6:$AJ$992,4,))*$F128</f>
        <v>0</v>
      </c>
      <c r="V128" s="27">
        <f>(VLOOKUP($D128,$C$6:$AJ$992,20,)/VLOOKUP($D128,$C$6:$AJ$992,4,))*$F128</f>
        <v>0</v>
      </c>
      <c r="W128" s="27">
        <f>SUM(G128:V128)</f>
        <v>0</v>
      </c>
      <c r="X128" s="125" t="str">
        <f>IF(ABS(W128-F128)&lt;1,"ok","err")</f>
        <v>ok</v>
      </c>
    </row>
    <row r="129" spans="1:24">
      <c r="A129" s="25" t="s">
        <v>204</v>
      </c>
      <c r="D129" s="117" t="s">
        <v>57</v>
      </c>
      <c r="F129" s="27">
        <v>0</v>
      </c>
      <c r="G129" s="27">
        <f>(VLOOKUP($D129,$C$6:$AJ$992,5,)/VLOOKUP($D129,$C$6:$AJ$992,4,))*$F129</f>
        <v>0</v>
      </c>
      <c r="H129" s="27">
        <f>(VLOOKUP($D129,$C$6:$AJ$992,6,)/VLOOKUP($D129,$C$6:$AJ$992,4,))*$F129</f>
        <v>0</v>
      </c>
      <c r="I129" s="27">
        <f>(VLOOKUP($D129,$C$6:$AJ$992,7,)/VLOOKUP($D129,$C$6:$AJ$992,4,))*$F129</f>
        <v>0</v>
      </c>
      <c r="J129" s="27">
        <f>(VLOOKUP($D129,$C$6:$AJ$992,8,)/VLOOKUP($D129,$C$6:$AJ$992,4,))*$F129</f>
        <v>0</v>
      </c>
      <c r="K129" s="27">
        <f>(VLOOKUP($D129,$C$6:$AJ$992,9,)/VLOOKUP($D129,$C$6:$AJ$992,4,))*$F129</f>
        <v>0</v>
      </c>
      <c r="L129" s="27">
        <f>(VLOOKUP($D129,$C$6:$AJ$992,10,)/VLOOKUP($D129,$C$6:$AJ$992,4,))*$F129</f>
        <v>0</v>
      </c>
      <c r="M129" s="27">
        <f>(VLOOKUP($D129,$C$6:$AJ$992,11,)/VLOOKUP($D129,$C$6:$AJ$992,4,))*$F129</f>
        <v>0</v>
      </c>
      <c r="N129" s="27">
        <f>(VLOOKUP($D129,$C$6:$AJ$992,12,)/VLOOKUP($D129,$C$6:$AJ$992,4,))*$F129</f>
        <v>0</v>
      </c>
      <c r="O129" s="27">
        <f>(VLOOKUP($D129,$C$6:$AJ$992,13,)/VLOOKUP($D129,$C$6:$AJ$992,4,))*$F129</f>
        <v>0</v>
      </c>
      <c r="P129" s="27">
        <f>(VLOOKUP($D129,$C$6:$AJ$992,14,)/VLOOKUP($D129,$C$6:$AJ$992,4,))*$F129</f>
        <v>0</v>
      </c>
      <c r="Q129" s="27">
        <f>(VLOOKUP($D129,$C$6:$AJ$992,15,)/VLOOKUP($D129,$C$6:$AJ$992,4,))*$F129</f>
        <v>0</v>
      </c>
      <c r="R129" s="27">
        <f>(VLOOKUP($D129,$C$6:$AJ$992,16,)/VLOOKUP($D129,$C$6:$AJ$992,4,))*$F129</f>
        <v>0</v>
      </c>
      <c r="S129" s="27">
        <f>(VLOOKUP($D129,$C$6:$AJ$992,17,)/VLOOKUP($D129,$C$6:$AJ$992,4,))*$F129</f>
        <v>0</v>
      </c>
      <c r="T129" s="27">
        <f>(VLOOKUP($D129,$C$6:$AJ$992,18,)/VLOOKUP($D129,$C$6:$AJ$992,4,))*$F129</f>
        <v>0</v>
      </c>
      <c r="U129" s="27">
        <f>(VLOOKUP($D129,$C$6:$AJ$992,19,)/VLOOKUP($D129,$C$6:$AJ$992,4,))*$F129</f>
        <v>0</v>
      </c>
      <c r="V129" s="27">
        <f>(VLOOKUP($D129,$C$6:$AJ$992,20,)/VLOOKUP($D129,$C$6:$AJ$992,4,))*$F129</f>
        <v>0</v>
      </c>
      <c r="W129" s="27">
        <f>SUM(G129:V129)</f>
        <v>0</v>
      </c>
      <c r="X129" s="125" t="str">
        <f>IF(ABS(W129-F129)&lt;1,"ok","err")</f>
        <v>ok</v>
      </c>
    </row>
    <row r="130" spans="1:24">
      <c r="A130" s="25" t="s">
        <v>405</v>
      </c>
      <c r="D130" s="117" t="s">
        <v>57</v>
      </c>
      <c r="F130" s="27">
        <v>0</v>
      </c>
      <c r="G130" s="27">
        <f>(VLOOKUP($D130,$C$6:$AJ$992,5,)/VLOOKUP($D130,$C$6:$AJ$992,4,))*$F130</f>
        <v>0</v>
      </c>
      <c r="H130" s="27">
        <f>(VLOOKUP($D130,$C$6:$AJ$992,6,)/VLOOKUP($D130,$C$6:$AJ$992,4,))*$F130</f>
        <v>0</v>
      </c>
      <c r="I130" s="27">
        <f>(VLOOKUP($D130,$C$6:$AJ$992,7,)/VLOOKUP($D130,$C$6:$AJ$992,4,))*$F130</f>
        <v>0</v>
      </c>
      <c r="J130" s="27">
        <f>(VLOOKUP($D130,$C$6:$AJ$992,8,)/VLOOKUP($D130,$C$6:$AJ$992,4,))*$F130</f>
        <v>0</v>
      </c>
      <c r="K130" s="27">
        <f>(VLOOKUP($D130,$C$6:$AJ$992,9,)/VLOOKUP($D130,$C$6:$AJ$992,4,))*$F130</f>
        <v>0</v>
      </c>
      <c r="L130" s="27">
        <f>(VLOOKUP($D130,$C$6:$AJ$992,10,)/VLOOKUP($D130,$C$6:$AJ$992,4,))*$F130</f>
        <v>0</v>
      </c>
      <c r="M130" s="27">
        <f>(VLOOKUP($D130,$C$6:$AJ$992,11,)/VLOOKUP($D130,$C$6:$AJ$992,4,))*$F130</f>
        <v>0</v>
      </c>
      <c r="N130" s="27">
        <f>(VLOOKUP($D130,$C$6:$AJ$992,12,)/VLOOKUP($D130,$C$6:$AJ$992,4,))*$F130</f>
        <v>0</v>
      </c>
      <c r="O130" s="27">
        <f>(VLOOKUP($D130,$C$6:$AJ$992,13,)/VLOOKUP($D130,$C$6:$AJ$992,4,))*$F130</f>
        <v>0</v>
      </c>
      <c r="P130" s="27">
        <f>(VLOOKUP($D130,$C$6:$AJ$992,14,)/VLOOKUP($D130,$C$6:$AJ$992,4,))*$F130</f>
        <v>0</v>
      </c>
      <c r="Q130" s="27">
        <f>(VLOOKUP($D130,$C$6:$AJ$992,15,)/VLOOKUP($D130,$C$6:$AJ$992,4,))*$F130</f>
        <v>0</v>
      </c>
      <c r="R130" s="27">
        <f>(VLOOKUP($D130,$C$6:$AJ$992,16,)/VLOOKUP($D130,$C$6:$AJ$992,4,))*$F130</f>
        <v>0</v>
      </c>
      <c r="S130" s="27">
        <f>(VLOOKUP($D130,$C$6:$AJ$992,17,)/VLOOKUP($D130,$C$6:$AJ$992,4,))*$F130</f>
        <v>0</v>
      </c>
      <c r="T130" s="27">
        <f>(VLOOKUP($D130,$C$6:$AJ$992,18,)/VLOOKUP($D130,$C$6:$AJ$992,4,))*$F130</f>
        <v>0</v>
      </c>
      <c r="U130" s="27">
        <f>(VLOOKUP($D130,$C$6:$AJ$992,19,)/VLOOKUP($D130,$C$6:$AJ$992,4,))*$F130</f>
        <v>0</v>
      </c>
      <c r="V130" s="27">
        <f>(VLOOKUP($D130,$C$6:$AJ$992,20,)/VLOOKUP($D130,$C$6:$AJ$992,4,))*$F130</f>
        <v>0</v>
      </c>
      <c r="W130" s="27">
        <f>SUM(G130:V130)</f>
        <v>0</v>
      </c>
      <c r="X130" s="125" t="str">
        <f>IF(ABS(W130-F130)&lt;1,"ok","err")</f>
        <v>ok</v>
      </c>
    </row>
    <row r="131" spans="1:24">
      <c r="A131" s="25" t="s">
        <v>186</v>
      </c>
      <c r="D131" s="117" t="s">
        <v>57</v>
      </c>
      <c r="F131" s="27">
        <v>0</v>
      </c>
      <c r="G131" s="27">
        <f>(VLOOKUP($D131,$C$6:$AJ$992,5,)/VLOOKUP($D131,$C$6:$AJ$992,4,))*$F131</f>
        <v>0</v>
      </c>
      <c r="H131" s="27">
        <f>(VLOOKUP($D131,$C$6:$AJ$992,6,)/VLOOKUP($D131,$C$6:$AJ$992,4,))*$F131</f>
        <v>0</v>
      </c>
      <c r="I131" s="27">
        <f>(VLOOKUP($D131,$C$6:$AJ$992,7,)/VLOOKUP($D131,$C$6:$AJ$992,4,))*$F131</f>
        <v>0</v>
      </c>
      <c r="J131" s="27">
        <f>(VLOOKUP($D131,$C$6:$AJ$992,8,)/VLOOKUP($D131,$C$6:$AJ$992,4,))*$F131</f>
        <v>0</v>
      </c>
      <c r="K131" s="27">
        <f>(VLOOKUP($D131,$C$6:$AJ$992,9,)/VLOOKUP($D131,$C$6:$AJ$992,4,))*$F131</f>
        <v>0</v>
      </c>
      <c r="L131" s="27">
        <f>(VLOOKUP($D131,$C$6:$AJ$992,10,)/VLOOKUP($D131,$C$6:$AJ$992,4,))*$F131</f>
        <v>0</v>
      </c>
      <c r="M131" s="27">
        <f>(VLOOKUP($D131,$C$6:$AJ$992,11,)/VLOOKUP($D131,$C$6:$AJ$992,4,))*$F131</f>
        <v>0</v>
      </c>
      <c r="N131" s="27">
        <f>(VLOOKUP($D131,$C$6:$AJ$992,12,)/VLOOKUP($D131,$C$6:$AJ$992,4,))*$F131</f>
        <v>0</v>
      </c>
      <c r="O131" s="27">
        <f>(VLOOKUP($D131,$C$6:$AJ$992,13,)/VLOOKUP($D131,$C$6:$AJ$992,4,))*$F131</f>
        <v>0</v>
      </c>
      <c r="P131" s="27">
        <f>(VLOOKUP($D131,$C$6:$AJ$992,14,)/VLOOKUP($D131,$C$6:$AJ$992,4,))*$F131</f>
        <v>0</v>
      </c>
      <c r="Q131" s="27">
        <f>(VLOOKUP($D131,$C$6:$AJ$992,15,)/VLOOKUP($D131,$C$6:$AJ$992,4,))*$F131</f>
        <v>0</v>
      </c>
      <c r="R131" s="27">
        <f>(VLOOKUP($D131,$C$6:$AJ$992,16,)/VLOOKUP($D131,$C$6:$AJ$992,4,))*$F131</f>
        <v>0</v>
      </c>
      <c r="S131" s="27">
        <f>(VLOOKUP($D131,$C$6:$AJ$992,17,)/VLOOKUP($D131,$C$6:$AJ$992,4,))*$F131</f>
        <v>0</v>
      </c>
      <c r="T131" s="27">
        <f>(VLOOKUP($D131,$C$6:$AJ$992,18,)/VLOOKUP($D131,$C$6:$AJ$992,4,))*$F131</f>
        <v>0</v>
      </c>
      <c r="U131" s="27">
        <f>(VLOOKUP($D131,$C$6:$AJ$992,19,)/VLOOKUP($D131,$C$6:$AJ$992,4,))*$F131</f>
        <v>0</v>
      </c>
      <c r="V131" s="27">
        <f>(VLOOKUP($D131,$C$6:$AJ$992,20,)/VLOOKUP($D131,$C$6:$AJ$992,4,))*$F131</f>
        <v>0</v>
      </c>
      <c r="W131" s="27">
        <f>SUM(G131:V131)</f>
        <v>0</v>
      </c>
      <c r="X131" s="125" t="str">
        <f>IF(ABS(W131-F131)&lt;1,"ok","err")</f>
        <v>ok</v>
      </c>
    </row>
    <row r="133" spans="1:24">
      <c r="A133" s="120" t="s">
        <v>92</v>
      </c>
      <c r="C133" s="117" t="s">
        <v>93</v>
      </c>
      <c r="F133" s="33">
        <f>F97-F108-SUM(F110:F117)+SUM(F121:F124)</f>
        <v>540861618.08308041</v>
      </c>
      <c r="G133" s="33">
        <f t="shared" ref="G133:V133" si="62">G97-G108-SUM(G110:G117)+SUM(G121:G124)</f>
        <v>11554.846483996886</v>
      </c>
      <c r="H133" s="33">
        <f t="shared" si="62"/>
        <v>86868.036684630773</v>
      </c>
      <c r="I133" s="33">
        <f t="shared" si="62"/>
        <v>132538169.08066589</v>
      </c>
      <c r="J133" s="33">
        <f t="shared" si="62"/>
        <v>1212333.708171027</v>
      </c>
      <c r="K133" s="33">
        <f t="shared" si="62"/>
        <v>36793564.094009817</v>
      </c>
      <c r="L133" s="33">
        <f t="shared" si="62"/>
        <v>0</v>
      </c>
      <c r="M133" s="33">
        <f t="shared" si="62"/>
        <v>60588.869550514159</v>
      </c>
      <c r="N133" s="33">
        <f t="shared" si="62"/>
        <v>20191353.926565848</v>
      </c>
      <c r="O133" s="33">
        <f t="shared" si="62"/>
        <v>66659455.144046143</v>
      </c>
      <c r="P133" s="33">
        <f t="shared" si="62"/>
        <v>111582803.01605357</v>
      </c>
      <c r="Q133" s="33">
        <f t="shared" si="62"/>
        <v>9700169.7125506494</v>
      </c>
      <c r="R133" s="33">
        <f t="shared" si="62"/>
        <v>6990684.5826056935</v>
      </c>
      <c r="S133" s="33">
        <f t="shared" si="62"/>
        <v>99463906.369648099</v>
      </c>
      <c r="T133" s="33">
        <f t="shared" si="62"/>
        <v>53707510.030271932</v>
      </c>
      <c r="U133" s="33">
        <f t="shared" si="62"/>
        <v>1753229.8141748814</v>
      </c>
      <c r="V133" s="33">
        <f t="shared" si="62"/>
        <v>109426.85159746764</v>
      </c>
      <c r="W133" s="27">
        <f>SUM(G133:V133)</f>
        <v>540861618.08308017</v>
      </c>
      <c r="X133" s="125" t="str">
        <f>IF(ABS(W133-F133)&lt;1,"ok","err")</f>
        <v>ok</v>
      </c>
    </row>
    <row r="134" spans="1:24">
      <c r="A134" s="120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27"/>
      <c r="X134" s="125"/>
    </row>
    <row r="135" spans="1:24">
      <c r="A135" s="120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27"/>
      <c r="X135" s="125"/>
    </row>
    <row r="136" spans="1:24">
      <c r="A136" s="120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27"/>
      <c r="X136" s="125"/>
    </row>
    <row r="137" spans="1:24">
      <c r="A137" s="120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27"/>
      <c r="X137" s="125"/>
    </row>
    <row r="138" spans="1:24">
      <c r="A138" s="120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27"/>
      <c r="X138" s="125"/>
    </row>
    <row r="139" spans="1:24">
      <c r="A139" s="120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27"/>
      <c r="X139" s="125"/>
    </row>
    <row r="140" spans="1:24">
      <c r="A140" s="128"/>
      <c r="F140" s="32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125"/>
    </row>
    <row r="141" spans="1:24">
      <c r="A141" s="120"/>
      <c r="F141" s="33"/>
    </row>
    <row r="142" spans="1:24">
      <c r="A142" s="30" t="s">
        <v>462</v>
      </c>
      <c r="F142" s="33"/>
    </row>
    <row r="143" spans="1:24">
      <c r="F143" s="33"/>
    </row>
    <row r="144" spans="1:24">
      <c r="A144" s="28" t="s">
        <v>460</v>
      </c>
      <c r="B144" s="25" t="s">
        <v>461</v>
      </c>
      <c r="C144" s="117" t="s">
        <v>482</v>
      </c>
      <c r="D144" s="117" t="s">
        <v>645</v>
      </c>
      <c r="F144" s="27">
        <v>581511</v>
      </c>
      <c r="G144" s="27">
        <f>(VLOOKUP($D144,$C$6:$AJ$992,5,)/VLOOKUP($D144,$C$6:$AJ$992,4,))*$F144</f>
        <v>68269.391400000008</v>
      </c>
      <c r="H144" s="27">
        <f>(VLOOKUP($D144,$C$6:$AJ$992,6,)/VLOOKUP($D144,$C$6:$AJ$992,4,))*$F144</f>
        <v>513241.60860000004</v>
      </c>
      <c r="I144" s="27">
        <f>(VLOOKUP($D144,$C$6:$AJ$992,7,)/VLOOKUP($D144,$C$6:$AJ$992,4,))*$F144</f>
        <v>0</v>
      </c>
      <c r="J144" s="27">
        <f>(VLOOKUP($D144,$C$6:$AJ$992,8,)/VLOOKUP($D144,$C$6:$AJ$992,4,))*$F144</f>
        <v>0</v>
      </c>
      <c r="K144" s="27">
        <f>(VLOOKUP($D144,$C$6:$AJ$992,9,)/VLOOKUP($D144,$C$6:$AJ$992,4,))*$F144</f>
        <v>0</v>
      </c>
      <c r="L144" s="27">
        <f>(VLOOKUP($D144,$C$6:$AJ$992,10,)/VLOOKUP($D144,$C$6:$AJ$992,4,))*$F144</f>
        <v>0</v>
      </c>
      <c r="M144" s="27">
        <f>(VLOOKUP($D144,$C$6:$AJ$992,11,)/VLOOKUP($D144,$C$6:$AJ$992,4,))*$F144</f>
        <v>0</v>
      </c>
      <c r="N144" s="27">
        <f>(VLOOKUP($D144,$C$6:$AJ$992,12,)/VLOOKUP($D144,$C$6:$AJ$992,4,))*$F144</f>
        <v>0</v>
      </c>
      <c r="O144" s="27">
        <f>(VLOOKUP($D144,$C$6:$AJ$992,13,)/VLOOKUP($D144,$C$6:$AJ$992,4,))*$F144</f>
        <v>0</v>
      </c>
      <c r="P144" s="27">
        <f>(VLOOKUP($D144,$C$6:$AJ$992,14,)/VLOOKUP($D144,$C$6:$AJ$992,4,))*$F144</f>
        <v>0</v>
      </c>
      <c r="Q144" s="27">
        <f>(VLOOKUP($D144,$C$6:$AJ$992,15,)/VLOOKUP($D144,$C$6:$AJ$992,4,))*$F144</f>
        <v>0</v>
      </c>
      <c r="R144" s="27">
        <f>(VLOOKUP($D144,$C$6:$AJ$992,16,)/VLOOKUP($D144,$C$6:$AJ$992,4,))*$F144</f>
        <v>0</v>
      </c>
      <c r="S144" s="27">
        <f>(VLOOKUP($D144,$C$6:$AJ$992,15,)/VLOOKUP($D144,$C$6:$AJ$992,4,))*$F144</f>
        <v>0</v>
      </c>
      <c r="T144" s="27">
        <f>(VLOOKUP($D144,$C$6:$AJ$992,16,)/VLOOKUP($D144,$C$6:$AJ$992,4,))*$F144</f>
        <v>0</v>
      </c>
      <c r="U144" s="27">
        <f>(VLOOKUP($D144,$C$6:$AJ$992,17,)/VLOOKUP($D144,$C$6:$AJ$992,4,))*$F144</f>
        <v>0</v>
      </c>
      <c r="V144" s="27">
        <f>(VLOOKUP($D144,$C$6:$AJ$992,18,)/VLOOKUP($D144,$C$6:$AJ$992,4,))*$F144</f>
        <v>0</v>
      </c>
      <c r="W144" s="27">
        <f>SUM(G144:V144)</f>
        <v>581511</v>
      </c>
      <c r="X144" s="125" t="str">
        <f>IF(ABS(W144-F144)&lt;1,"ok","err")</f>
        <v>ok</v>
      </c>
    </row>
    <row r="145" spans="1:24">
      <c r="F145" s="33"/>
    </row>
    <row r="146" spans="1:24">
      <c r="A146" s="120" t="s">
        <v>463</v>
      </c>
      <c r="F146" s="33"/>
    </row>
    <row r="147" spans="1:24">
      <c r="A147" s="120" t="s">
        <v>439</v>
      </c>
      <c r="C147" s="25"/>
      <c r="D147" s="25"/>
      <c r="E147" s="25"/>
      <c r="F147" s="27"/>
      <c r="G147" s="25"/>
      <c r="H147" s="25"/>
      <c r="I147" s="25"/>
      <c r="J147" s="25"/>
      <c r="K147" s="25"/>
      <c r="L147" s="25"/>
      <c r="M147" s="25"/>
      <c r="N147" s="25"/>
    </row>
    <row r="148" spans="1:24">
      <c r="A148" s="28">
        <v>814</v>
      </c>
      <c r="B148" s="25" t="s">
        <v>406</v>
      </c>
      <c r="C148" s="117" t="s">
        <v>483</v>
      </c>
      <c r="D148" s="117" t="s">
        <v>640</v>
      </c>
      <c r="F148" s="27">
        <v>363928</v>
      </c>
      <c r="G148" s="27">
        <f t="shared" ref="G148:G159" si="63">(VLOOKUP($D148,$C$6:$AJ$992,5,)/VLOOKUP($D148,$C$6:$AJ$992,4,))*$F148</f>
        <v>0</v>
      </c>
      <c r="H148" s="27">
        <f t="shared" ref="H148:H159" si="64">(VLOOKUP($D148,$C$6:$AJ$992,6,)/VLOOKUP($D148,$C$6:$AJ$992,4,))*$F148</f>
        <v>0</v>
      </c>
      <c r="I148" s="27">
        <f t="shared" ref="I148:I159" si="65">(VLOOKUP($D148,$C$6:$AJ$992,7,)/VLOOKUP($D148,$C$6:$AJ$992,4,))*$F148</f>
        <v>263794.72183375398</v>
      </c>
      <c r="J148" s="27">
        <f t="shared" ref="J148:J159" si="66">(VLOOKUP($D148,$C$6:$AJ$992,8,)/VLOOKUP($D148,$C$6:$AJ$992,4,))*$F148</f>
        <v>100133.27816624602</v>
      </c>
      <c r="K148" s="27">
        <f t="shared" ref="K148:K159" si="67">(VLOOKUP($D148,$C$6:$AJ$992,9,)/VLOOKUP($D148,$C$6:$AJ$992,4,))*$F148</f>
        <v>0</v>
      </c>
      <c r="L148" s="27">
        <f t="shared" ref="L148:L159" si="68">(VLOOKUP($D148,$C$6:$AJ$992,10,)/VLOOKUP($D148,$C$6:$AJ$992,4,))*$F148</f>
        <v>0</v>
      </c>
      <c r="M148" s="27">
        <f t="shared" ref="M148:M159" si="69">(VLOOKUP($D148,$C$6:$AJ$992,11,)/VLOOKUP($D148,$C$6:$AJ$992,4,))*$F148</f>
        <v>0</v>
      </c>
      <c r="N148" s="27">
        <f t="shared" ref="N148:N159" si="70">(VLOOKUP($D148,$C$6:$AJ$992,12,)/VLOOKUP($D148,$C$6:$AJ$992,4,))*$F148</f>
        <v>0</v>
      </c>
      <c r="O148" s="27">
        <f t="shared" ref="O148:O159" si="71">(VLOOKUP($D148,$C$6:$AJ$992,13,)/VLOOKUP($D148,$C$6:$AJ$992,4,))*$F148</f>
        <v>0</v>
      </c>
      <c r="P148" s="27">
        <f t="shared" ref="P148:P159" si="72">(VLOOKUP($D148,$C$6:$AJ$992,14,)/VLOOKUP($D148,$C$6:$AJ$992,4,))*$F148</f>
        <v>0</v>
      </c>
      <c r="Q148" s="27">
        <f t="shared" ref="Q148:Q159" si="73">(VLOOKUP($D148,$C$6:$AJ$992,15,)/VLOOKUP($D148,$C$6:$AJ$992,4,))*$F148</f>
        <v>0</v>
      </c>
      <c r="R148" s="27">
        <f t="shared" ref="R148:R159" si="74">(VLOOKUP($D148,$C$6:$AJ$992,16,)/VLOOKUP($D148,$C$6:$AJ$992,4,))*$F148</f>
        <v>0</v>
      </c>
      <c r="S148" s="27">
        <f t="shared" ref="S148:S159" si="75">(VLOOKUP($D148,$C$6:$AJ$992,17,)/VLOOKUP($D148,$C$6:$AJ$992,4,))*$F148</f>
        <v>0</v>
      </c>
      <c r="T148" s="27">
        <f t="shared" ref="T148:T159" si="76">(VLOOKUP($D148,$C$6:$AJ$992,18,)/VLOOKUP($D148,$C$6:$AJ$992,4,))*$F148</f>
        <v>0</v>
      </c>
      <c r="U148" s="27">
        <f t="shared" ref="U148:U159" si="77">(VLOOKUP($D148,$C$6:$AJ$992,19,)/VLOOKUP($D148,$C$6:$AJ$992,4,))*$F148</f>
        <v>0</v>
      </c>
      <c r="V148" s="27">
        <f t="shared" ref="V148:V159" si="78">(VLOOKUP($D148,$C$6:$AJ$992,20,)/VLOOKUP($D148,$C$6:$AJ$992,4,))*$F148</f>
        <v>0</v>
      </c>
      <c r="W148" s="27">
        <f t="shared" ref="W148:W159" si="79">SUM(G148:V148)</f>
        <v>363928</v>
      </c>
      <c r="X148" s="125" t="str">
        <f t="shared" ref="X148:X159" si="80">IF(ABS(W148-F148)&lt;1,"ok","err")</f>
        <v>ok</v>
      </c>
    </row>
    <row r="149" spans="1:24">
      <c r="A149" s="28">
        <v>815</v>
      </c>
      <c r="B149" s="25" t="s">
        <v>407</v>
      </c>
      <c r="C149" s="117" t="s">
        <v>484</v>
      </c>
      <c r="D149" s="117" t="s">
        <v>25</v>
      </c>
      <c r="F149" s="27">
        <v>140000</v>
      </c>
      <c r="G149" s="27">
        <f t="shared" si="63"/>
        <v>0</v>
      </c>
      <c r="H149" s="27">
        <f t="shared" si="64"/>
        <v>0</v>
      </c>
      <c r="I149" s="27">
        <f t="shared" si="65"/>
        <v>140000</v>
      </c>
      <c r="J149" s="27">
        <f t="shared" si="66"/>
        <v>0</v>
      </c>
      <c r="K149" s="27">
        <f t="shared" si="67"/>
        <v>0</v>
      </c>
      <c r="L149" s="27">
        <f t="shared" si="68"/>
        <v>0</v>
      </c>
      <c r="M149" s="27">
        <f t="shared" si="69"/>
        <v>0</v>
      </c>
      <c r="N149" s="27">
        <f t="shared" si="70"/>
        <v>0</v>
      </c>
      <c r="O149" s="27">
        <f t="shared" si="71"/>
        <v>0</v>
      </c>
      <c r="P149" s="27">
        <f t="shared" si="72"/>
        <v>0</v>
      </c>
      <c r="Q149" s="27">
        <f t="shared" si="73"/>
        <v>0</v>
      </c>
      <c r="R149" s="27">
        <f t="shared" si="74"/>
        <v>0</v>
      </c>
      <c r="S149" s="27">
        <f t="shared" si="75"/>
        <v>0</v>
      </c>
      <c r="T149" s="27">
        <f t="shared" si="76"/>
        <v>0</v>
      </c>
      <c r="U149" s="27">
        <f t="shared" si="77"/>
        <v>0</v>
      </c>
      <c r="V149" s="27">
        <f t="shared" si="78"/>
        <v>0</v>
      </c>
      <c r="W149" s="27">
        <f t="shared" si="79"/>
        <v>140000</v>
      </c>
      <c r="X149" s="125" t="str">
        <f t="shared" si="80"/>
        <v>ok</v>
      </c>
    </row>
    <row r="150" spans="1:24">
      <c r="A150" s="28">
        <v>816</v>
      </c>
      <c r="B150" s="25" t="s">
        <v>408</v>
      </c>
      <c r="C150" s="117" t="s">
        <v>485</v>
      </c>
      <c r="D150" s="117" t="s">
        <v>25</v>
      </c>
      <c r="F150" s="27">
        <v>156899</v>
      </c>
      <c r="G150" s="27">
        <f t="shared" si="63"/>
        <v>0</v>
      </c>
      <c r="H150" s="27">
        <f t="shared" si="64"/>
        <v>0</v>
      </c>
      <c r="I150" s="27">
        <f t="shared" si="65"/>
        <v>156899</v>
      </c>
      <c r="J150" s="27">
        <f t="shared" si="66"/>
        <v>0</v>
      </c>
      <c r="K150" s="27">
        <f t="shared" si="67"/>
        <v>0</v>
      </c>
      <c r="L150" s="27">
        <f t="shared" si="68"/>
        <v>0</v>
      </c>
      <c r="M150" s="27">
        <f t="shared" si="69"/>
        <v>0</v>
      </c>
      <c r="N150" s="27">
        <f t="shared" si="70"/>
        <v>0</v>
      </c>
      <c r="O150" s="27">
        <f t="shared" si="71"/>
        <v>0</v>
      </c>
      <c r="P150" s="27">
        <f t="shared" si="72"/>
        <v>0</v>
      </c>
      <c r="Q150" s="27">
        <f t="shared" si="73"/>
        <v>0</v>
      </c>
      <c r="R150" s="27">
        <f t="shared" si="74"/>
        <v>0</v>
      </c>
      <c r="S150" s="27">
        <f t="shared" si="75"/>
        <v>0</v>
      </c>
      <c r="T150" s="27">
        <f t="shared" si="76"/>
        <v>0</v>
      </c>
      <c r="U150" s="27">
        <f t="shared" si="77"/>
        <v>0</v>
      </c>
      <c r="V150" s="27">
        <f t="shared" si="78"/>
        <v>0</v>
      </c>
      <c r="W150" s="27">
        <f t="shared" si="79"/>
        <v>156899</v>
      </c>
      <c r="X150" s="125" t="str">
        <f t="shared" si="80"/>
        <v>ok</v>
      </c>
    </row>
    <row r="151" spans="1:24">
      <c r="A151" s="28">
        <v>817</v>
      </c>
      <c r="B151" s="25" t="s">
        <v>98</v>
      </c>
      <c r="C151" s="117" t="s">
        <v>486</v>
      </c>
      <c r="D151" s="117" t="s">
        <v>25</v>
      </c>
      <c r="F151" s="27">
        <v>579051</v>
      </c>
      <c r="G151" s="27">
        <f t="shared" si="63"/>
        <v>0</v>
      </c>
      <c r="H151" s="27">
        <f t="shared" si="64"/>
        <v>0</v>
      </c>
      <c r="I151" s="27">
        <f t="shared" si="65"/>
        <v>579051</v>
      </c>
      <c r="J151" s="27">
        <f t="shared" si="66"/>
        <v>0</v>
      </c>
      <c r="K151" s="27">
        <f t="shared" si="67"/>
        <v>0</v>
      </c>
      <c r="L151" s="27">
        <f t="shared" si="68"/>
        <v>0</v>
      </c>
      <c r="M151" s="27">
        <f t="shared" si="69"/>
        <v>0</v>
      </c>
      <c r="N151" s="27">
        <f t="shared" si="70"/>
        <v>0</v>
      </c>
      <c r="O151" s="27">
        <f t="shared" si="71"/>
        <v>0</v>
      </c>
      <c r="P151" s="27">
        <f t="shared" si="72"/>
        <v>0</v>
      </c>
      <c r="Q151" s="27">
        <f t="shared" si="73"/>
        <v>0</v>
      </c>
      <c r="R151" s="27">
        <f t="shared" si="74"/>
        <v>0</v>
      </c>
      <c r="S151" s="27">
        <f t="shared" si="75"/>
        <v>0</v>
      </c>
      <c r="T151" s="27">
        <f t="shared" si="76"/>
        <v>0</v>
      </c>
      <c r="U151" s="27">
        <f t="shared" si="77"/>
        <v>0</v>
      </c>
      <c r="V151" s="27">
        <f t="shared" si="78"/>
        <v>0</v>
      </c>
      <c r="W151" s="27">
        <f t="shared" si="79"/>
        <v>579051</v>
      </c>
      <c r="X151" s="125" t="str">
        <f t="shared" si="80"/>
        <v>ok</v>
      </c>
    </row>
    <row r="152" spans="1:24">
      <c r="A152" s="28">
        <v>818</v>
      </c>
      <c r="B152" s="25" t="s">
        <v>670</v>
      </c>
      <c r="C152" s="117" t="s">
        <v>487</v>
      </c>
      <c r="D152" s="117" t="s">
        <v>125</v>
      </c>
      <c r="F152" s="27">
        <v>0</v>
      </c>
      <c r="G152" s="27">
        <f t="shared" si="63"/>
        <v>0</v>
      </c>
      <c r="H152" s="27">
        <f t="shared" si="64"/>
        <v>0</v>
      </c>
      <c r="I152" s="27">
        <f t="shared" si="65"/>
        <v>0</v>
      </c>
      <c r="J152" s="27">
        <f t="shared" si="66"/>
        <v>0</v>
      </c>
      <c r="K152" s="27">
        <f t="shared" si="67"/>
        <v>0</v>
      </c>
      <c r="L152" s="27">
        <f t="shared" si="68"/>
        <v>0</v>
      </c>
      <c r="M152" s="27">
        <f t="shared" si="69"/>
        <v>0</v>
      </c>
      <c r="N152" s="27">
        <f t="shared" si="70"/>
        <v>0</v>
      </c>
      <c r="O152" s="27">
        <f t="shared" si="71"/>
        <v>0</v>
      </c>
      <c r="P152" s="27">
        <f t="shared" si="72"/>
        <v>0</v>
      </c>
      <c r="Q152" s="27">
        <f t="shared" si="73"/>
        <v>0</v>
      </c>
      <c r="R152" s="27">
        <f t="shared" si="74"/>
        <v>0</v>
      </c>
      <c r="S152" s="27">
        <f t="shared" si="75"/>
        <v>0</v>
      </c>
      <c r="T152" s="27">
        <f t="shared" si="76"/>
        <v>0</v>
      </c>
      <c r="U152" s="27">
        <f t="shared" si="77"/>
        <v>0</v>
      </c>
      <c r="V152" s="27">
        <f t="shared" si="78"/>
        <v>0</v>
      </c>
      <c r="W152" s="27">
        <f t="shared" si="79"/>
        <v>0</v>
      </c>
      <c r="X152" s="125" t="str">
        <f t="shared" si="80"/>
        <v>ok</v>
      </c>
    </row>
    <row r="153" spans="1:24">
      <c r="A153" s="28">
        <v>819</v>
      </c>
      <c r="B153" s="25" t="s">
        <v>409</v>
      </c>
      <c r="C153" s="117" t="s">
        <v>488</v>
      </c>
      <c r="D153" s="117" t="s">
        <v>125</v>
      </c>
      <c r="F153" s="27">
        <v>0</v>
      </c>
      <c r="G153" s="27">
        <f t="shared" si="63"/>
        <v>0</v>
      </c>
      <c r="H153" s="27">
        <f t="shared" si="64"/>
        <v>0</v>
      </c>
      <c r="I153" s="27">
        <f t="shared" si="65"/>
        <v>0</v>
      </c>
      <c r="J153" s="27">
        <f t="shared" si="66"/>
        <v>0</v>
      </c>
      <c r="K153" s="27">
        <f t="shared" si="67"/>
        <v>0</v>
      </c>
      <c r="L153" s="27">
        <f t="shared" si="68"/>
        <v>0</v>
      </c>
      <c r="M153" s="27">
        <f t="shared" si="69"/>
        <v>0</v>
      </c>
      <c r="N153" s="27">
        <f t="shared" si="70"/>
        <v>0</v>
      </c>
      <c r="O153" s="27">
        <f t="shared" si="71"/>
        <v>0</v>
      </c>
      <c r="P153" s="27">
        <f t="shared" si="72"/>
        <v>0</v>
      </c>
      <c r="Q153" s="27">
        <f t="shared" si="73"/>
        <v>0</v>
      </c>
      <c r="R153" s="27">
        <f t="shared" si="74"/>
        <v>0</v>
      </c>
      <c r="S153" s="27">
        <f t="shared" si="75"/>
        <v>0</v>
      </c>
      <c r="T153" s="27">
        <f t="shared" si="76"/>
        <v>0</v>
      </c>
      <c r="U153" s="27">
        <f t="shared" si="77"/>
        <v>0</v>
      </c>
      <c r="V153" s="27">
        <f t="shared" si="78"/>
        <v>0</v>
      </c>
      <c r="W153" s="27">
        <f t="shared" si="79"/>
        <v>0</v>
      </c>
      <c r="X153" s="125" t="str">
        <f t="shared" si="80"/>
        <v>ok</v>
      </c>
    </row>
    <row r="154" spans="1:24">
      <c r="A154" s="28">
        <v>820</v>
      </c>
      <c r="B154" s="25" t="s">
        <v>410</v>
      </c>
      <c r="C154" s="117" t="s">
        <v>489</v>
      </c>
      <c r="D154" s="117" t="s">
        <v>25</v>
      </c>
      <c r="F154" s="27">
        <v>0</v>
      </c>
      <c r="G154" s="27">
        <f t="shared" si="63"/>
        <v>0</v>
      </c>
      <c r="H154" s="27">
        <f t="shared" si="64"/>
        <v>0</v>
      </c>
      <c r="I154" s="27">
        <f t="shared" si="65"/>
        <v>0</v>
      </c>
      <c r="J154" s="27">
        <f t="shared" si="66"/>
        <v>0</v>
      </c>
      <c r="K154" s="27">
        <f t="shared" si="67"/>
        <v>0</v>
      </c>
      <c r="L154" s="27">
        <f t="shared" si="68"/>
        <v>0</v>
      </c>
      <c r="M154" s="27">
        <f t="shared" si="69"/>
        <v>0</v>
      </c>
      <c r="N154" s="27">
        <f t="shared" si="70"/>
        <v>0</v>
      </c>
      <c r="O154" s="27">
        <f t="shared" si="71"/>
        <v>0</v>
      </c>
      <c r="P154" s="27">
        <f t="shared" si="72"/>
        <v>0</v>
      </c>
      <c r="Q154" s="27">
        <f t="shared" si="73"/>
        <v>0</v>
      </c>
      <c r="R154" s="27">
        <f t="shared" si="74"/>
        <v>0</v>
      </c>
      <c r="S154" s="27">
        <f t="shared" si="75"/>
        <v>0</v>
      </c>
      <c r="T154" s="27">
        <f t="shared" si="76"/>
        <v>0</v>
      </c>
      <c r="U154" s="27">
        <f t="shared" si="77"/>
        <v>0</v>
      </c>
      <c r="V154" s="27">
        <f t="shared" si="78"/>
        <v>0</v>
      </c>
      <c r="W154" s="27">
        <f t="shared" si="79"/>
        <v>0</v>
      </c>
      <c r="X154" s="125" t="str">
        <f t="shared" si="80"/>
        <v>ok</v>
      </c>
    </row>
    <row r="155" spans="1:24">
      <c r="A155" s="28">
        <v>821</v>
      </c>
      <c r="B155" s="25" t="s">
        <v>671</v>
      </c>
      <c r="C155" s="117" t="s">
        <v>490</v>
      </c>
      <c r="D155" s="117" t="s">
        <v>125</v>
      </c>
      <c r="F155" s="27">
        <v>332500</v>
      </c>
      <c r="G155" s="27">
        <f t="shared" si="63"/>
        <v>0</v>
      </c>
      <c r="H155" s="27">
        <f t="shared" si="64"/>
        <v>0</v>
      </c>
      <c r="I155" s="27">
        <f t="shared" si="65"/>
        <v>0</v>
      </c>
      <c r="J155" s="27">
        <f t="shared" si="66"/>
        <v>332500</v>
      </c>
      <c r="K155" s="27">
        <f t="shared" si="67"/>
        <v>0</v>
      </c>
      <c r="L155" s="27">
        <f t="shared" si="68"/>
        <v>0</v>
      </c>
      <c r="M155" s="27">
        <f t="shared" si="69"/>
        <v>0</v>
      </c>
      <c r="N155" s="27">
        <f t="shared" si="70"/>
        <v>0</v>
      </c>
      <c r="O155" s="27">
        <f t="shared" si="71"/>
        <v>0</v>
      </c>
      <c r="P155" s="27">
        <f t="shared" si="72"/>
        <v>0</v>
      </c>
      <c r="Q155" s="27">
        <f t="shared" si="73"/>
        <v>0</v>
      </c>
      <c r="R155" s="27">
        <f t="shared" si="74"/>
        <v>0</v>
      </c>
      <c r="S155" s="27">
        <f t="shared" si="75"/>
        <v>0</v>
      </c>
      <c r="T155" s="27">
        <f t="shared" si="76"/>
        <v>0</v>
      </c>
      <c r="U155" s="27">
        <f t="shared" si="77"/>
        <v>0</v>
      </c>
      <c r="V155" s="27">
        <f t="shared" si="78"/>
        <v>0</v>
      </c>
      <c r="W155" s="27">
        <f t="shared" si="79"/>
        <v>332500</v>
      </c>
      <c r="X155" s="125" t="str">
        <f t="shared" si="80"/>
        <v>ok</v>
      </c>
    </row>
    <row r="156" spans="1:24">
      <c r="A156" s="28">
        <v>823</v>
      </c>
      <c r="B156" s="25" t="s">
        <v>411</v>
      </c>
      <c r="C156" s="117" t="s">
        <v>491</v>
      </c>
      <c r="D156" s="117" t="s">
        <v>125</v>
      </c>
      <c r="F156" s="27">
        <v>0</v>
      </c>
      <c r="G156" s="27">
        <f t="shared" si="63"/>
        <v>0</v>
      </c>
      <c r="H156" s="27">
        <f t="shared" si="64"/>
        <v>0</v>
      </c>
      <c r="I156" s="27">
        <f t="shared" si="65"/>
        <v>0</v>
      </c>
      <c r="J156" s="27">
        <f t="shared" si="66"/>
        <v>0</v>
      </c>
      <c r="K156" s="27">
        <f t="shared" si="67"/>
        <v>0</v>
      </c>
      <c r="L156" s="27">
        <f t="shared" si="68"/>
        <v>0</v>
      </c>
      <c r="M156" s="27">
        <f t="shared" si="69"/>
        <v>0</v>
      </c>
      <c r="N156" s="27">
        <f t="shared" si="70"/>
        <v>0</v>
      </c>
      <c r="O156" s="27">
        <f t="shared" si="71"/>
        <v>0</v>
      </c>
      <c r="P156" s="27">
        <f t="shared" si="72"/>
        <v>0</v>
      </c>
      <c r="Q156" s="27">
        <f t="shared" si="73"/>
        <v>0</v>
      </c>
      <c r="R156" s="27">
        <f t="shared" si="74"/>
        <v>0</v>
      </c>
      <c r="S156" s="27">
        <f t="shared" si="75"/>
        <v>0</v>
      </c>
      <c r="T156" s="27">
        <f t="shared" si="76"/>
        <v>0</v>
      </c>
      <c r="U156" s="27">
        <f t="shared" si="77"/>
        <v>0</v>
      </c>
      <c r="V156" s="27">
        <f t="shared" si="78"/>
        <v>0</v>
      </c>
      <c r="W156" s="27">
        <f t="shared" si="79"/>
        <v>0</v>
      </c>
      <c r="X156" s="125" t="str">
        <f t="shared" si="80"/>
        <v>ok</v>
      </c>
    </row>
    <row r="157" spans="1:24">
      <c r="A157" s="28">
        <v>824</v>
      </c>
      <c r="B157" s="25" t="s">
        <v>106</v>
      </c>
      <c r="C157" s="117" t="s">
        <v>492</v>
      </c>
      <c r="D157" s="117" t="s">
        <v>125</v>
      </c>
      <c r="F157" s="27">
        <v>0</v>
      </c>
      <c r="G157" s="27">
        <f t="shared" si="63"/>
        <v>0</v>
      </c>
      <c r="H157" s="27">
        <f t="shared" si="64"/>
        <v>0</v>
      </c>
      <c r="I157" s="27">
        <f t="shared" si="65"/>
        <v>0</v>
      </c>
      <c r="J157" s="27">
        <f t="shared" si="66"/>
        <v>0</v>
      </c>
      <c r="K157" s="27">
        <f t="shared" si="67"/>
        <v>0</v>
      </c>
      <c r="L157" s="27">
        <f t="shared" si="68"/>
        <v>0</v>
      </c>
      <c r="M157" s="27">
        <f t="shared" si="69"/>
        <v>0</v>
      </c>
      <c r="N157" s="27">
        <f t="shared" si="70"/>
        <v>0</v>
      </c>
      <c r="O157" s="27">
        <f t="shared" si="71"/>
        <v>0</v>
      </c>
      <c r="P157" s="27">
        <f t="shared" si="72"/>
        <v>0</v>
      </c>
      <c r="Q157" s="27">
        <f t="shared" si="73"/>
        <v>0</v>
      </c>
      <c r="R157" s="27">
        <f t="shared" si="74"/>
        <v>0</v>
      </c>
      <c r="S157" s="27">
        <f t="shared" si="75"/>
        <v>0</v>
      </c>
      <c r="T157" s="27">
        <f t="shared" si="76"/>
        <v>0</v>
      </c>
      <c r="U157" s="27">
        <f t="shared" si="77"/>
        <v>0</v>
      </c>
      <c r="V157" s="27">
        <f t="shared" si="78"/>
        <v>0</v>
      </c>
      <c r="W157" s="27">
        <f t="shared" si="79"/>
        <v>0</v>
      </c>
      <c r="X157" s="125" t="str">
        <f t="shared" si="80"/>
        <v>ok</v>
      </c>
    </row>
    <row r="158" spans="1:24">
      <c r="A158" s="28">
        <v>825</v>
      </c>
      <c r="B158" s="25" t="s">
        <v>412</v>
      </c>
      <c r="C158" s="117" t="s">
        <v>493</v>
      </c>
      <c r="D158" s="117" t="s">
        <v>25</v>
      </c>
      <c r="F158" s="27">
        <v>0</v>
      </c>
      <c r="G158" s="27">
        <f t="shared" si="63"/>
        <v>0</v>
      </c>
      <c r="H158" s="27">
        <f t="shared" si="64"/>
        <v>0</v>
      </c>
      <c r="I158" s="27">
        <f t="shared" si="65"/>
        <v>0</v>
      </c>
      <c r="J158" s="27">
        <f t="shared" si="66"/>
        <v>0</v>
      </c>
      <c r="K158" s="27">
        <f t="shared" si="67"/>
        <v>0</v>
      </c>
      <c r="L158" s="27">
        <f t="shared" si="68"/>
        <v>0</v>
      </c>
      <c r="M158" s="27">
        <f t="shared" si="69"/>
        <v>0</v>
      </c>
      <c r="N158" s="27">
        <f t="shared" si="70"/>
        <v>0</v>
      </c>
      <c r="O158" s="27">
        <f t="shared" si="71"/>
        <v>0</v>
      </c>
      <c r="P158" s="27">
        <f t="shared" si="72"/>
        <v>0</v>
      </c>
      <c r="Q158" s="27">
        <f t="shared" si="73"/>
        <v>0</v>
      </c>
      <c r="R158" s="27">
        <f t="shared" si="74"/>
        <v>0</v>
      </c>
      <c r="S158" s="27">
        <f t="shared" si="75"/>
        <v>0</v>
      </c>
      <c r="T158" s="27">
        <f t="shared" si="76"/>
        <v>0</v>
      </c>
      <c r="U158" s="27">
        <f t="shared" si="77"/>
        <v>0</v>
      </c>
      <c r="V158" s="27">
        <f t="shared" si="78"/>
        <v>0</v>
      </c>
      <c r="W158" s="27">
        <f t="shared" si="79"/>
        <v>0</v>
      </c>
      <c r="X158" s="125" t="str">
        <f t="shared" si="80"/>
        <v>ok</v>
      </c>
    </row>
    <row r="159" spans="1:24">
      <c r="A159" s="28">
        <v>826</v>
      </c>
      <c r="B159" s="25" t="s">
        <v>109</v>
      </c>
      <c r="C159" s="117" t="s">
        <v>494</v>
      </c>
      <c r="D159" s="117" t="s">
        <v>25</v>
      </c>
      <c r="F159" s="27">
        <v>0</v>
      </c>
      <c r="G159" s="27">
        <f t="shared" si="63"/>
        <v>0</v>
      </c>
      <c r="H159" s="27">
        <f t="shared" si="64"/>
        <v>0</v>
      </c>
      <c r="I159" s="27">
        <f t="shared" si="65"/>
        <v>0</v>
      </c>
      <c r="J159" s="27">
        <f t="shared" si="66"/>
        <v>0</v>
      </c>
      <c r="K159" s="27">
        <f t="shared" si="67"/>
        <v>0</v>
      </c>
      <c r="L159" s="27">
        <f t="shared" si="68"/>
        <v>0</v>
      </c>
      <c r="M159" s="27">
        <f t="shared" si="69"/>
        <v>0</v>
      </c>
      <c r="N159" s="27">
        <f t="shared" si="70"/>
        <v>0</v>
      </c>
      <c r="O159" s="27">
        <f t="shared" si="71"/>
        <v>0</v>
      </c>
      <c r="P159" s="27">
        <f t="shared" si="72"/>
        <v>0</v>
      </c>
      <c r="Q159" s="27">
        <f t="shared" si="73"/>
        <v>0</v>
      </c>
      <c r="R159" s="27">
        <f t="shared" si="74"/>
        <v>0</v>
      </c>
      <c r="S159" s="27">
        <f t="shared" si="75"/>
        <v>0</v>
      </c>
      <c r="T159" s="27">
        <f t="shared" si="76"/>
        <v>0</v>
      </c>
      <c r="U159" s="27">
        <f t="shared" si="77"/>
        <v>0</v>
      </c>
      <c r="V159" s="27">
        <f t="shared" si="78"/>
        <v>0</v>
      </c>
      <c r="W159" s="27">
        <f t="shared" si="79"/>
        <v>0</v>
      </c>
      <c r="X159" s="125" t="str">
        <f t="shared" si="80"/>
        <v>ok</v>
      </c>
    </row>
    <row r="160" spans="1:24">
      <c r="A160" s="28"/>
      <c r="F160" s="27"/>
    </row>
    <row r="161" spans="1:24">
      <c r="A161" s="28" t="s">
        <v>639</v>
      </c>
      <c r="C161" s="117" t="s">
        <v>540</v>
      </c>
      <c r="F161" s="32">
        <f>SUM(F148:F160)</f>
        <v>1572378</v>
      </c>
      <c r="G161" s="32">
        <f t="shared" ref="G161:V161" si="81">SUM(G148:G160)</f>
        <v>0</v>
      </c>
      <c r="H161" s="32">
        <f t="shared" si="81"/>
        <v>0</v>
      </c>
      <c r="I161" s="32">
        <f t="shared" si="81"/>
        <v>1139744.7218337539</v>
      </c>
      <c r="J161" s="32">
        <f t="shared" si="81"/>
        <v>432633.27816624602</v>
      </c>
      <c r="K161" s="32">
        <f t="shared" si="81"/>
        <v>0</v>
      </c>
      <c r="L161" s="32">
        <f t="shared" si="81"/>
        <v>0</v>
      </c>
      <c r="M161" s="32">
        <f t="shared" si="81"/>
        <v>0</v>
      </c>
      <c r="N161" s="32">
        <f t="shared" si="81"/>
        <v>0</v>
      </c>
      <c r="O161" s="32">
        <f t="shared" si="81"/>
        <v>0</v>
      </c>
      <c r="P161" s="32">
        <f t="shared" si="81"/>
        <v>0</v>
      </c>
      <c r="Q161" s="32">
        <f>SUM(Q148:Q160)</f>
        <v>0</v>
      </c>
      <c r="R161" s="32">
        <f>SUM(R148:R160)</f>
        <v>0</v>
      </c>
      <c r="S161" s="32">
        <f t="shared" si="81"/>
        <v>0</v>
      </c>
      <c r="T161" s="32">
        <f t="shared" si="81"/>
        <v>0</v>
      </c>
      <c r="U161" s="32">
        <f t="shared" si="81"/>
        <v>0</v>
      </c>
      <c r="V161" s="32">
        <f t="shared" si="81"/>
        <v>0</v>
      </c>
      <c r="W161" s="27">
        <f>SUM(G161:V161)</f>
        <v>1572378</v>
      </c>
      <c r="X161" s="125" t="str">
        <f>IF(ABS(W161-F161)&lt;1,"ok","err")</f>
        <v>ok</v>
      </c>
    </row>
    <row r="162" spans="1:24">
      <c r="A162" s="28"/>
      <c r="F162" s="27"/>
    </row>
    <row r="163" spans="1:24">
      <c r="A163" s="120"/>
      <c r="F163" s="33"/>
      <c r="G163" s="131"/>
    </row>
    <row r="164" spans="1:24">
      <c r="A164" s="28"/>
      <c r="F164" s="33"/>
      <c r="G164" s="131"/>
    </row>
    <row r="165" spans="1:24">
      <c r="A165" s="120" t="s">
        <v>464</v>
      </c>
      <c r="F165" s="33"/>
      <c r="G165" s="131"/>
    </row>
    <row r="166" spans="1:24">
      <c r="A166" s="28" t="s">
        <v>465</v>
      </c>
      <c r="F166" s="33"/>
      <c r="G166" s="131"/>
    </row>
    <row r="167" spans="1:24">
      <c r="A167" s="28">
        <v>830</v>
      </c>
      <c r="B167" s="25" t="s">
        <v>413</v>
      </c>
      <c r="C167" s="117" t="s">
        <v>495</v>
      </c>
      <c r="D167" s="117" t="s">
        <v>641</v>
      </c>
      <c r="F167" s="27">
        <v>383000</v>
      </c>
      <c r="G167" s="27">
        <f t="shared" ref="G167:G174" si="82">(VLOOKUP($D167,$C$6:$AJ$992,5,)/VLOOKUP($D167,$C$6:$AJ$992,4,))*$F167</f>
        <v>0</v>
      </c>
      <c r="H167" s="27">
        <f t="shared" ref="H167:H174" si="83">(VLOOKUP($D167,$C$6:$AJ$992,6,)/VLOOKUP($D167,$C$6:$AJ$992,4,))*$F167</f>
        <v>0</v>
      </c>
      <c r="I167" s="27">
        <f t="shared" ref="I167:I174" si="84">(VLOOKUP($D167,$C$6:$AJ$992,7,)/VLOOKUP($D167,$C$6:$AJ$992,4,))*$F167</f>
        <v>120261.76738536289</v>
      </c>
      <c r="J167" s="27">
        <f t="shared" ref="J167:J174" si="85">(VLOOKUP($D167,$C$6:$AJ$992,8,)/VLOOKUP($D167,$C$6:$AJ$992,4,))*$F167</f>
        <v>262738.23261463712</v>
      </c>
      <c r="K167" s="27">
        <f t="shared" ref="K167:K174" si="86">(VLOOKUP($D167,$C$6:$AJ$992,9,)/VLOOKUP($D167,$C$6:$AJ$992,4,))*$F167</f>
        <v>0</v>
      </c>
      <c r="L167" s="27">
        <f t="shared" ref="L167:L174" si="87">(VLOOKUP($D167,$C$6:$AJ$992,10,)/VLOOKUP($D167,$C$6:$AJ$992,4,))*$F167</f>
        <v>0</v>
      </c>
      <c r="M167" s="27">
        <f t="shared" ref="M167:M174" si="88">(VLOOKUP($D167,$C$6:$AJ$992,11,)/VLOOKUP($D167,$C$6:$AJ$992,4,))*$F167</f>
        <v>0</v>
      </c>
      <c r="N167" s="27">
        <f t="shared" ref="N167:N174" si="89">(VLOOKUP($D167,$C$6:$AJ$992,12,)/VLOOKUP($D167,$C$6:$AJ$992,4,))*$F167</f>
        <v>0</v>
      </c>
      <c r="O167" s="27">
        <f t="shared" ref="O167:O174" si="90">(VLOOKUP($D167,$C$6:$AJ$992,13,)/VLOOKUP($D167,$C$6:$AJ$992,4,))*$F167</f>
        <v>0</v>
      </c>
      <c r="P167" s="27">
        <f t="shared" ref="P167:P174" si="91">(VLOOKUP($D167,$C$6:$AJ$992,14,)/VLOOKUP($D167,$C$6:$AJ$992,4,))*$F167</f>
        <v>0</v>
      </c>
      <c r="Q167" s="27">
        <f t="shared" ref="Q167:Q174" si="92">(VLOOKUP($D167,$C$6:$AJ$992,15,)/VLOOKUP($D167,$C$6:$AJ$992,4,))*$F167</f>
        <v>0</v>
      </c>
      <c r="R167" s="27">
        <f t="shared" ref="R167:R174" si="93">(VLOOKUP($D167,$C$6:$AJ$992,16,)/VLOOKUP($D167,$C$6:$AJ$992,4,))*$F167</f>
        <v>0</v>
      </c>
      <c r="S167" s="27">
        <f t="shared" ref="S167:S174" si="94">(VLOOKUP($D167,$C$6:$AJ$992,17,)/VLOOKUP($D167,$C$6:$AJ$992,4,))*$F167</f>
        <v>0</v>
      </c>
      <c r="T167" s="27">
        <f t="shared" ref="T167:T174" si="95">(VLOOKUP($D167,$C$6:$AJ$992,18,)/VLOOKUP($D167,$C$6:$AJ$992,4,))*$F167</f>
        <v>0</v>
      </c>
      <c r="U167" s="27">
        <f t="shared" ref="U167:U174" si="96">(VLOOKUP($D167,$C$6:$AJ$992,19,)/VLOOKUP($D167,$C$6:$AJ$992,4,))*$F167</f>
        <v>0</v>
      </c>
      <c r="V167" s="27">
        <f t="shared" ref="V167:V174" si="97">(VLOOKUP($D167,$C$6:$AJ$992,20,)/VLOOKUP($D167,$C$6:$AJ$992,4,))*$F167</f>
        <v>0</v>
      </c>
      <c r="W167" s="27">
        <f>SUM(G167:V167)</f>
        <v>383000</v>
      </c>
      <c r="X167" s="125" t="str">
        <f>IF(ABS(W167-F167)&lt;1,"ok","err")</f>
        <v>ok</v>
      </c>
    </row>
    <row r="168" spans="1:24">
      <c r="A168" s="28">
        <v>831</v>
      </c>
      <c r="B168" s="25" t="s">
        <v>112</v>
      </c>
      <c r="C168" s="117" t="s">
        <v>496</v>
      </c>
      <c r="D168" s="117" t="s">
        <v>25</v>
      </c>
      <c r="F168" s="27">
        <v>0</v>
      </c>
      <c r="G168" s="27">
        <f t="shared" si="82"/>
        <v>0</v>
      </c>
      <c r="H168" s="27">
        <f t="shared" si="83"/>
        <v>0</v>
      </c>
      <c r="I168" s="27">
        <f t="shared" si="84"/>
        <v>0</v>
      </c>
      <c r="J168" s="27">
        <f t="shared" si="85"/>
        <v>0</v>
      </c>
      <c r="K168" s="27">
        <f t="shared" si="86"/>
        <v>0</v>
      </c>
      <c r="L168" s="27">
        <f t="shared" si="87"/>
        <v>0</v>
      </c>
      <c r="M168" s="27">
        <f t="shared" si="88"/>
        <v>0</v>
      </c>
      <c r="N168" s="27">
        <f t="shared" si="89"/>
        <v>0</v>
      </c>
      <c r="O168" s="27">
        <f t="shared" si="90"/>
        <v>0</v>
      </c>
      <c r="P168" s="27">
        <f t="shared" si="91"/>
        <v>0</v>
      </c>
      <c r="Q168" s="27">
        <f t="shared" si="92"/>
        <v>0</v>
      </c>
      <c r="R168" s="27">
        <f t="shared" si="93"/>
        <v>0</v>
      </c>
      <c r="S168" s="27">
        <f t="shared" si="94"/>
        <v>0</v>
      </c>
      <c r="T168" s="27">
        <f t="shared" si="95"/>
        <v>0</v>
      </c>
      <c r="U168" s="27">
        <f t="shared" si="96"/>
        <v>0</v>
      </c>
      <c r="V168" s="27">
        <f t="shared" si="97"/>
        <v>0</v>
      </c>
      <c r="W168" s="27">
        <f t="shared" ref="W168:W174" si="98">SUM(G168:V168)</f>
        <v>0</v>
      </c>
      <c r="X168" s="125" t="str">
        <f t="shared" ref="X168:X174" si="99">IF(ABS(W168-F168)&lt;1,"ok","err")</f>
        <v>ok</v>
      </c>
    </row>
    <row r="169" spans="1:24">
      <c r="A169" s="28">
        <v>832</v>
      </c>
      <c r="B169" s="25" t="s">
        <v>414</v>
      </c>
      <c r="C169" s="117" t="s">
        <v>497</v>
      </c>
      <c r="D169" s="117" t="s">
        <v>25</v>
      </c>
      <c r="F169" s="27">
        <v>281000</v>
      </c>
      <c r="G169" s="27">
        <f t="shared" si="82"/>
        <v>0</v>
      </c>
      <c r="H169" s="27">
        <f t="shared" si="83"/>
        <v>0</v>
      </c>
      <c r="I169" s="27">
        <f t="shared" si="84"/>
        <v>281000</v>
      </c>
      <c r="J169" s="27">
        <f t="shared" si="85"/>
        <v>0</v>
      </c>
      <c r="K169" s="27">
        <f t="shared" si="86"/>
        <v>0</v>
      </c>
      <c r="L169" s="27">
        <f t="shared" si="87"/>
        <v>0</v>
      </c>
      <c r="M169" s="27">
        <f t="shared" si="88"/>
        <v>0</v>
      </c>
      <c r="N169" s="27">
        <f t="shared" si="89"/>
        <v>0</v>
      </c>
      <c r="O169" s="27">
        <f t="shared" si="90"/>
        <v>0</v>
      </c>
      <c r="P169" s="27">
        <f t="shared" si="91"/>
        <v>0</v>
      </c>
      <c r="Q169" s="27">
        <f t="shared" si="92"/>
        <v>0</v>
      </c>
      <c r="R169" s="27">
        <f t="shared" si="93"/>
        <v>0</v>
      </c>
      <c r="S169" s="27">
        <f t="shared" si="94"/>
        <v>0</v>
      </c>
      <c r="T169" s="27">
        <f t="shared" si="95"/>
        <v>0</v>
      </c>
      <c r="U169" s="27">
        <f t="shared" si="96"/>
        <v>0</v>
      </c>
      <c r="V169" s="27">
        <f t="shared" si="97"/>
        <v>0</v>
      </c>
      <c r="W169" s="27">
        <f t="shared" si="98"/>
        <v>281000</v>
      </c>
      <c r="X169" s="125" t="str">
        <f t="shared" si="99"/>
        <v>ok</v>
      </c>
    </row>
    <row r="170" spans="1:24">
      <c r="A170" s="28">
        <v>833</v>
      </c>
      <c r="B170" s="25" t="s">
        <v>115</v>
      </c>
      <c r="C170" s="117" t="s">
        <v>498</v>
      </c>
      <c r="D170" s="117" t="s">
        <v>25</v>
      </c>
      <c r="F170" s="27">
        <v>113000</v>
      </c>
      <c r="G170" s="27">
        <f t="shared" si="82"/>
        <v>0</v>
      </c>
      <c r="H170" s="27">
        <f t="shared" si="83"/>
        <v>0</v>
      </c>
      <c r="I170" s="27">
        <f t="shared" si="84"/>
        <v>113000</v>
      </c>
      <c r="J170" s="27">
        <f t="shared" si="85"/>
        <v>0</v>
      </c>
      <c r="K170" s="27">
        <f t="shared" si="86"/>
        <v>0</v>
      </c>
      <c r="L170" s="27">
        <f t="shared" si="87"/>
        <v>0</v>
      </c>
      <c r="M170" s="27">
        <f t="shared" si="88"/>
        <v>0</v>
      </c>
      <c r="N170" s="27">
        <f t="shared" si="89"/>
        <v>0</v>
      </c>
      <c r="O170" s="27">
        <f t="shared" si="90"/>
        <v>0</v>
      </c>
      <c r="P170" s="27">
        <f t="shared" si="91"/>
        <v>0</v>
      </c>
      <c r="Q170" s="27">
        <f t="shared" si="92"/>
        <v>0</v>
      </c>
      <c r="R170" s="27">
        <f t="shared" si="93"/>
        <v>0</v>
      </c>
      <c r="S170" s="27">
        <f t="shared" si="94"/>
        <v>0</v>
      </c>
      <c r="T170" s="27">
        <f t="shared" si="95"/>
        <v>0</v>
      </c>
      <c r="U170" s="27">
        <f t="shared" si="96"/>
        <v>0</v>
      </c>
      <c r="V170" s="27">
        <f t="shared" si="97"/>
        <v>0</v>
      </c>
      <c r="W170" s="27">
        <f t="shared" si="98"/>
        <v>113000</v>
      </c>
      <c r="X170" s="125" t="str">
        <f t="shared" si="99"/>
        <v>ok</v>
      </c>
    </row>
    <row r="171" spans="1:24">
      <c r="A171" s="28">
        <v>834</v>
      </c>
      <c r="B171" s="25" t="s">
        <v>415</v>
      </c>
      <c r="C171" s="117" t="s">
        <v>499</v>
      </c>
      <c r="D171" s="117" t="s">
        <v>125</v>
      </c>
      <c r="F171" s="27">
        <v>637500</v>
      </c>
      <c r="G171" s="27">
        <f t="shared" si="82"/>
        <v>0</v>
      </c>
      <c r="H171" s="27">
        <f t="shared" si="83"/>
        <v>0</v>
      </c>
      <c r="I171" s="27">
        <f t="shared" si="84"/>
        <v>0</v>
      </c>
      <c r="J171" s="27">
        <f t="shared" si="85"/>
        <v>637500</v>
      </c>
      <c r="K171" s="27">
        <f t="shared" si="86"/>
        <v>0</v>
      </c>
      <c r="L171" s="27">
        <f t="shared" si="87"/>
        <v>0</v>
      </c>
      <c r="M171" s="27">
        <f t="shared" si="88"/>
        <v>0</v>
      </c>
      <c r="N171" s="27">
        <f t="shared" si="89"/>
        <v>0</v>
      </c>
      <c r="O171" s="27">
        <f t="shared" si="90"/>
        <v>0</v>
      </c>
      <c r="P171" s="27">
        <f t="shared" si="91"/>
        <v>0</v>
      </c>
      <c r="Q171" s="27">
        <f t="shared" si="92"/>
        <v>0</v>
      </c>
      <c r="R171" s="27">
        <f t="shared" si="93"/>
        <v>0</v>
      </c>
      <c r="S171" s="27">
        <f t="shared" si="94"/>
        <v>0</v>
      </c>
      <c r="T171" s="27">
        <f t="shared" si="95"/>
        <v>0</v>
      </c>
      <c r="U171" s="27">
        <f t="shared" si="96"/>
        <v>0</v>
      </c>
      <c r="V171" s="27">
        <f t="shared" si="97"/>
        <v>0</v>
      </c>
      <c r="W171" s="27">
        <f t="shared" si="98"/>
        <v>637500</v>
      </c>
      <c r="X171" s="125" t="str">
        <f t="shared" si="99"/>
        <v>ok</v>
      </c>
    </row>
    <row r="172" spans="1:24">
      <c r="A172" s="28">
        <v>835</v>
      </c>
      <c r="B172" s="25" t="s">
        <v>416</v>
      </c>
      <c r="C172" s="117" t="s">
        <v>500</v>
      </c>
      <c r="D172" s="117" t="s">
        <v>25</v>
      </c>
      <c r="F172" s="27">
        <v>37000</v>
      </c>
      <c r="G172" s="27">
        <f t="shared" si="82"/>
        <v>0</v>
      </c>
      <c r="H172" s="27">
        <f t="shared" si="83"/>
        <v>0</v>
      </c>
      <c r="I172" s="27">
        <f t="shared" si="84"/>
        <v>37000</v>
      </c>
      <c r="J172" s="27">
        <f t="shared" si="85"/>
        <v>0</v>
      </c>
      <c r="K172" s="27">
        <f t="shared" si="86"/>
        <v>0</v>
      </c>
      <c r="L172" s="27">
        <f t="shared" si="87"/>
        <v>0</v>
      </c>
      <c r="M172" s="27">
        <f t="shared" si="88"/>
        <v>0</v>
      </c>
      <c r="N172" s="27">
        <f t="shared" si="89"/>
        <v>0</v>
      </c>
      <c r="O172" s="27">
        <f t="shared" si="90"/>
        <v>0</v>
      </c>
      <c r="P172" s="27">
        <f t="shared" si="91"/>
        <v>0</v>
      </c>
      <c r="Q172" s="27">
        <f t="shared" si="92"/>
        <v>0</v>
      </c>
      <c r="R172" s="27">
        <f t="shared" si="93"/>
        <v>0</v>
      </c>
      <c r="S172" s="27">
        <f t="shared" si="94"/>
        <v>0</v>
      </c>
      <c r="T172" s="27">
        <f t="shared" si="95"/>
        <v>0</v>
      </c>
      <c r="U172" s="27">
        <f t="shared" si="96"/>
        <v>0</v>
      </c>
      <c r="V172" s="27">
        <f t="shared" si="97"/>
        <v>0</v>
      </c>
      <c r="W172" s="27">
        <f t="shared" si="98"/>
        <v>37000</v>
      </c>
      <c r="X172" s="125" t="str">
        <f t="shared" si="99"/>
        <v>ok</v>
      </c>
    </row>
    <row r="173" spans="1:24">
      <c r="A173" s="28">
        <v>836</v>
      </c>
      <c r="B173" s="25" t="s">
        <v>417</v>
      </c>
      <c r="C173" s="117" t="s">
        <v>501</v>
      </c>
      <c r="D173" s="117" t="s">
        <v>125</v>
      </c>
      <c r="F173" s="27">
        <v>492000</v>
      </c>
      <c r="G173" s="27">
        <f t="shared" si="82"/>
        <v>0</v>
      </c>
      <c r="H173" s="27">
        <f t="shared" si="83"/>
        <v>0</v>
      </c>
      <c r="I173" s="27">
        <f t="shared" si="84"/>
        <v>0</v>
      </c>
      <c r="J173" s="27">
        <f t="shared" si="85"/>
        <v>492000</v>
      </c>
      <c r="K173" s="27">
        <f t="shared" si="86"/>
        <v>0</v>
      </c>
      <c r="L173" s="27">
        <f t="shared" si="87"/>
        <v>0</v>
      </c>
      <c r="M173" s="27">
        <f t="shared" si="88"/>
        <v>0</v>
      </c>
      <c r="N173" s="27">
        <f t="shared" si="89"/>
        <v>0</v>
      </c>
      <c r="O173" s="27">
        <f t="shared" si="90"/>
        <v>0</v>
      </c>
      <c r="P173" s="27">
        <f t="shared" si="91"/>
        <v>0</v>
      </c>
      <c r="Q173" s="27">
        <f t="shared" si="92"/>
        <v>0</v>
      </c>
      <c r="R173" s="27">
        <f t="shared" si="93"/>
        <v>0</v>
      </c>
      <c r="S173" s="27">
        <f t="shared" si="94"/>
        <v>0</v>
      </c>
      <c r="T173" s="27">
        <f t="shared" si="95"/>
        <v>0</v>
      </c>
      <c r="U173" s="27">
        <f t="shared" si="96"/>
        <v>0</v>
      </c>
      <c r="V173" s="27">
        <f t="shared" si="97"/>
        <v>0</v>
      </c>
      <c r="W173" s="27">
        <f t="shared" si="98"/>
        <v>492000</v>
      </c>
      <c r="X173" s="125" t="str">
        <f t="shared" si="99"/>
        <v>ok</v>
      </c>
    </row>
    <row r="174" spans="1:24">
      <c r="A174" s="28">
        <v>837</v>
      </c>
      <c r="B174" s="25" t="s">
        <v>418</v>
      </c>
      <c r="C174" s="117" t="s">
        <v>502</v>
      </c>
      <c r="D174" s="117" t="s">
        <v>25</v>
      </c>
      <c r="F174" s="27">
        <v>86000</v>
      </c>
      <c r="G174" s="27">
        <f t="shared" si="82"/>
        <v>0</v>
      </c>
      <c r="H174" s="27">
        <f t="shared" si="83"/>
        <v>0</v>
      </c>
      <c r="I174" s="27">
        <f t="shared" si="84"/>
        <v>86000</v>
      </c>
      <c r="J174" s="27">
        <f t="shared" si="85"/>
        <v>0</v>
      </c>
      <c r="K174" s="27">
        <f t="shared" si="86"/>
        <v>0</v>
      </c>
      <c r="L174" s="27">
        <f t="shared" si="87"/>
        <v>0</v>
      </c>
      <c r="M174" s="27">
        <f t="shared" si="88"/>
        <v>0</v>
      </c>
      <c r="N174" s="27">
        <f t="shared" si="89"/>
        <v>0</v>
      </c>
      <c r="O174" s="27">
        <f t="shared" si="90"/>
        <v>0</v>
      </c>
      <c r="P174" s="27">
        <f t="shared" si="91"/>
        <v>0</v>
      </c>
      <c r="Q174" s="27">
        <f t="shared" si="92"/>
        <v>0</v>
      </c>
      <c r="R174" s="27">
        <f t="shared" si="93"/>
        <v>0</v>
      </c>
      <c r="S174" s="27">
        <f t="shared" si="94"/>
        <v>0</v>
      </c>
      <c r="T174" s="27">
        <f t="shared" si="95"/>
        <v>0</v>
      </c>
      <c r="U174" s="27">
        <f t="shared" si="96"/>
        <v>0</v>
      </c>
      <c r="V174" s="27">
        <f t="shared" si="97"/>
        <v>0</v>
      </c>
      <c r="W174" s="27">
        <f t="shared" si="98"/>
        <v>86000</v>
      </c>
      <c r="X174" s="125" t="str">
        <f t="shared" si="99"/>
        <v>ok</v>
      </c>
    </row>
    <row r="175" spans="1:24">
      <c r="A175" s="28"/>
      <c r="F175" s="27"/>
    </row>
    <row r="176" spans="1:24">
      <c r="A176" s="28" t="s">
        <v>188</v>
      </c>
      <c r="C176" s="117" t="s">
        <v>539</v>
      </c>
      <c r="F176" s="32">
        <f>+SUM(F167:F174)</f>
        <v>2029500</v>
      </c>
      <c r="G176" s="32">
        <f t="shared" ref="G176:V176" si="100">SUM(G167:G175)</f>
        <v>0</v>
      </c>
      <c r="H176" s="32">
        <f t="shared" si="100"/>
        <v>0</v>
      </c>
      <c r="I176" s="32">
        <f t="shared" si="100"/>
        <v>637261.76738536288</v>
      </c>
      <c r="J176" s="32">
        <f t="shared" si="100"/>
        <v>1392238.2326146371</v>
      </c>
      <c r="K176" s="32">
        <f t="shared" si="100"/>
        <v>0</v>
      </c>
      <c r="L176" s="32">
        <f t="shared" si="100"/>
        <v>0</v>
      </c>
      <c r="M176" s="32">
        <f t="shared" si="100"/>
        <v>0</v>
      </c>
      <c r="N176" s="32">
        <f t="shared" si="100"/>
        <v>0</v>
      </c>
      <c r="O176" s="32">
        <f t="shared" si="100"/>
        <v>0</v>
      </c>
      <c r="P176" s="32">
        <f t="shared" si="100"/>
        <v>0</v>
      </c>
      <c r="Q176" s="32">
        <f>SUM(Q167:Q175)</f>
        <v>0</v>
      </c>
      <c r="R176" s="32">
        <f>SUM(R167:R175)</f>
        <v>0</v>
      </c>
      <c r="S176" s="32">
        <f t="shared" si="100"/>
        <v>0</v>
      </c>
      <c r="T176" s="32">
        <f t="shared" si="100"/>
        <v>0</v>
      </c>
      <c r="U176" s="32">
        <f t="shared" si="100"/>
        <v>0</v>
      </c>
      <c r="V176" s="32">
        <f t="shared" si="100"/>
        <v>0</v>
      </c>
      <c r="W176" s="27">
        <f>SUM(G176:V176)</f>
        <v>2029500</v>
      </c>
      <c r="X176" s="125" t="str">
        <f>IF(ABS(W176-F176)&lt;1,"ok","err")</f>
        <v>ok</v>
      </c>
    </row>
    <row r="177" spans="1:24">
      <c r="A177" s="28"/>
      <c r="F177" s="27"/>
    </row>
    <row r="178" spans="1:24">
      <c r="A178" s="28"/>
      <c r="F178" s="27"/>
    </row>
    <row r="179" spans="1:24">
      <c r="A179" s="28" t="s">
        <v>459</v>
      </c>
      <c r="C179" s="117" t="s">
        <v>503</v>
      </c>
      <c r="F179" s="32">
        <f>+F161+F176</f>
        <v>3601878</v>
      </c>
      <c r="G179" s="27">
        <f t="shared" ref="G179:W179" si="101">+G161+G176</f>
        <v>0</v>
      </c>
      <c r="H179" s="27">
        <f t="shared" si="101"/>
        <v>0</v>
      </c>
      <c r="I179" s="27">
        <f t="shared" si="101"/>
        <v>1777006.4892191167</v>
      </c>
      <c r="J179" s="27">
        <f t="shared" si="101"/>
        <v>1824871.510780883</v>
      </c>
      <c r="K179" s="27">
        <f t="shared" si="101"/>
        <v>0</v>
      </c>
      <c r="L179" s="27">
        <f t="shared" si="101"/>
        <v>0</v>
      </c>
      <c r="M179" s="27">
        <f t="shared" si="101"/>
        <v>0</v>
      </c>
      <c r="N179" s="27">
        <f t="shared" si="101"/>
        <v>0</v>
      </c>
      <c r="O179" s="27">
        <f t="shared" si="101"/>
        <v>0</v>
      </c>
      <c r="P179" s="27">
        <f t="shared" si="101"/>
        <v>0</v>
      </c>
      <c r="Q179" s="27">
        <f t="shared" si="101"/>
        <v>0</v>
      </c>
      <c r="R179" s="27">
        <f t="shared" si="101"/>
        <v>0</v>
      </c>
      <c r="S179" s="27">
        <f t="shared" si="101"/>
        <v>0</v>
      </c>
      <c r="T179" s="27">
        <f t="shared" si="101"/>
        <v>0</v>
      </c>
      <c r="U179" s="27">
        <f t="shared" si="101"/>
        <v>0</v>
      </c>
      <c r="V179" s="27">
        <f t="shared" si="101"/>
        <v>0</v>
      </c>
      <c r="W179" s="27">
        <f t="shared" si="101"/>
        <v>3601878</v>
      </c>
      <c r="X179" s="125" t="str">
        <f>IF(ABS(W179-F179)&lt;1,"ok","err")</f>
        <v>ok</v>
      </c>
    </row>
    <row r="180" spans="1:24">
      <c r="A180" s="28"/>
      <c r="F180" s="27"/>
    </row>
    <row r="181" spans="1:24">
      <c r="A181" s="28"/>
      <c r="F181" s="27"/>
    </row>
    <row r="182" spans="1:24">
      <c r="A182" s="28"/>
      <c r="F182" s="27"/>
    </row>
    <row r="183" spans="1:24">
      <c r="A183" s="128"/>
      <c r="F183" s="32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125"/>
    </row>
    <row r="184" spans="1:24">
      <c r="A184" s="28"/>
      <c r="F184" s="27"/>
    </row>
    <row r="185" spans="1:24">
      <c r="A185" s="30" t="s">
        <v>466</v>
      </c>
      <c r="F185" s="27"/>
    </row>
    <row r="186" spans="1:24">
      <c r="A186" s="28"/>
      <c r="F186" s="27"/>
    </row>
    <row r="187" spans="1:24">
      <c r="A187" s="120"/>
      <c r="F187" s="27"/>
    </row>
    <row r="188" spans="1:24">
      <c r="A188" s="120" t="s">
        <v>4</v>
      </c>
      <c r="F188" s="27"/>
    </row>
    <row r="189" spans="1:24">
      <c r="A189" s="28" t="s">
        <v>121</v>
      </c>
      <c r="B189" s="25" t="s">
        <v>438</v>
      </c>
      <c r="C189" s="117" t="s">
        <v>504</v>
      </c>
      <c r="D189" s="117" t="s">
        <v>28</v>
      </c>
      <c r="F189" s="32">
        <v>813028</v>
      </c>
      <c r="G189" s="27">
        <f>(VLOOKUP($D189,$C$6:$AJ$992,5,)/VLOOKUP($D189,$C$6:$AJ$992,4)*F189)</f>
        <v>0</v>
      </c>
      <c r="H189" s="27">
        <f>(VLOOKUP($D189,$C$6:$AJ$992,6,)/VLOOKUP($D189,$C$6:$AJ$992,4,))*F189</f>
        <v>0</v>
      </c>
      <c r="I189" s="27">
        <f>(VLOOKUP($D189,$C$6:$AJ$992,7,)/VLOOKUP($D189,$C$6:$AJ$992,4,))*F189</f>
        <v>0</v>
      </c>
      <c r="J189" s="27">
        <f>(VLOOKUP($D189,$C$6:$AJ$992,8,)/VLOOKUP($D189,$C$6:$AJ$992,4,))*F189</f>
        <v>0</v>
      </c>
      <c r="K189" s="27">
        <f>(VLOOKUP($D189,$C$6:$AJ$992,9,)/VLOOKUP($D189,$C$6:$AJ$992,4,))*F189</f>
        <v>813028</v>
      </c>
      <c r="L189" s="27">
        <f>(VLOOKUP($D189,$C$6:$AJ$992,10,)/VLOOKUP($D189,$C$6:$AJ$992,4,))*F189</f>
        <v>0</v>
      </c>
      <c r="M189" s="27">
        <f>(VLOOKUP($D189,$C$6:$AJ$992,11,)/VLOOKUP($D189,$C$6:$AJ$992,4,))*F189</f>
        <v>0</v>
      </c>
      <c r="N189" s="27">
        <f>(VLOOKUP($D189,$C$6:$AJ$992,12,)/VLOOKUP($D189,$C$6:$AJ$992,4,))*F189</f>
        <v>0</v>
      </c>
      <c r="O189" s="27">
        <f>(VLOOKUP($D189,$C$6:$AJ$992,13,)/VLOOKUP($D189,$C$6:$AJ$992,4,))*F189</f>
        <v>0</v>
      </c>
      <c r="P189" s="27">
        <f>(VLOOKUP($D189,$C$6:$AJ$992,14,)/VLOOKUP($D189,$C$6:$AJ$992,4,))*F189</f>
        <v>0</v>
      </c>
      <c r="Q189" s="27">
        <f>(VLOOKUP($D189,$C$6:$AJ$992,15,)/VLOOKUP($D189,$C$6:$AJ$992,4,))*F189</f>
        <v>0</v>
      </c>
      <c r="R189" s="27">
        <f>(VLOOKUP($D189,$C$6:$AJ$992,16,)/VLOOKUP($D189,$C$6:$AJ$992,4,))*F189</f>
        <v>0</v>
      </c>
      <c r="S189" s="27">
        <f>(VLOOKUP($D189,$C$6:$AJ$992,17,)/VLOOKUP($D189,$C$6:$AJ$992,4,))*F189</f>
        <v>0</v>
      </c>
      <c r="T189" s="27">
        <f>(VLOOKUP($D189,$C$6:$AJ$992,18,)/VLOOKUP($D189,$C$6:$AJ$992,4,))*F189</f>
        <v>0</v>
      </c>
      <c r="U189" s="27">
        <f>(VLOOKUP($D189,$C$6:$AJ$992,19,)/VLOOKUP($D189,$C$6:$AJ$992,4,))*F189</f>
        <v>0</v>
      </c>
      <c r="V189" s="27">
        <f>(VLOOKUP($D189,$C$6:$AJ$992,20,)/VLOOKUP($D189,$C$6:$AJ$992,4,))*F189</f>
        <v>0</v>
      </c>
      <c r="W189" s="27">
        <f>SUM(G189:V189)</f>
        <v>813028</v>
      </c>
      <c r="X189" s="125" t="str">
        <f>IF(ABS(W189-F189)&lt;1,"ok","err")</f>
        <v>ok</v>
      </c>
    </row>
    <row r="190" spans="1:24">
      <c r="A190" s="120"/>
      <c r="F190" s="27"/>
    </row>
    <row r="191" spans="1:24">
      <c r="A191" s="120" t="s">
        <v>6</v>
      </c>
      <c r="F191" s="27"/>
    </row>
    <row r="192" spans="1:24">
      <c r="A192" s="28" t="s">
        <v>439</v>
      </c>
      <c r="F192" s="27"/>
    </row>
    <row r="193" spans="1:24">
      <c r="A193" s="28">
        <v>870</v>
      </c>
      <c r="B193" s="25" t="s">
        <v>419</v>
      </c>
      <c r="C193" s="117" t="s">
        <v>505</v>
      </c>
      <c r="D193" s="117" t="s">
        <v>647</v>
      </c>
      <c r="F193" s="32">
        <v>0</v>
      </c>
      <c r="G193" s="27">
        <f t="shared" ref="G193:V193" si="102">(VLOOKUP($D193,$C$6:$AJ$992,5,)/VLOOKUP($D193,$C$6:$AJ$992,4,))*$F193</f>
        <v>0</v>
      </c>
      <c r="H193" s="27">
        <f t="shared" si="102"/>
        <v>0</v>
      </c>
      <c r="I193" s="27">
        <f t="shared" si="102"/>
        <v>0</v>
      </c>
      <c r="J193" s="27">
        <f t="shared" si="102"/>
        <v>0</v>
      </c>
      <c r="K193" s="27">
        <f t="shared" si="102"/>
        <v>0</v>
      </c>
      <c r="L193" s="27">
        <f t="shared" si="102"/>
        <v>0</v>
      </c>
      <c r="M193" s="27">
        <f t="shared" si="102"/>
        <v>0</v>
      </c>
      <c r="N193" s="27">
        <f t="shared" si="102"/>
        <v>0</v>
      </c>
      <c r="O193" s="27">
        <f t="shared" si="102"/>
        <v>0</v>
      </c>
      <c r="P193" s="27">
        <f t="shared" si="102"/>
        <v>0</v>
      </c>
      <c r="Q193" s="27">
        <f t="shared" si="102"/>
        <v>0</v>
      </c>
      <c r="R193" s="27">
        <f t="shared" si="102"/>
        <v>0</v>
      </c>
      <c r="S193" s="27">
        <f t="shared" si="102"/>
        <v>0</v>
      </c>
      <c r="T193" s="27">
        <f t="shared" si="102"/>
        <v>0</v>
      </c>
      <c r="U193" s="27">
        <f t="shared" si="102"/>
        <v>0</v>
      </c>
      <c r="V193" s="27">
        <f t="shared" si="102"/>
        <v>0</v>
      </c>
      <c r="W193" s="27">
        <f>SUM(G193:V193)</f>
        <v>0</v>
      </c>
      <c r="X193" s="125" t="str">
        <f>IF(ABS(W193-F193)&lt;1,"ok","err")</f>
        <v>ok</v>
      </c>
    </row>
    <row r="194" spans="1:24">
      <c r="A194" s="28">
        <v>871</v>
      </c>
      <c r="B194" s="25" t="s">
        <v>420</v>
      </c>
      <c r="C194" s="117" t="s">
        <v>506</v>
      </c>
      <c r="D194" s="117" t="s">
        <v>36</v>
      </c>
      <c r="F194" s="27">
        <v>306000</v>
      </c>
      <c r="G194" s="27">
        <f t="shared" ref="G194:G213" si="103">(VLOOKUP($D194,$C$6:$AJ$992,5,)/VLOOKUP($D194,$C$6:$AJ$992,4,))*$F194</f>
        <v>0</v>
      </c>
      <c r="H194" s="27">
        <f t="shared" ref="H194:H213" si="104">(VLOOKUP($D194,$C$6:$AJ$992,6,)/VLOOKUP($D194,$C$6:$AJ$992,4,))*$F194</f>
        <v>0</v>
      </c>
      <c r="I194" s="27">
        <f t="shared" ref="I194:I213" si="105">(VLOOKUP($D194,$C$6:$AJ$992,7,)/VLOOKUP($D194,$C$6:$AJ$992,4,))*$F194</f>
        <v>0</v>
      </c>
      <c r="J194" s="27">
        <f t="shared" ref="J194:J213" si="106">(VLOOKUP($D194,$C$6:$AJ$992,8,)/VLOOKUP($D194,$C$6:$AJ$992,4,))*$F194</f>
        <v>0</v>
      </c>
      <c r="K194" s="27">
        <f t="shared" ref="K194:K213" si="107">(VLOOKUP($D194,$C$6:$AJ$992,9,)/VLOOKUP($D194,$C$6:$AJ$992,4,))*$F194</f>
        <v>0</v>
      </c>
      <c r="L194" s="27">
        <f t="shared" ref="L194:L213" si="108">(VLOOKUP($D194,$C$6:$AJ$992,10,)/VLOOKUP($D194,$C$6:$AJ$992,4,))*$F194</f>
        <v>0</v>
      </c>
      <c r="M194" s="27">
        <f t="shared" ref="M194:M213" si="109">(VLOOKUP($D194,$C$6:$AJ$992,11,)/VLOOKUP($D194,$C$6:$AJ$992,4,))*$F194</f>
        <v>306000</v>
      </c>
      <c r="N194" s="27">
        <f t="shared" ref="N194:N213" si="110">(VLOOKUP($D194,$C$6:$AJ$992,12,)/VLOOKUP($D194,$C$6:$AJ$992,4,))*$F194</f>
        <v>0</v>
      </c>
      <c r="O194" s="27">
        <f t="shared" ref="O194:O213" si="111">(VLOOKUP($D194,$C$6:$AJ$992,13,)/VLOOKUP($D194,$C$6:$AJ$992,4,))*$F194</f>
        <v>0</v>
      </c>
      <c r="P194" s="27">
        <f t="shared" ref="P194:P213" si="112">(VLOOKUP($D194,$C$6:$AJ$992,14,)/VLOOKUP($D194,$C$6:$AJ$992,4,))*$F194</f>
        <v>0</v>
      </c>
      <c r="Q194" s="27">
        <f t="shared" ref="Q194:Q213" si="113">(VLOOKUP($D194,$C$6:$AJ$992,15,)/VLOOKUP($D194,$C$6:$AJ$992,4,))*$F194</f>
        <v>0</v>
      </c>
      <c r="R194" s="27">
        <f t="shared" ref="R194:R213" si="114">(VLOOKUP($D194,$C$6:$AJ$992,16,)/VLOOKUP($D194,$C$6:$AJ$992,4,))*$F194</f>
        <v>0</v>
      </c>
      <c r="S194" s="27">
        <f t="shared" ref="S194:S213" si="115">(VLOOKUP($D194,$C$6:$AJ$992,17,)/VLOOKUP($D194,$C$6:$AJ$992,4,))*$F194</f>
        <v>0</v>
      </c>
      <c r="T194" s="27">
        <f t="shared" ref="T194:T213" si="116">(VLOOKUP($D194,$C$6:$AJ$992,18,)/VLOOKUP($D194,$C$6:$AJ$992,4,))*$F194</f>
        <v>0</v>
      </c>
      <c r="U194" s="27">
        <f t="shared" ref="U194:U213" si="117">(VLOOKUP($D194,$C$6:$AJ$992,19,)/VLOOKUP($D194,$C$6:$AJ$992,4,))*$F194</f>
        <v>0</v>
      </c>
      <c r="V194" s="27">
        <f t="shared" ref="V194:V213" si="118">(VLOOKUP($D194,$C$6:$AJ$992,20,)/VLOOKUP($D194,$C$6:$AJ$992,4,))*$F194</f>
        <v>0</v>
      </c>
      <c r="W194" s="27">
        <f t="shared" ref="W194:W215" si="119">SUM(G194:V194)</f>
        <v>306000</v>
      </c>
      <c r="X194" s="125" t="str">
        <f t="shared" ref="X194:X215" si="120">IF(ABS(W194-F194)&lt;1,"ok","err")</f>
        <v>ok</v>
      </c>
    </row>
    <row r="195" spans="1:24">
      <c r="A195" s="28">
        <v>872</v>
      </c>
      <c r="B195" s="25" t="s">
        <v>422</v>
      </c>
      <c r="C195" s="117" t="s">
        <v>507</v>
      </c>
      <c r="D195" s="117" t="s">
        <v>36</v>
      </c>
      <c r="F195" s="27">
        <v>0</v>
      </c>
      <c r="G195" s="27">
        <f t="shared" si="103"/>
        <v>0</v>
      </c>
      <c r="H195" s="27">
        <f t="shared" si="104"/>
        <v>0</v>
      </c>
      <c r="I195" s="27">
        <f t="shared" si="105"/>
        <v>0</v>
      </c>
      <c r="J195" s="27">
        <f t="shared" si="106"/>
        <v>0</v>
      </c>
      <c r="K195" s="27">
        <f t="shared" si="107"/>
        <v>0</v>
      </c>
      <c r="L195" s="27">
        <f t="shared" si="108"/>
        <v>0</v>
      </c>
      <c r="M195" s="27">
        <f t="shared" si="109"/>
        <v>0</v>
      </c>
      <c r="N195" s="27">
        <f t="shared" si="110"/>
        <v>0</v>
      </c>
      <c r="O195" s="27">
        <f t="shared" si="111"/>
        <v>0</v>
      </c>
      <c r="P195" s="27">
        <f t="shared" si="112"/>
        <v>0</v>
      </c>
      <c r="Q195" s="27">
        <f t="shared" si="113"/>
        <v>0</v>
      </c>
      <c r="R195" s="27">
        <f t="shared" si="114"/>
        <v>0</v>
      </c>
      <c r="S195" s="27">
        <f t="shared" si="115"/>
        <v>0</v>
      </c>
      <c r="T195" s="27">
        <f t="shared" si="116"/>
        <v>0</v>
      </c>
      <c r="U195" s="27">
        <f t="shared" si="117"/>
        <v>0</v>
      </c>
      <c r="V195" s="27">
        <f t="shared" si="118"/>
        <v>0</v>
      </c>
      <c r="W195" s="27">
        <f t="shared" si="119"/>
        <v>0</v>
      </c>
      <c r="X195" s="125" t="str">
        <f t="shared" si="120"/>
        <v>ok</v>
      </c>
    </row>
    <row r="196" spans="1:24">
      <c r="A196" s="28">
        <v>873</v>
      </c>
      <c r="B196" s="25" t="s">
        <v>421</v>
      </c>
      <c r="C196" s="117" t="s">
        <v>508</v>
      </c>
      <c r="D196" s="117" t="s">
        <v>36</v>
      </c>
      <c r="F196" s="27">
        <v>0</v>
      </c>
      <c r="G196" s="27">
        <f t="shared" si="103"/>
        <v>0</v>
      </c>
      <c r="H196" s="27">
        <f t="shared" si="104"/>
        <v>0</v>
      </c>
      <c r="I196" s="27">
        <f t="shared" si="105"/>
        <v>0</v>
      </c>
      <c r="J196" s="27">
        <f t="shared" si="106"/>
        <v>0</v>
      </c>
      <c r="K196" s="27">
        <f t="shared" si="107"/>
        <v>0</v>
      </c>
      <c r="L196" s="27">
        <f t="shared" si="108"/>
        <v>0</v>
      </c>
      <c r="M196" s="27">
        <f t="shared" si="109"/>
        <v>0</v>
      </c>
      <c r="N196" s="27">
        <f t="shared" si="110"/>
        <v>0</v>
      </c>
      <c r="O196" s="27">
        <f t="shared" si="111"/>
        <v>0</v>
      </c>
      <c r="P196" s="27">
        <f t="shared" si="112"/>
        <v>0</v>
      </c>
      <c r="Q196" s="27">
        <f t="shared" si="113"/>
        <v>0</v>
      </c>
      <c r="R196" s="27">
        <f t="shared" si="114"/>
        <v>0</v>
      </c>
      <c r="S196" s="27">
        <f t="shared" si="115"/>
        <v>0</v>
      </c>
      <c r="T196" s="27">
        <f t="shared" si="116"/>
        <v>0</v>
      </c>
      <c r="U196" s="27">
        <f t="shared" si="117"/>
        <v>0</v>
      </c>
      <c r="V196" s="27">
        <f t="shared" si="118"/>
        <v>0</v>
      </c>
      <c r="W196" s="27">
        <f t="shared" si="119"/>
        <v>0</v>
      </c>
      <c r="X196" s="125" t="str">
        <f t="shared" si="120"/>
        <v>ok</v>
      </c>
    </row>
    <row r="197" spans="1:24">
      <c r="A197" s="28">
        <v>874.01</v>
      </c>
      <c r="B197" s="25" t="s">
        <v>423</v>
      </c>
      <c r="C197" s="117" t="s">
        <v>509</v>
      </c>
      <c r="D197" s="117" t="s">
        <v>644</v>
      </c>
      <c r="F197" s="27">
        <v>735926</v>
      </c>
      <c r="G197" s="27">
        <f t="shared" si="103"/>
        <v>0</v>
      </c>
      <c r="H197" s="27">
        <f t="shared" si="104"/>
        <v>0</v>
      </c>
      <c r="I197" s="27">
        <f t="shared" si="105"/>
        <v>0</v>
      </c>
      <c r="J197" s="27">
        <f t="shared" si="106"/>
        <v>0</v>
      </c>
      <c r="K197" s="27">
        <f t="shared" si="107"/>
        <v>0</v>
      </c>
      <c r="L197" s="27">
        <f t="shared" si="108"/>
        <v>0</v>
      </c>
      <c r="M197" s="27">
        <f t="shared" si="109"/>
        <v>0</v>
      </c>
      <c r="N197" s="27">
        <f t="shared" si="110"/>
        <v>0</v>
      </c>
      <c r="O197" s="27">
        <f t="shared" si="111"/>
        <v>156987.1036714619</v>
      </c>
      <c r="P197" s="27">
        <f t="shared" si="112"/>
        <v>262784.34210391366</v>
      </c>
      <c r="Q197" s="27">
        <f t="shared" si="113"/>
        <v>22844.494378243886</v>
      </c>
      <c r="R197" s="27">
        <f t="shared" si="114"/>
        <v>16463.49078210297</v>
      </c>
      <c r="S197" s="27">
        <f t="shared" si="115"/>
        <v>276846.56906427757</v>
      </c>
      <c r="T197" s="27">
        <f t="shared" si="116"/>
        <v>0</v>
      </c>
      <c r="U197" s="27">
        <f t="shared" si="117"/>
        <v>0</v>
      </c>
      <c r="V197" s="27">
        <f t="shared" si="118"/>
        <v>0</v>
      </c>
      <c r="W197" s="27">
        <f t="shared" si="119"/>
        <v>735926</v>
      </c>
      <c r="X197" s="125" t="str">
        <f t="shared" si="120"/>
        <v>ok</v>
      </c>
    </row>
    <row r="198" spans="1:24">
      <c r="A198" s="28">
        <v>874.02</v>
      </c>
      <c r="B198" s="25" t="s">
        <v>424</v>
      </c>
      <c r="C198" s="117" t="s">
        <v>510</v>
      </c>
      <c r="D198" s="117" t="s">
        <v>41</v>
      </c>
      <c r="F198" s="27">
        <v>0</v>
      </c>
      <c r="G198" s="27">
        <f t="shared" si="103"/>
        <v>0</v>
      </c>
      <c r="H198" s="27">
        <f t="shared" si="104"/>
        <v>0</v>
      </c>
      <c r="I198" s="27">
        <f t="shared" si="105"/>
        <v>0</v>
      </c>
      <c r="J198" s="27">
        <f t="shared" si="106"/>
        <v>0</v>
      </c>
      <c r="K198" s="27">
        <f t="shared" si="107"/>
        <v>0</v>
      </c>
      <c r="L198" s="27">
        <f t="shared" si="108"/>
        <v>0</v>
      </c>
      <c r="M198" s="27">
        <f t="shared" si="109"/>
        <v>0</v>
      </c>
      <c r="N198" s="27">
        <f t="shared" si="110"/>
        <v>0</v>
      </c>
      <c r="O198" s="27">
        <f t="shared" si="111"/>
        <v>0</v>
      </c>
      <c r="P198" s="27">
        <f t="shared" si="112"/>
        <v>0</v>
      </c>
      <c r="Q198" s="27">
        <f t="shared" si="113"/>
        <v>0</v>
      </c>
      <c r="R198" s="27">
        <f t="shared" si="114"/>
        <v>0</v>
      </c>
      <c r="S198" s="27">
        <f t="shared" si="115"/>
        <v>0</v>
      </c>
      <c r="T198" s="27">
        <f t="shared" si="116"/>
        <v>0</v>
      </c>
      <c r="U198" s="27">
        <f t="shared" si="117"/>
        <v>0</v>
      </c>
      <c r="V198" s="27">
        <f t="shared" si="118"/>
        <v>0</v>
      </c>
      <c r="W198" s="27">
        <f t="shared" si="119"/>
        <v>0</v>
      </c>
      <c r="X198" s="125" t="str">
        <f t="shared" si="120"/>
        <v>ok</v>
      </c>
    </row>
    <row r="199" spans="1:24">
      <c r="A199" s="28">
        <v>874.03</v>
      </c>
      <c r="B199" s="25" t="s">
        <v>425</v>
      </c>
      <c r="C199" s="117" t="s">
        <v>511</v>
      </c>
      <c r="D199" s="117" t="s">
        <v>43</v>
      </c>
      <c r="F199" s="27">
        <v>0</v>
      </c>
      <c r="G199" s="27">
        <f t="shared" si="103"/>
        <v>0</v>
      </c>
      <c r="H199" s="27">
        <f t="shared" si="104"/>
        <v>0</v>
      </c>
      <c r="I199" s="27">
        <f t="shared" si="105"/>
        <v>0</v>
      </c>
      <c r="J199" s="27">
        <f t="shared" si="106"/>
        <v>0</v>
      </c>
      <c r="K199" s="27">
        <f t="shared" si="107"/>
        <v>0</v>
      </c>
      <c r="L199" s="27">
        <f t="shared" si="108"/>
        <v>0</v>
      </c>
      <c r="M199" s="27">
        <f t="shared" si="109"/>
        <v>0</v>
      </c>
      <c r="N199" s="27">
        <f t="shared" si="110"/>
        <v>0</v>
      </c>
      <c r="O199" s="27">
        <f t="shared" si="111"/>
        <v>0</v>
      </c>
      <c r="P199" s="27">
        <f t="shared" si="112"/>
        <v>0</v>
      </c>
      <c r="Q199" s="27">
        <f t="shared" si="113"/>
        <v>0</v>
      </c>
      <c r="R199" s="27">
        <f t="shared" si="114"/>
        <v>0</v>
      </c>
      <c r="S199" s="27">
        <f t="shared" si="115"/>
        <v>0</v>
      </c>
      <c r="T199" s="27">
        <f t="shared" si="116"/>
        <v>0</v>
      </c>
      <c r="U199" s="27">
        <f t="shared" si="117"/>
        <v>0</v>
      </c>
      <c r="V199" s="27">
        <f t="shared" si="118"/>
        <v>0</v>
      </c>
      <c r="W199" s="27">
        <f t="shared" si="119"/>
        <v>0</v>
      </c>
      <c r="X199" s="125" t="str">
        <f t="shared" si="120"/>
        <v>ok</v>
      </c>
    </row>
    <row r="200" spans="1:24">
      <c r="A200" s="28">
        <v>874.04</v>
      </c>
      <c r="B200" s="25" t="s">
        <v>426</v>
      </c>
      <c r="C200" s="117" t="s">
        <v>512</v>
      </c>
      <c r="D200" s="117" t="s">
        <v>644</v>
      </c>
      <c r="F200" s="27">
        <v>0</v>
      </c>
      <c r="G200" s="27">
        <f t="shared" si="103"/>
        <v>0</v>
      </c>
      <c r="H200" s="27">
        <f t="shared" si="104"/>
        <v>0</v>
      </c>
      <c r="I200" s="27">
        <f t="shared" si="105"/>
        <v>0</v>
      </c>
      <c r="J200" s="27">
        <f t="shared" si="106"/>
        <v>0</v>
      </c>
      <c r="K200" s="27">
        <f t="shared" si="107"/>
        <v>0</v>
      </c>
      <c r="L200" s="27">
        <f t="shared" si="108"/>
        <v>0</v>
      </c>
      <c r="M200" s="27">
        <f t="shared" si="109"/>
        <v>0</v>
      </c>
      <c r="N200" s="27">
        <f t="shared" si="110"/>
        <v>0</v>
      </c>
      <c r="O200" s="27">
        <f t="shared" si="111"/>
        <v>0</v>
      </c>
      <c r="P200" s="27">
        <f t="shared" si="112"/>
        <v>0</v>
      </c>
      <c r="Q200" s="27">
        <f t="shared" si="113"/>
        <v>0</v>
      </c>
      <c r="R200" s="27">
        <f t="shared" si="114"/>
        <v>0</v>
      </c>
      <c r="S200" s="27">
        <f t="shared" si="115"/>
        <v>0</v>
      </c>
      <c r="T200" s="27">
        <f t="shared" si="116"/>
        <v>0</v>
      </c>
      <c r="U200" s="27">
        <f t="shared" si="117"/>
        <v>0</v>
      </c>
      <c r="V200" s="27">
        <f t="shared" si="118"/>
        <v>0</v>
      </c>
      <c r="W200" s="27">
        <f t="shared" si="119"/>
        <v>0</v>
      </c>
      <c r="X200" s="125" t="str">
        <f t="shared" si="120"/>
        <v>ok</v>
      </c>
    </row>
    <row r="201" spans="1:24">
      <c r="A201" s="28">
        <v>874.05</v>
      </c>
      <c r="B201" s="25" t="s">
        <v>427</v>
      </c>
      <c r="C201" s="117" t="s">
        <v>513</v>
      </c>
      <c r="D201" s="117" t="s">
        <v>43</v>
      </c>
      <c r="F201" s="27">
        <v>0</v>
      </c>
      <c r="G201" s="27">
        <f t="shared" si="103"/>
        <v>0</v>
      </c>
      <c r="H201" s="27">
        <f t="shared" si="104"/>
        <v>0</v>
      </c>
      <c r="I201" s="27">
        <f t="shared" si="105"/>
        <v>0</v>
      </c>
      <c r="J201" s="27">
        <f t="shared" si="106"/>
        <v>0</v>
      </c>
      <c r="K201" s="27">
        <f t="shared" si="107"/>
        <v>0</v>
      </c>
      <c r="L201" s="27">
        <f t="shared" si="108"/>
        <v>0</v>
      </c>
      <c r="M201" s="27">
        <f t="shared" si="109"/>
        <v>0</v>
      </c>
      <c r="N201" s="27">
        <f t="shared" si="110"/>
        <v>0</v>
      </c>
      <c r="O201" s="27">
        <f t="shared" si="111"/>
        <v>0</v>
      </c>
      <c r="P201" s="27">
        <f t="shared" si="112"/>
        <v>0</v>
      </c>
      <c r="Q201" s="27">
        <f t="shared" si="113"/>
        <v>0</v>
      </c>
      <c r="R201" s="27">
        <f t="shared" si="114"/>
        <v>0</v>
      </c>
      <c r="S201" s="27">
        <f t="shared" si="115"/>
        <v>0</v>
      </c>
      <c r="T201" s="27">
        <f t="shared" si="116"/>
        <v>0</v>
      </c>
      <c r="U201" s="27">
        <f t="shared" si="117"/>
        <v>0</v>
      </c>
      <c r="V201" s="27">
        <f t="shared" si="118"/>
        <v>0</v>
      </c>
      <c r="W201" s="27">
        <f t="shared" si="119"/>
        <v>0</v>
      </c>
      <c r="X201" s="125" t="str">
        <f t="shared" si="120"/>
        <v>ok</v>
      </c>
    </row>
    <row r="202" spans="1:24">
      <c r="A202" s="28">
        <v>874.06</v>
      </c>
      <c r="B202" s="25" t="s">
        <v>428</v>
      </c>
      <c r="C202" s="117" t="s">
        <v>514</v>
      </c>
      <c r="D202" s="117" t="s">
        <v>41</v>
      </c>
      <c r="F202" s="27">
        <v>0</v>
      </c>
      <c r="G202" s="27">
        <f t="shared" si="103"/>
        <v>0</v>
      </c>
      <c r="H202" s="27">
        <f t="shared" si="104"/>
        <v>0</v>
      </c>
      <c r="I202" s="27">
        <f t="shared" si="105"/>
        <v>0</v>
      </c>
      <c r="J202" s="27">
        <f t="shared" si="106"/>
        <v>0</v>
      </c>
      <c r="K202" s="27">
        <f t="shared" si="107"/>
        <v>0</v>
      </c>
      <c r="L202" s="27">
        <f t="shared" si="108"/>
        <v>0</v>
      </c>
      <c r="M202" s="27">
        <f t="shared" si="109"/>
        <v>0</v>
      </c>
      <c r="N202" s="27">
        <f t="shared" si="110"/>
        <v>0</v>
      </c>
      <c r="O202" s="27">
        <f t="shared" si="111"/>
        <v>0</v>
      </c>
      <c r="P202" s="27">
        <f t="shared" si="112"/>
        <v>0</v>
      </c>
      <c r="Q202" s="27">
        <f t="shared" si="113"/>
        <v>0</v>
      </c>
      <c r="R202" s="27">
        <f t="shared" si="114"/>
        <v>0</v>
      </c>
      <c r="S202" s="27">
        <f t="shared" si="115"/>
        <v>0</v>
      </c>
      <c r="T202" s="27">
        <f t="shared" si="116"/>
        <v>0</v>
      </c>
      <c r="U202" s="27">
        <f t="shared" si="117"/>
        <v>0</v>
      </c>
      <c r="V202" s="27">
        <f t="shared" si="118"/>
        <v>0</v>
      </c>
      <c r="W202" s="27">
        <f t="shared" si="119"/>
        <v>0</v>
      </c>
      <c r="X202" s="125" t="str">
        <f t="shared" si="120"/>
        <v>ok</v>
      </c>
    </row>
    <row r="203" spans="1:24">
      <c r="A203" s="28">
        <v>874.07</v>
      </c>
      <c r="B203" s="25" t="s">
        <v>429</v>
      </c>
      <c r="C203" s="117" t="s">
        <v>515</v>
      </c>
      <c r="D203" s="117" t="s">
        <v>41</v>
      </c>
      <c r="F203" s="27">
        <v>0</v>
      </c>
      <c r="G203" s="27">
        <f t="shared" si="103"/>
        <v>0</v>
      </c>
      <c r="H203" s="27">
        <f t="shared" si="104"/>
        <v>0</v>
      </c>
      <c r="I203" s="27">
        <f t="shared" si="105"/>
        <v>0</v>
      </c>
      <c r="J203" s="27">
        <f t="shared" si="106"/>
        <v>0</v>
      </c>
      <c r="K203" s="27">
        <f t="shared" si="107"/>
        <v>0</v>
      </c>
      <c r="L203" s="27">
        <f t="shared" si="108"/>
        <v>0</v>
      </c>
      <c r="M203" s="27">
        <f t="shared" si="109"/>
        <v>0</v>
      </c>
      <c r="N203" s="27">
        <f t="shared" si="110"/>
        <v>0</v>
      </c>
      <c r="O203" s="27">
        <f t="shared" si="111"/>
        <v>0</v>
      </c>
      <c r="P203" s="27">
        <f t="shared" si="112"/>
        <v>0</v>
      </c>
      <c r="Q203" s="27">
        <f t="shared" si="113"/>
        <v>0</v>
      </c>
      <c r="R203" s="27">
        <f t="shared" si="114"/>
        <v>0</v>
      </c>
      <c r="S203" s="27">
        <f t="shared" si="115"/>
        <v>0</v>
      </c>
      <c r="T203" s="27">
        <f t="shared" si="116"/>
        <v>0</v>
      </c>
      <c r="U203" s="27">
        <f t="shared" si="117"/>
        <v>0</v>
      </c>
      <c r="V203" s="27">
        <f t="shared" si="118"/>
        <v>0</v>
      </c>
      <c r="W203" s="27">
        <f t="shared" si="119"/>
        <v>0</v>
      </c>
      <c r="X203" s="125" t="str">
        <f t="shared" si="120"/>
        <v>ok</v>
      </c>
    </row>
    <row r="204" spans="1:24">
      <c r="A204" s="28">
        <v>874.08</v>
      </c>
      <c r="B204" s="25" t="s">
        <v>430</v>
      </c>
      <c r="C204" s="117" t="s">
        <v>516</v>
      </c>
      <c r="D204" s="117" t="s">
        <v>36</v>
      </c>
      <c r="F204" s="27">
        <v>0</v>
      </c>
      <c r="G204" s="27">
        <f t="shared" si="103"/>
        <v>0</v>
      </c>
      <c r="H204" s="27">
        <f t="shared" si="104"/>
        <v>0</v>
      </c>
      <c r="I204" s="27">
        <f t="shared" si="105"/>
        <v>0</v>
      </c>
      <c r="J204" s="27">
        <f t="shared" si="106"/>
        <v>0</v>
      </c>
      <c r="K204" s="27">
        <f t="shared" si="107"/>
        <v>0</v>
      </c>
      <c r="L204" s="27">
        <f t="shared" si="108"/>
        <v>0</v>
      </c>
      <c r="M204" s="27">
        <f t="shared" si="109"/>
        <v>0</v>
      </c>
      <c r="N204" s="27">
        <f t="shared" si="110"/>
        <v>0</v>
      </c>
      <c r="O204" s="27">
        <f t="shared" si="111"/>
        <v>0</v>
      </c>
      <c r="P204" s="27">
        <f t="shared" si="112"/>
        <v>0</v>
      </c>
      <c r="Q204" s="27">
        <f t="shared" si="113"/>
        <v>0</v>
      </c>
      <c r="R204" s="27">
        <f t="shared" si="114"/>
        <v>0</v>
      </c>
      <c r="S204" s="27">
        <f t="shared" si="115"/>
        <v>0</v>
      </c>
      <c r="T204" s="27">
        <f t="shared" si="116"/>
        <v>0</v>
      </c>
      <c r="U204" s="27">
        <f t="shared" si="117"/>
        <v>0</v>
      </c>
      <c r="V204" s="27">
        <f t="shared" si="118"/>
        <v>0</v>
      </c>
      <c r="W204" s="27">
        <f t="shared" si="119"/>
        <v>0</v>
      </c>
      <c r="X204" s="125" t="str">
        <f t="shared" si="120"/>
        <v>ok</v>
      </c>
    </row>
    <row r="205" spans="1:24">
      <c r="A205" s="28">
        <v>874.09</v>
      </c>
      <c r="B205" s="25" t="s">
        <v>431</v>
      </c>
      <c r="C205" s="117" t="s">
        <v>517</v>
      </c>
      <c r="D205" s="117" t="s">
        <v>41</v>
      </c>
      <c r="F205" s="27">
        <v>0</v>
      </c>
      <c r="G205" s="27">
        <f t="shared" si="103"/>
        <v>0</v>
      </c>
      <c r="H205" s="27">
        <f t="shared" si="104"/>
        <v>0</v>
      </c>
      <c r="I205" s="27">
        <f t="shared" si="105"/>
        <v>0</v>
      </c>
      <c r="J205" s="27">
        <f t="shared" si="106"/>
        <v>0</v>
      </c>
      <c r="K205" s="27">
        <f t="shared" si="107"/>
        <v>0</v>
      </c>
      <c r="L205" s="27">
        <f t="shared" si="108"/>
        <v>0</v>
      </c>
      <c r="M205" s="27">
        <f t="shared" si="109"/>
        <v>0</v>
      </c>
      <c r="N205" s="27">
        <f t="shared" si="110"/>
        <v>0</v>
      </c>
      <c r="O205" s="27">
        <f t="shared" si="111"/>
        <v>0</v>
      </c>
      <c r="P205" s="27">
        <f t="shared" si="112"/>
        <v>0</v>
      </c>
      <c r="Q205" s="27">
        <f t="shared" si="113"/>
        <v>0</v>
      </c>
      <c r="R205" s="27">
        <f t="shared" si="114"/>
        <v>0</v>
      </c>
      <c r="S205" s="27">
        <f t="shared" si="115"/>
        <v>0</v>
      </c>
      <c r="T205" s="27">
        <f t="shared" si="116"/>
        <v>0</v>
      </c>
      <c r="U205" s="27">
        <f t="shared" si="117"/>
        <v>0</v>
      </c>
      <c r="V205" s="27">
        <f t="shared" si="118"/>
        <v>0</v>
      </c>
      <c r="W205" s="27">
        <f t="shared" si="119"/>
        <v>0</v>
      </c>
      <c r="X205" s="125" t="str">
        <f t="shared" si="120"/>
        <v>ok</v>
      </c>
    </row>
    <row r="206" spans="1:24">
      <c r="A206" s="28">
        <v>874.1</v>
      </c>
      <c r="B206" s="25" t="s">
        <v>432</v>
      </c>
      <c r="C206" s="117" t="s">
        <v>518</v>
      </c>
      <c r="D206" s="117" t="s">
        <v>41</v>
      </c>
      <c r="F206" s="27">
        <v>0</v>
      </c>
      <c r="G206" s="27">
        <f t="shared" si="103"/>
        <v>0</v>
      </c>
      <c r="H206" s="27">
        <f t="shared" si="104"/>
        <v>0</v>
      </c>
      <c r="I206" s="27">
        <f t="shared" si="105"/>
        <v>0</v>
      </c>
      <c r="J206" s="27">
        <f t="shared" si="106"/>
        <v>0</v>
      </c>
      <c r="K206" s="27">
        <f t="shared" si="107"/>
        <v>0</v>
      </c>
      <c r="L206" s="27">
        <f t="shared" si="108"/>
        <v>0</v>
      </c>
      <c r="M206" s="27">
        <f t="shared" si="109"/>
        <v>0</v>
      </c>
      <c r="N206" s="27">
        <f t="shared" si="110"/>
        <v>0</v>
      </c>
      <c r="O206" s="27">
        <f t="shared" si="111"/>
        <v>0</v>
      </c>
      <c r="P206" s="27">
        <f t="shared" si="112"/>
        <v>0</v>
      </c>
      <c r="Q206" s="27">
        <f t="shared" si="113"/>
        <v>0</v>
      </c>
      <c r="R206" s="27">
        <f t="shared" si="114"/>
        <v>0</v>
      </c>
      <c r="S206" s="27">
        <f t="shared" si="115"/>
        <v>0</v>
      </c>
      <c r="T206" s="27">
        <f t="shared" si="116"/>
        <v>0</v>
      </c>
      <c r="U206" s="27">
        <f t="shared" si="117"/>
        <v>0</v>
      </c>
      <c r="V206" s="27">
        <f t="shared" si="118"/>
        <v>0</v>
      </c>
      <c r="W206" s="27">
        <f t="shared" si="119"/>
        <v>0</v>
      </c>
      <c r="X206" s="125" t="str">
        <f t="shared" si="120"/>
        <v>ok</v>
      </c>
    </row>
    <row r="207" spans="1:24">
      <c r="A207" s="28">
        <v>875</v>
      </c>
      <c r="B207" s="25" t="s">
        <v>433</v>
      </c>
      <c r="C207" s="117" t="s">
        <v>519</v>
      </c>
      <c r="D207" s="117" t="s">
        <v>39</v>
      </c>
      <c r="F207" s="32">
        <v>566000</v>
      </c>
      <c r="G207" s="27">
        <f t="shared" si="103"/>
        <v>0</v>
      </c>
      <c r="H207" s="27">
        <f t="shared" si="104"/>
        <v>0</v>
      </c>
      <c r="I207" s="27">
        <f t="shared" si="105"/>
        <v>0</v>
      </c>
      <c r="J207" s="27">
        <f t="shared" si="106"/>
        <v>0</v>
      </c>
      <c r="K207" s="27">
        <f t="shared" si="107"/>
        <v>0</v>
      </c>
      <c r="L207" s="27">
        <f t="shared" si="108"/>
        <v>0</v>
      </c>
      <c r="M207" s="27">
        <f t="shared" si="109"/>
        <v>0</v>
      </c>
      <c r="N207" s="27">
        <f t="shared" si="110"/>
        <v>566000</v>
      </c>
      <c r="O207" s="27">
        <f t="shared" si="111"/>
        <v>0</v>
      </c>
      <c r="P207" s="27">
        <f t="shared" si="112"/>
        <v>0</v>
      </c>
      <c r="Q207" s="27">
        <f t="shared" si="113"/>
        <v>0</v>
      </c>
      <c r="R207" s="27">
        <f t="shared" si="114"/>
        <v>0</v>
      </c>
      <c r="S207" s="27">
        <f t="shared" si="115"/>
        <v>0</v>
      </c>
      <c r="T207" s="27">
        <f t="shared" si="116"/>
        <v>0</v>
      </c>
      <c r="U207" s="27">
        <f t="shared" si="117"/>
        <v>0</v>
      </c>
      <c r="V207" s="27">
        <f t="shared" si="118"/>
        <v>0</v>
      </c>
      <c r="W207" s="27">
        <f t="shared" si="119"/>
        <v>566000</v>
      </c>
      <c r="X207" s="125" t="str">
        <f t="shared" si="120"/>
        <v>ok</v>
      </c>
    </row>
    <row r="208" spans="1:24">
      <c r="A208" s="28">
        <v>876</v>
      </c>
      <c r="B208" s="25" t="s">
        <v>434</v>
      </c>
      <c r="C208" s="117" t="s">
        <v>520</v>
      </c>
      <c r="D208" s="117" t="s">
        <v>46</v>
      </c>
      <c r="F208" s="32">
        <v>358000</v>
      </c>
      <c r="G208" s="27">
        <f t="shared" si="103"/>
        <v>0</v>
      </c>
      <c r="H208" s="27">
        <f t="shared" si="104"/>
        <v>0</v>
      </c>
      <c r="I208" s="27">
        <f t="shared" si="105"/>
        <v>0</v>
      </c>
      <c r="J208" s="27">
        <f t="shared" si="106"/>
        <v>0</v>
      </c>
      <c r="K208" s="27">
        <f t="shared" si="107"/>
        <v>0</v>
      </c>
      <c r="L208" s="27">
        <f t="shared" si="108"/>
        <v>0</v>
      </c>
      <c r="M208" s="27">
        <f t="shared" si="109"/>
        <v>0</v>
      </c>
      <c r="N208" s="27">
        <f t="shared" si="110"/>
        <v>0</v>
      </c>
      <c r="O208" s="27">
        <f t="shared" si="111"/>
        <v>0</v>
      </c>
      <c r="P208" s="27">
        <f t="shared" si="112"/>
        <v>0</v>
      </c>
      <c r="Q208" s="27">
        <f t="shared" si="113"/>
        <v>0</v>
      </c>
      <c r="R208" s="27">
        <f t="shared" si="114"/>
        <v>0</v>
      </c>
      <c r="S208" s="27">
        <f t="shared" si="115"/>
        <v>0</v>
      </c>
      <c r="T208" s="27">
        <f t="shared" si="116"/>
        <v>358000</v>
      </c>
      <c r="U208" s="27">
        <f t="shared" si="117"/>
        <v>0</v>
      </c>
      <c r="V208" s="27">
        <f t="shared" si="118"/>
        <v>0</v>
      </c>
      <c r="W208" s="27">
        <f t="shared" si="119"/>
        <v>358000</v>
      </c>
      <c r="X208" s="125" t="str">
        <f t="shared" si="120"/>
        <v>ok</v>
      </c>
    </row>
    <row r="209" spans="1:24">
      <c r="A209" s="28">
        <v>877</v>
      </c>
      <c r="B209" s="25" t="s">
        <v>435</v>
      </c>
      <c r="C209" s="117" t="s">
        <v>521</v>
      </c>
      <c r="D209" s="117" t="s">
        <v>39</v>
      </c>
      <c r="F209" s="32">
        <v>188000</v>
      </c>
      <c r="G209" s="27">
        <f t="shared" si="103"/>
        <v>0</v>
      </c>
      <c r="H209" s="27">
        <f t="shared" si="104"/>
        <v>0</v>
      </c>
      <c r="I209" s="27">
        <f t="shared" si="105"/>
        <v>0</v>
      </c>
      <c r="J209" s="27">
        <f t="shared" si="106"/>
        <v>0</v>
      </c>
      <c r="K209" s="27">
        <f t="shared" si="107"/>
        <v>0</v>
      </c>
      <c r="L209" s="27">
        <f t="shared" si="108"/>
        <v>0</v>
      </c>
      <c r="M209" s="27">
        <f t="shared" si="109"/>
        <v>0</v>
      </c>
      <c r="N209" s="27">
        <f t="shared" si="110"/>
        <v>188000</v>
      </c>
      <c r="O209" s="27">
        <f t="shared" si="111"/>
        <v>0</v>
      </c>
      <c r="P209" s="27">
        <f t="shared" si="112"/>
        <v>0</v>
      </c>
      <c r="Q209" s="27">
        <f t="shared" si="113"/>
        <v>0</v>
      </c>
      <c r="R209" s="27">
        <f t="shared" si="114"/>
        <v>0</v>
      </c>
      <c r="S209" s="27">
        <f t="shared" si="115"/>
        <v>0</v>
      </c>
      <c r="T209" s="27">
        <f t="shared" si="116"/>
        <v>0</v>
      </c>
      <c r="U209" s="27">
        <f t="shared" si="117"/>
        <v>0</v>
      </c>
      <c r="V209" s="27">
        <f t="shared" si="118"/>
        <v>0</v>
      </c>
      <c r="W209" s="27">
        <f t="shared" si="119"/>
        <v>188000</v>
      </c>
      <c r="X209" s="125" t="str">
        <f t="shared" si="120"/>
        <v>ok</v>
      </c>
    </row>
    <row r="210" spans="1:24">
      <c r="A210" s="28">
        <v>878</v>
      </c>
      <c r="B210" s="25" t="s">
        <v>436</v>
      </c>
      <c r="C210" s="117" t="s">
        <v>522</v>
      </c>
      <c r="D210" s="117" t="s">
        <v>46</v>
      </c>
      <c r="F210" s="32">
        <v>401687</v>
      </c>
      <c r="G210" s="27">
        <f t="shared" si="103"/>
        <v>0</v>
      </c>
      <c r="H210" s="27">
        <f t="shared" si="104"/>
        <v>0</v>
      </c>
      <c r="I210" s="27">
        <f t="shared" si="105"/>
        <v>0</v>
      </c>
      <c r="J210" s="27">
        <f t="shared" si="106"/>
        <v>0</v>
      </c>
      <c r="K210" s="27">
        <f t="shared" si="107"/>
        <v>0</v>
      </c>
      <c r="L210" s="27">
        <f t="shared" si="108"/>
        <v>0</v>
      </c>
      <c r="M210" s="27">
        <f t="shared" si="109"/>
        <v>0</v>
      </c>
      <c r="N210" s="27">
        <f t="shared" si="110"/>
        <v>0</v>
      </c>
      <c r="O210" s="27">
        <f t="shared" si="111"/>
        <v>0</v>
      </c>
      <c r="P210" s="27">
        <f t="shared" si="112"/>
        <v>0</v>
      </c>
      <c r="Q210" s="27">
        <f t="shared" si="113"/>
        <v>0</v>
      </c>
      <c r="R210" s="27">
        <f t="shared" si="114"/>
        <v>0</v>
      </c>
      <c r="S210" s="27">
        <f t="shared" si="115"/>
        <v>0</v>
      </c>
      <c r="T210" s="27">
        <f t="shared" si="116"/>
        <v>401687</v>
      </c>
      <c r="U210" s="27">
        <f t="shared" si="117"/>
        <v>0</v>
      </c>
      <c r="V210" s="27">
        <f t="shared" si="118"/>
        <v>0</v>
      </c>
      <c r="W210" s="27">
        <f t="shared" si="119"/>
        <v>401687</v>
      </c>
      <c r="X210" s="125" t="str">
        <f t="shared" si="120"/>
        <v>ok</v>
      </c>
    </row>
    <row r="211" spans="1:24">
      <c r="A211" s="28">
        <v>879</v>
      </c>
      <c r="B211" s="25" t="s">
        <v>437</v>
      </c>
      <c r="C211" s="117" t="s">
        <v>523</v>
      </c>
      <c r="D211" s="117" t="s">
        <v>46</v>
      </c>
      <c r="F211" s="32">
        <v>107000</v>
      </c>
      <c r="G211" s="27">
        <f t="shared" si="103"/>
        <v>0</v>
      </c>
      <c r="H211" s="27">
        <f t="shared" si="104"/>
        <v>0</v>
      </c>
      <c r="I211" s="27">
        <f t="shared" si="105"/>
        <v>0</v>
      </c>
      <c r="J211" s="27">
        <f t="shared" si="106"/>
        <v>0</v>
      </c>
      <c r="K211" s="27">
        <f t="shared" si="107"/>
        <v>0</v>
      </c>
      <c r="L211" s="27">
        <f t="shared" si="108"/>
        <v>0</v>
      </c>
      <c r="M211" s="27">
        <f t="shared" si="109"/>
        <v>0</v>
      </c>
      <c r="N211" s="27">
        <f t="shared" si="110"/>
        <v>0</v>
      </c>
      <c r="O211" s="27">
        <f t="shared" si="111"/>
        <v>0</v>
      </c>
      <c r="P211" s="27">
        <f t="shared" si="112"/>
        <v>0</v>
      </c>
      <c r="Q211" s="27">
        <f t="shared" si="113"/>
        <v>0</v>
      </c>
      <c r="R211" s="27">
        <f t="shared" si="114"/>
        <v>0</v>
      </c>
      <c r="S211" s="27">
        <f t="shared" si="115"/>
        <v>0</v>
      </c>
      <c r="T211" s="27">
        <f t="shared" si="116"/>
        <v>107000</v>
      </c>
      <c r="U211" s="27">
        <f t="shared" si="117"/>
        <v>0</v>
      </c>
      <c r="V211" s="27">
        <f t="shared" si="118"/>
        <v>0</v>
      </c>
      <c r="W211" s="27">
        <f t="shared" si="119"/>
        <v>107000</v>
      </c>
      <c r="X211" s="125" t="str">
        <f t="shared" si="120"/>
        <v>ok</v>
      </c>
    </row>
    <row r="212" spans="1:24">
      <c r="A212" s="28">
        <v>880</v>
      </c>
      <c r="B212" s="25" t="s">
        <v>106</v>
      </c>
      <c r="C212" s="117" t="s">
        <v>524</v>
      </c>
      <c r="D212" s="117" t="s">
        <v>202</v>
      </c>
      <c r="F212" s="32">
        <v>797567</v>
      </c>
      <c r="G212" s="27">
        <f t="shared" si="103"/>
        <v>0</v>
      </c>
      <c r="H212" s="27">
        <f t="shared" si="104"/>
        <v>0</v>
      </c>
      <c r="I212" s="27">
        <f t="shared" si="105"/>
        <v>0</v>
      </c>
      <c r="J212" s="27">
        <f t="shared" si="106"/>
        <v>0</v>
      </c>
      <c r="K212" s="27">
        <f t="shared" si="107"/>
        <v>0</v>
      </c>
      <c r="L212" s="27">
        <f t="shared" si="108"/>
        <v>0</v>
      </c>
      <c r="M212" s="27">
        <f t="shared" si="109"/>
        <v>0</v>
      </c>
      <c r="N212" s="27">
        <f t="shared" si="110"/>
        <v>31519.941738900339</v>
      </c>
      <c r="O212" s="27">
        <f t="shared" si="111"/>
        <v>143174.06236103241</v>
      </c>
      <c r="P212" s="27">
        <f t="shared" si="112"/>
        <v>239662.37292094281</v>
      </c>
      <c r="Q212" s="27">
        <f t="shared" si="113"/>
        <v>20834.444271052056</v>
      </c>
      <c r="R212" s="27">
        <f t="shared" si="114"/>
        <v>15014.894859453283</v>
      </c>
      <c r="S212" s="27">
        <f t="shared" si="115"/>
        <v>252487.28727805847</v>
      </c>
      <c r="T212" s="27">
        <f t="shared" si="116"/>
        <v>94873.996570560528</v>
      </c>
      <c r="U212" s="27">
        <f t="shared" si="117"/>
        <v>0</v>
      </c>
      <c r="V212" s="27">
        <f t="shared" si="118"/>
        <v>0</v>
      </c>
      <c r="W212" s="27">
        <f t="shared" si="119"/>
        <v>797566.99999999988</v>
      </c>
      <c r="X212" s="125" t="str">
        <f t="shared" si="120"/>
        <v>ok</v>
      </c>
    </row>
    <row r="213" spans="1:24">
      <c r="A213" s="28">
        <v>881</v>
      </c>
      <c r="B213" s="25" t="s">
        <v>109</v>
      </c>
      <c r="C213" s="117" t="s">
        <v>525</v>
      </c>
      <c r="D213" s="117" t="s">
        <v>202</v>
      </c>
      <c r="F213" s="32">
        <v>0</v>
      </c>
      <c r="G213" s="27">
        <f t="shared" si="103"/>
        <v>0</v>
      </c>
      <c r="H213" s="27">
        <f t="shared" si="104"/>
        <v>0</v>
      </c>
      <c r="I213" s="27">
        <f t="shared" si="105"/>
        <v>0</v>
      </c>
      <c r="J213" s="27">
        <f t="shared" si="106"/>
        <v>0</v>
      </c>
      <c r="K213" s="27">
        <f t="shared" si="107"/>
        <v>0</v>
      </c>
      <c r="L213" s="27">
        <f t="shared" si="108"/>
        <v>0</v>
      </c>
      <c r="M213" s="27">
        <f t="shared" si="109"/>
        <v>0</v>
      </c>
      <c r="N213" s="27">
        <f t="shared" si="110"/>
        <v>0</v>
      </c>
      <c r="O213" s="27">
        <f t="shared" si="111"/>
        <v>0</v>
      </c>
      <c r="P213" s="27">
        <f t="shared" si="112"/>
        <v>0</v>
      </c>
      <c r="Q213" s="27">
        <f t="shared" si="113"/>
        <v>0</v>
      </c>
      <c r="R213" s="27">
        <f t="shared" si="114"/>
        <v>0</v>
      </c>
      <c r="S213" s="27">
        <f t="shared" si="115"/>
        <v>0</v>
      </c>
      <c r="T213" s="27">
        <f t="shared" si="116"/>
        <v>0</v>
      </c>
      <c r="U213" s="27">
        <f t="shared" si="117"/>
        <v>0</v>
      </c>
      <c r="V213" s="27">
        <f t="shared" si="118"/>
        <v>0</v>
      </c>
      <c r="W213" s="27">
        <f t="shared" si="119"/>
        <v>0</v>
      </c>
      <c r="X213" s="125" t="str">
        <f t="shared" si="120"/>
        <v>ok</v>
      </c>
    </row>
    <row r="214" spans="1:24">
      <c r="A214" s="28"/>
      <c r="F214" s="27"/>
    </row>
    <row r="215" spans="1:24">
      <c r="A215" s="28" t="s">
        <v>479</v>
      </c>
      <c r="C215" s="117" t="s">
        <v>537</v>
      </c>
      <c r="F215" s="32">
        <f>+SUM(F193:F213)</f>
        <v>3460180</v>
      </c>
      <c r="G215" s="32">
        <f t="shared" ref="G215:V215" si="121">+SUM(G193:G213)</f>
        <v>0</v>
      </c>
      <c r="H215" s="32">
        <f t="shared" si="121"/>
        <v>0</v>
      </c>
      <c r="I215" s="32">
        <f t="shared" si="121"/>
        <v>0</v>
      </c>
      <c r="J215" s="32">
        <f t="shared" si="121"/>
        <v>0</v>
      </c>
      <c r="K215" s="32">
        <f t="shared" si="121"/>
        <v>0</v>
      </c>
      <c r="L215" s="32">
        <f t="shared" si="121"/>
        <v>0</v>
      </c>
      <c r="M215" s="32">
        <f t="shared" si="121"/>
        <v>306000</v>
      </c>
      <c r="N215" s="32">
        <f t="shared" si="121"/>
        <v>785519.94173890038</v>
      </c>
      <c r="O215" s="32">
        <f t="shared" si="121"/>
        <v>300161.16603249428</v>
      </c>
      <c r="P215" s="32">
        <f t="shared" si="121"/>
        <v>502446.7150248565</v>
      </c>
      <c r="Q215" s="32">
        <f>+SUM(Q193:Q213)</f>
        <v>43678.938649295946</v>
      </c>
      <c r="R215" s="32">
        <f>+SUM(R193:R213)</f>
        <v>31478.385641556255</v>
      </c>
      <c r="S215" s="32">
        <f t="shared" si="121"/>
        <v>529333.85634233605</v>
      </c>
      <c r="T215" s="32">
        <f t="shared" si="121"/>
        <v>961560.9965705605</v>
      </c>
      <c r="U215" s="32">
        <f t="shared" si="121"/>
        <v>0</v>
      </c>
      <c r="V215" s="32">
        <f t="shared" si="121"/>
        <v>0</v>
      </c>
      <c r="W215" s="27">
        <f t="shared" si="119"/>
        <v>3460180</v>
      </c>
      <c r="X215" s="125" t="str">
        <f t="shared" si="120"/>
        <v>ok</v>
      </c>
    </row>
    <row r="216" spans="1:24">
      <c r="A216" s="28"/>
      <c r="F216" s="27"/>
    </row>
    <row r="217" spans="1:24">
      <c r="A217" s="28" t="s">
        <v>480</v>
      </c>
      <c r="C217" s="117" t="s">
        <v>538</v>
      </c>
      <c r="F217" s="32">
        <f>+F189+F215</f>
        <v>4273208</v>
      </c>
      <c r="G217" s="32">
        <f t="shared" ref="G217:V217" si="122">+G189+G215</f>
        <v>0</v>
      </c>
      <c r="H217" s="32">
        <f t="shared" si="122"/>
        <v>0</v>
      </c>
      <c r="I217" s="32">
        <f t="shared" si="122"/>
        <v>0</v>
      </c>
      <c r="J217" s="32">
        <f t="shared" si="122"/>
        <v>0</v>
      </c>
      <c r="K217" s="32">
        <f t="shared" si="122"/>
        <v>813028</v>
      </c>
      <c r="L217" s="32">
        <f t="shared" si="122"/>
        <v>0</v>
      </c>
      <c r="M217" s="32">
        <f t="shared" si="122"/>
        <v>306000</v>
      </c>
      <c r="N217" s="32">
        <f t="shared" si="122"/>
        <v>785519.94173890038</v>
      </c>
      <c r="O217" s="32">
        <f t="shared" si="122"/>
        <v>300161.16603249428</v>
      </c>
      <c r="P217" s="32">
        <f t="shared" si="122"/>
        <v>502446.7150248565</v>
      </c>
      <c r="Q217" s="32">
        <f>+Q189+Q215</f>
        <v>43678.938649295946</v>
      </c>
      <c r="R217" s="32">
        <f>+R189+R215</f>
        <v>31478.385641556255</v>
      </c>
      <c r="S217" s="32">
        <f t="shared" si="122"/>
        <v>529333.85634233605</v>
      </c>
      <c r="T217" s="32">
        <f t="shared" si="122"/>
        <v>961560.9965705605</v>
      </c>
      <c r="U217" s="32">
        <f t="shared" si="122"/>
        <v>0</v>
      </c>
      <c r="V217" s="32">
        <f t="shared" si="122"/>
        <v>0</v>
      </c>
      <c r="W217" s="27">
        <f>SUM(G217:V217)</f>
        <v>4273208</v>
      </c>
      <c r="X217" s="125" t="str">
        <f>IF(ABS(W217-F217)&lt;1,"ok","err")</f>
        <v>ok</v>
      </c>
    </row>
    <row r="218" spans="1:24">
      <c r="A218" s="28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27"/>
      <c r="X218" s="125"/>
    </row>
    <row r="219" spans="1:24">
      <c r="A219" s="28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27"/>
      <c r="X219" s="125"/>
    </row>
    <row r="220" spans="1:24">
      <c r="A220" s="28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27"/>
      <c r="X220" s="125"/>
    </row>
    <row r="221" spans="1:24">
      <c r="A221" s="28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27"/>
      <c r="X221" s="125"/>
    </row>
    <row r="222" spans="1:24">
      <c r="A222" s="28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27"/>
      <c r="X222" s="125"/>
    </row>
    <row r="223" spans="1:24">
      <c r="A223" s="28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27"/>
      <c r="X223" s="125"/>
    </row>
    <row r="224" spans="1:24">
      <c r="A224" s="28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27"/>
      <c r="X224" s="125"/>
    </row>
    <row r="225" spans="1:24">
      <c r="A225" s="28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27"/>
      <c r="X225" s="125"/>
    </row>
    <row r="226" spans="1:24">
      <c r="A226" s="28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27"/>
      <c r="X226" s="125"/>
    </row>
    <row r="227" spans="1:24">
      <c r="A227" s="28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27"/>
      <c r="X227" s="125"/>
    </row>
    <row r="228" spans="1:24">
      <c r="A228" s="30" t="s">
        <v>466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27"/>
      <c r="X228" s="125"/>
    </row>
    <row r="229" spans="1:24">
      <c r="A229" s="28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27"/>
      <c r="X229" s="125"/>
    </row>
    <row r="230" spans="1:24">
      <c r="A230" s="28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27"/>
      <c r="X230" s="125"/>
    </row>
    <row r="231" spans="1:24">
      <c r="A231" s="120" t="s">
        <v>711</v>
      </c>
      <c r="F231" s="33"/>
      <c r="G231" s="25"/>
      <c r="H231" s="25"/>
      <c r="I231" s="25"/>
      <c r="J231" s="25"/>
      <c r="K231" s="25"/>
      <c r="L231" s="25"/>
      <c r="M231" s="25"/>
      <c r="N231" s="25"/>
    </row>
    <row r="232" spans="1:24">
      <c r="A232" s="28"/>
      <c r="F232" s="33"/>
      <c r="G232" s="25"/>
      <c r="H232" s="25"/>
      <c r="I232" s="25"/>
      <c r="J232" s="25"/>
      <c r="K232" s="25"/>
      <c r="L232" s="25"/>
      <c r="M232" s="25"/>
      <c r="N232" s="25"/>
    </row>
    <row r="233" spans="1:24">
      <c r="A233" s="28">
        <v>885</v>
      </c>
      <c r="B233" s="25" t="s">
        <v>448</v>
      </c>
      <c r="C233" s="117" t="s">
        <v>526</v>
      </c>
      <c r="D233" s="117" t="s">
        <v>648</v>
      </c>
      <c r="F233" s="32">
        <v>0</v>
      </c>
      <c r="G233" s="27">
        <f t="shared" ref="G233:G242" si="123">(VLOOKUP($D233,$C$6:$AJ$992,5,)/VLOOKUP($D233,$C$6:$AJ$992,4,))*$F233</f>
        <v>0</v>
      </c>
      <c r="H233" s="27">
        <f t="shared" ref="H233:H242" si="124">(VLOOKUP($D233,$C$6:$AJ$992,6,)/VLOOKUP($D233,$C$6:$AJ$992,4,))*$F233</f>
        <v>0</v>
      </c>
      <c r="I233" s="27">
        <f t="shared" ref="I233:I242" si="125">(VLOOKUP($D233,$C$6:$AJ$992,7,)/VLOOKUP($D233,$C$6:$AJ$992,4,))*$F233</f>
        <v>0</v>
      </c>
      <c r="J233" s="27">
        <f t="shared" ref="J233:J242" si="126">(VLOOKUP($D233,$C$6:$AJ$992,8,)/VLOOKUP($D233,$C$6:$AJ$992,4,))*$F233</f>
        <v>0</v>
      </c>
      <c r="K233" s="27">
        <f t="shared" ref="K233:K242" si="127">(VLOOKUP($D233,$C$6:$AJ$992,9,)/VLOOKUP($D233,$C$6:$AJ$992,4,))*$F233</f>
        <v>0</v>
      </c>
      <c r="L233" s="27">
        <f t="shared" ref="L233:L242" si="128">(VLOOKUP($D233,$C$6:$AJ$992,10,)/VLOOKUP($D233,$C$6:$AJ$992,4,))*$F233</f>
        <v>0</v>
      </c>
      <c r="M233" s="27">
        <f t="shared" ref="M233:M242" si="129">(VLOOKUP($D233,$C$6:$AJ$992,11,)/VLOOKUP($D233,$C$6:$AJ$992,4,))*$F233</f>
        <v>0</v>
      </c>
      <c r="N233" s="27">
        <f t="shared" ref="N233:N242" si="130">(VLOOKUP($D233,$C$6:$AJ$992,12,)/VLOOKUP($D233,$C$6:$AJ$992,4,))*$F233</f>
        <v>0</v>
      </c>
      <c r="O233" s="27">
        <f t="shared" ref="O233:O242" si="131">(VLOOKUP($D233,$C$6:$AJ$992,13,)/VLOOKUP($D233,$C$6:$AJ$992,4,))*$F233</f>
        <v>0</v>
      </c>
      <c r="P233" s="27">
        <f t="shared" ref="P233:P242" si="132">(VLOOKUP($D233,$C$6:$AJ$992,14,)/VLOOKUP($D233,$C$6:$AJ$992,4,))*$F233</f>
        <v>0</v>
      </c>
      <c r="Q233" s="27">
        <f t="shared" ref="Q233:Q242" si="133">(VLOOKUP($D233,$C$6:$AJ$992,15,)/VLOOKUP($D233,$C$6:$AJ$992,4,))*$F233</f>
        <v>0</v>
      </c>
      <c r="R233" s="27">
        <f t="shared" ref="R233:R242" si="134">(VLOOKUP($D233,$C$6:$AJ$992,16,)/VLOOKUP($D233,$C$6:$AJ$992,4,))*$F233</f>
        <v>0</v>
      </c>
      <c r="S233" s="27">
        <f t="shared" ref="S233:S242" si="135">(VLOOKUP($D233,$C$6:$AJ$992,17,)/VLOOKUP($D233,$C$6:$AJ$992,4,))*$F233</f>
        <v>0</v>
      </c>
      <c r="T233" s="27">
        <f t="shared" ref="T233:T242" si="136">(VLOOKUP($D233,$C$6:$AJ$992,18,)/VLOOKUP($D233,$C$6:$AJ$992,4,))*$F233</f>
        <v>0</v>
      </c>
      <c r="U233" s="27">
        <f t="shared" ref="U233:U242" si="137">(VLOOKUP($D233,$C$6:$AJ$992,19,)/VLOOKUP($D233,$C$6:$AJ$992,4,))*$F233</f>
        <v>0</v>
      </c>
      <c r="V233" s="27">
        <f t="shared" ref="V233:V242" si="138">(VLOOKUP($D233,$C$6:$AJ$992,20,)/VLOOKUP($D233,$C$6:$AJ$992,4,))*$F233</f>
        <v>0</v>
      </c>
      <c r="W233" s="27">
        <f>SUM(G233:V233)</f>
        <v>0</v>
      </c>
      <c r="X233" s="125" t="str">
        <f>IF(ABS(W233-F233)&lt;1,"ok","err")</f>
        <v>ok</v>
      </c>
    </row>
    <row r="234" spans="1:24">
      <c r="A234" s="28">
        <v>886</v>
      </c>
      <c r="B234" s="25" t="s">
        <v>449</v>
      </c>
      <c r="C234" s="117" t="s">
        <v>527</v>
      </c>
      <c r="D234" s="117" t="s">
        <v>39</v>
      </c>
      <c r="F234" s="126">
        <v>27073</v>
      </c>
      <c r="G234" s="27">
        <f t="shared" si="123"/>
        <v>0</v>
      </c>
      <c r="H234" s="27">
        <f t="shared" si="124"/>
        <v>0</v>
      </c>
      <c r="I234" s="27">
        <f t="shared" si="125"/>
        <v>0</v>
      </c>
      <c r="J234" s="27">
        <f t="shared" si="126"/>
        <v>0</v>
      </c>
      <c r="K234" s="27">
        <f t="shared" si="127"/>
        <v>0</v>
      </c>
      <c r="L234" s="27">
        <f t="shared" si="128"/>
        <v>0</v>
      </c>
      <c r="M234" s="27">
        <f t="shared" si="129"/>
        <v>0</v>
      </c>
      <c r="N234" s="27">
        <f t="shared" si="130"/>
        <v>27073</v>
      </c>
      <c r="O234" s="27">
        <f t="shared" si="131"/>
        <v>0</v>
      </c>
      <c r="P234" s="27">
        <f t="shared" si="132"/>
        <v>0</v>
      </c>
      <c r="Q234" s="27">
        <f t="shared" si="133"/>
        <v>0</v>
      </c>
      <c r="R234" s="27">
        <f t="shared" si="134"/>
        <v>0</v>
      </c>
      <c r="S234" s="27">
        <f t="shared" si="135"/>
        <v>0</v>
      </c>
      <c r="T234" s="27">
        <f t="shared" si="136"/>
        <v>0</v>
      </c>
      <c r="U234" s="27">
        <f t="shared" si="137"/>
        <v>0</v>
      </c>
      <c r="V234" s="27">
        <f t="shared" si="138"/>
        <v>0</v>
      </c>
      <c r="W234" s="27">
        <f t="shared" ref="W234:W242" si="139">SUM(G234:V234)</f>
        <v>27073</v>
      </c>
      <c r="X234" s="125" t="str">
        <f t="shared" ref="X234:X246" si="140">IF(ABS(W234-F234)&lt;1,"ok","err")</f>
        <v>ok</v>
      </c>
    </row>
    <row r="235" spans="1:24">
      <c r="A235" s="28">
        <v>887</v>
      </c>
      <c r="B235" s="25" t="s">
        <v>450</v>
      </c>
      <c r="C235" s="117" t="s">
        <v>528</v>
      </c>
      <c r="D235" s="117" t="s">
        <v>41</v>
      </c>
      <c r="F235" s="126">
        <v>5630533</v>
      </c>
      <c r="G235" s="27">
        <f t="shared" si="123"/>
        <v>0</v>
      </c>
      <c r="H235" s="27">
        <f t="shared" si="124"/>
        <v>0</v>
      </c>
      <c r="I235" s="27">
        <f t="shared" si="125"/>
        <v>0</v>
      </c>
      <c r="J235" s="27">
        <f t="shared" si="126"/>
        <v>0</v>
      </c>
      <c r="K235" s="27">
        <f t="shared" si="127"/>
        <v>0</v>
      </c>
      <c r="L235" s="27">
        <f t="shared" si="128"/>
        <v>0</v>
      </c>
      <c r="M235" s="27">
        <f t="shared" si="129"/>
        <v>0</v>
      </c>
      <c r="N235" s="27">
        <f t="shared" si="130"/>
        <v>0</v>
      </c>
      <c r="O235" s="27">
        <f t="shared" si="131"/>
        <v>1925420.7621433355</v>
      </c>
      <c r="P235" s="27">
        <f t="shared" si="132"/>
        <v>3223006.3261242961</v>
      </c>
      <c r="Q235" s="27">
        <f t="shared" si="133"/>
        <v>280183.93070419709</v>
      </c>
      <c r="R235" s="27">
        <f t="shared" si="134"/>
        <v>201921.9810281712</v>
      </c>
      <c r="S235" s="27">
        <f t="shared" si="135"/>
        <v>0</v>
      </c>
      <c r="T235" s="27">
        <f t="shared" si="136"/>
        <v>0</v>
      </c>
      <c r="U235" s="27">
        <f t="shared" si="137"/>
        <v>0</v>
      </c>
      <c r="V235" s="27">
        <f t="shared" si="138"/>
        <v>0</v>
      </c>
      <c r="W235" s="27">
        <f t="shared" si="139"/>
        <v>5630533</v>
      </c>
      <c r="X235" s="125" t="str">
        <f t="shared" si="140"/>
        <v>ok</v>
      </c>
    </row>
    <row r="236" spans="1:24">
      <c r="A236" s="28">
        <v>888</v>
      </c>
      <c r="B236" s="25" t="s">
        <v>451</v>
      </c>
      <c r="C236" s="117" t="s">
        <v>529</v>
      </c>
      <c r="D236" s="117" t="s">
        <v>36</v>
      </c>
      <c r="F236" s="126">
        <v>0</v>
      </c>
      <c r="G236" s="27">
        <f t="shared" si="123"/>
        <v>0</v>
      </c>
      <c r="H236" s="27">
        <f t="shared" si="124"/>
        <v>0</v>
      </c>
      <c r="I236" s="27">
        <f t="shared" si="125"/>
        <v>0</v>
      </c>
      <c r="J236" s="27">
        <f t="shared" si="126"/>
        <v>0</v>
      </c>
      <c r="K236" s="27">
        <f t="shared" si="127"/>
        <v>0</v>
      </c>
      <c r="L236" s="27">
        <f t="shared" si="128"/>
        <v>0</v>
      </c>
      <c r="M236" s="27">
        <f t="shared" si="129"/>
        <v>0</v>
      </c>
      <c r="N236" s="27">
        <f t="shared" si="130"/>
        <v>0</v>
      </c>
      <c r="O236" s="27">
        <f t="shared" si="131"/>
        <v>0</v>
      </c>
      <c r="P236" s="27">
        <f t="shared" si="132"/>
        <v>0</v>
      </c>
      <c r="Q236" s="27">
        <f t="shared" si="133"/>
        <v>0</v>
      </c>
      <c r="R236" s="27">
        <f t="shared" si="134"/>
        <v>0</v>
      </c>
      <c r="S236" s="27">
        <f t="shared" si="135"/>
        <v>0</v>
      </c>
      <c r="T236" s="27">
        <f t="shared" si="136"/>
        <v>0</v>
      </c>
      <c r="U236" s="27">
        <f t="shared" si="137"/>
        <v>0</v>
      </c>
      <c r="V236" s="27">
        <f t="shared" si="138"/>
        <v>0</v>
      </c>
      <c r="W236" s="27">
        <f t="shared" si="139"/>
        <v>0</v>
      </c>
      <c r="X236" s="125" t="str">
        <f t="shared" si="140"/>
        <v>ok</v>
      </c>
    </row>
    <row r="237" spans="1:24">
      <c r="A237" s="28">
        <v>889</v>
      </c>
      <c r="B237" s="25" t="s">
        <v>452</v>
      </c>
      <c r="C237" s="117" t="s">
        <v>530</v>
      </c>
      <c r="D237" s="117" t="s">
        <v>39</v>
      </c>
      <c r="F237" s="126">
        <v>110000</v>
      </c>
      <c r="G237" s="27">
        <f t="shared" si="123"/>
        <v>0</v>
      </c>
      <c r="H237" s="27">
        <f t="shared" si="124"/>
        <v>0</v>
      </c>
      <c r="I237" s="27">
        <f t="shared" si="125"/>
        <v>0</v>
      </c>
      <c r="J237" s="27">
        <f t="shared" si="126"/>
        <v>0</v>
      </c>
      <c r="K237" s="27">
        <f t="shared" si="127"/>
        <v>0</v>
      </c>
      <c r="L237" s="27">
        <f t="shared" si="128"/>
        <v>0</v>
      </c>
      <c r="M237" s="27">
        <f t="shared" si="129"/>
        <v>0</v>
      </c>
      <c r="N237" s="27">
        <f t="shared" si="130"/>
        <v>110000</v>
      </c>
      <c r="O237" s="27">
        <f t="shared" si="131"/>
        <v>0</v>
      </c>
      <c r="P237" s="27">
        <f t="shared" si="132"/>
        <v>0</v>
      </c>
      <c r="Q237" s="27">
        <f t="shared" si="133"/>
        <v>0</v>
      </c>
      <c r="R237" s="27">
        <f t="shared" si="134"/>
        <v>0</v>
      </c>
      <c r="S237" s="27">
        <f t="shared" si="135"/>
        <v>0</v>
      </c>
      <c r="T237" s="27">
        <f t="shared" si="136"/>
        <v>0</v>
      </c>
      <c r="U237" s="27">
        <f t="shared" si="137"/>
        <v>0</v>
      </c>
      <c r="V237" s="27">
        <f t="shared" si="138"/>
        <v>0</v>
      </c>
      <c r="W237" s="27">
        <f t="shared" si="139"/>
        <v>110000</v>
      </c>
      <c r="X237" s="125" t="str">
        <f t="shared" si="140"/>
        <v>ok</v>
      </c>
    </row>
    <row r="238" spans="1:24">
      <c r="A238" s="28">
        <v>890</v>
      </c>
      <c r="B238" s="25" t="s">
        <v>453</v>
      </c>
      <c r="C238" s="117" t="s">
        <v>531</v>
      </c>
      <c r="D238" s="117" t="s">
        <v>46</v>
      </c>
      <c r="F238" s="126">
        <v>125000</v>
      </c>
      <c r="G238" s="27">
        <f t="shared" si="123"/>
        <v>0</v>
      </c>
      <c r="H238" s="27">
        <f t="shared" si="124"/>
        <v>0</v>
      </c>
      <c r="I238" s="27">
        <f t="shared" si="125"/>
        <v>0</v>
      </c>
      <c r="J238" s="27">
        <f t="shared" si="126"/>
        <v>0</v>
      </c>
      <c r="K238" s="27">
        <f t="shared" si="127"/>
        <v>0</v>
      </c>
      <c r="L238" s="27">
        <f t="shared" si="128"/>
        <v>0</v>
      </c>
      <c r="M238" s="27">
        <f t="shared" si="129"/>
        <v>0</v>
      </c>
      <c r="N238" s="27">
        <f t="shared" si="130"/>
        <v>0</v>
      </c>
      <c r="O238" s="27">
        <f t="shared" si="131"/>
        <v>0</v>
      </c>
      <c r="P238" s="27">
        <f t="shared" si="132"/>
        <v>0</v>
      </c>
      <c r="Q238" s="27">
        <f t="shared" si="133"/>
        <v>0</v>
      </c>
      <c r="R238" s="27">
        <f t="shared" si="134"/>
        <v>0</v>
      </c>
      <c r="S238" s="27">
        <f t="shared" si="135"/>
        <v>0</v>
      </c>
      <c r="T238" s="27">
        <f t="shared" si="136"/>
        <v>125000</v>
      </c>
      <c r="U238" s="27">
        <f t="shared" si="137"/>
        <v>0</v>
      </c>
      <c r="V238" s="27">
        <f t="shared" si="138"/>
        <v>0</v>
      </c>
      <c r="W238" s="27">
        <f t="shared" si="139"/>
        <v>125000</v>
      </c>
      <c r="X238" s="125" t="str">
        <f t="shared" si="140"/>
        <v>ok</v>
      </c>
    </row>
    <row r="239" spans="1:24">
      <c r="A239" s="28">
        <v>891</v>
      </c>
      <c r="B239" s="25" t="s">
        <v>454</v>
      </c>
      <c r="C239" s="117" t="s">
        <v>532</v>
      </c>
      <c r="D239" s="117" t="s">
        <v>39</v>
      </c>
      <c r="F239" s="126">
        <v>161000</v>
      </c>
      <c r="G239" s="27">
        <f t="shared" si="123"/>
        <v>0</v>
      </c>
      <c r="H239" s="27">
        <f t="shared" si="124"/>
        <v>0</v>
      </c>
      <c r="I239" s="27">
        <f t="shared" si="125"/>
        <v>0</v>
      </c>
      <c r="J239" s="27">
        <f t="shared" si="126"/>
        <v>0</v>
      </c>
      <c r="K239" s="27">
        <f t="shared" si="127"/>
        <v>0</v>
      </c>
      <c r="L239" s="27">
        <f t="shared" si="128"/>
        <v>0</v>
      </c>
      <c r="M239" s="27">
        <f t="shared" si="129"/>
        <v>0</v>
      </c>
      <c r="N239" s="27">
        <f t="shared" si="130"/>
        <v>161000</v>
      </c>
      <c r="O239" s="27">
        <f t="shared" si="131"/>
        <v>0</v>
      </c>
      <c r="P239" s="27">
        <f t="shared" si="132"/>
        <v>0</v>
      </c>
      <c r="Q239" s="27">
        <f t="shared" si="133"/>
        <v>0</v>
      </c>
      <c r="R239" s="27">
        <f t="shared" si="134"/>
        <v>0</v>
      </c>
      <c r="S239" s="27">
        <f t="shared" si="135"/>
        <v>0</v>
      </c>
      <c r="T239" s="27">
        <f t="shared" si="136"/>
        <v>0</v>
      </c>
      <c r="U239" s="27">
        <f t="shared" si="137"/>
        <v>0</v>
      </c>
      <c r="V239" s="27">
        <f t="shared" si="138"/>
        <v>0</v>
      </c>
      <c r="W239" s="27">
        <f t="shared" si="139"/>
        <v>161000</v>
      </c>
      <c r="X239" s="125" t="str">
        <f t="shared" si="140"/>
        <v>ok</v>
      </c>
    </row>
    <row r="240" spans="1:24">
      <c r="A240" s="28">
        <v>892</v>
      </c>
      <c r="B240" s="25" t="s">
        <v>455</v>
      </c>
      <c r="C240" s="117" t="s">
        <v>533</v>
      </c>
      <c r="D240" s="117" t="s">
        <v>43</v>
      </c>
      <c r="F240" s="126">
        <v>497000</v>
      </c>
      <c r="G240" s="27">
        <f t="shared" si="123"/>
        <v>0</v>
      </c>
      <c r="H240" s="27">
        <f t="shared" si="124"/>
        <v>0</v>
      </c>
      <c r="I240" s="27">
        <f t="shared" si="125"/>
        <v>0</v>
      </c>
      <c r="J240" s="27">
        <f t="shared" si="126"/>
        <v>0</v>
      </c>
      <c r="K240" s="27">
        <f t="shared" si="127"/>
        <v>0</v>
      </c>
      <c r="L240" s="27">
        <f t="shared" si="128"/>
        <v>0</v>
      </c>
      <c r="M240" s="27">
        <f t="shared" si="129"/>
        <v>0</v>
      </c>
      <c r="N240" s="27">
        <f t="shared" si="130"/>
        <v>0</v>
      </c>
      <c r="O240" s="27">
        <f t="shared" si="131"/>
        <v>0</v>
      </c>
      <c r="P240" s="27">
        <f t="shared" si="132"/>
        <v>0</v>
      </c>
      <c r="Q240" s="27">
        <f t="shared" si="133"/>
        <v>0</v>
      </c>
      <c r="R240" s="27">
        <f t="shared" si="134"/>
        <v>0</v>
      </c>
      <c r="S240" s="27">
        <f t="shared" si="135"/>
        <v>497000</v>
      </c>
      <c r="T240" s="27">
        <f t="shared" si="136"/>
        <v>0</v>
      </c>
      <c r="U240" s="27">
        <f t="shared" si="137"/>
        <v>0</v>
      </c>
      <c r="V240" s="27">
        <f t="shared" si="138"/>
        <v>0</v>
      </c>
      <c r="W240" s="27">
        <f t="shared" si="139"/>
        <v>497000</v>
      </c>
      <c r="X240" s="125" t="str">
        <f t="shared" si="140"/>
        <v>ok</v>
      </c>
    </row>
    <row r="241" spans="1:24">
      <c r="A241" s="28">
        <v>893</v>
      </c>
      <c r="B241" s="25" t="s">
        <v>456</v>
      </c>
      <c r="C241" s="117" t="s">
        <v>534</v>
      </c>
      <c r="D241" s="117" t="s">
        <v>46</v>
      </c>
      <c r="F241" s="126">
        <v>0</v>
      </c>
      <c r="G241" s="27">
        <f t="shared" si="123"/>
        <v>0</v>
      </c>
      <c r="H241" s="27">
        <f t="shared" si="124"/>
        <v>0</v>
      </c>
      <c r="I241" s="27">
        <f t="shared" si="125"/>
        <v>0</v>
      </c>
      <c r="J241" s="27">
        <f t="shared" si="126"/>
        <v>0</v>
      </c>
      <c r="K241" s="27">
        <f t="shared" si="127"/>
        <v>0</v>
      </c>
      <c r="L241" s="27">
        <f t="shared" si="128"/>
        <v>0</v>
      </c>
      <c r="M241" s="27">
        <f t="shared" si="129"/>
        <v>0</v>
      </c>
      <c r="N241" s="27">
        <f t="shared" si="130"/>
        <v>0</v>
      </c>
      <c r="O241" s="27">
        <f t="shared" si="131"/>
        <v>0</v>
      </c>
      <c r="P241" s="27">
        <f t="shared" si="132"/>
        <v>0</v>
      </c>
      <c r="Q241" s="27">
        <f t="shared" si="133"/>
        <v>0</v>
      </c>
      <c r="R241" s="27">
        <f t="shared" si="134"/>
        <v>0</v>
      </c>
      <c r="S241" s="27">
        <f t="shared" si="135"/>
        <v>0</v>
      </c>
      <c r="T241" s="27">
        <f t="shared" si="136"/>
        <v>0</v>
      </c>
      <c r="U241" s="27">
        <f t="shared" si="137"/>
        <v>0</v>
      </c>
      <c r="V241" s="27">
        <f t="shared" si="138"/>
        <v>0</v>
      </c>
      <c r="W241" s="27">
        <f t="shared" si="139"/>
        <v>0</v>
      </c>
      <c r="X241" s="125" t="str">
        <f t="shared" si="140"/>
        <v>ok</v>
      </c>
    </row>
    <row r="242" spans="1:24">
      <c r="A242" s="28">
        <v>894</v>
      </c>
      <c r="B242" s="25" t="s">
        <v>457</v>
      </c>
      <c r="C242" s="117" t="s">
        <v>535</v>
      </c>
      <c r="D242" s="117" t="s">
        <v>202</v>
      </c>
      <c r="F242" s="126">
        <v>14000</v>
      </c>
      <c r="G242" s="27">
        <f t="shared" si="123"/>
        <v>0</v>
      </c>
      <c r="H242" s="27">
        <f t="shared" si="124"/>
        <v>0</v>
      </c>
      <c r="I242" s="27">
        <f t="shared" si="125"/>
        <v>0</v>
      </c>
      <c r="J242" s="27">
        <f t="shared" si="126"/>
        <v>0</v>
      </c>
      <c r="K242" s="27">
        <f t="shared" si="127"/>
        <v>0</v>
      </c>
      <c r="L242" s="27">
        <f t="shared" si="128"/>
        <v>0</v>
      </c>
      <c r="M242" s="27">
        <f t="shared" si="129"/>
        <v>0</v>
      </c>
      <c r="N242" s="27">
        <f t="shared" si="130"/>
        <v>553.28164824347641</v>
      </c>
      <c r="O242" s="27">
        <f t="shared" si="131"/>
        <v>2513.1893283629511</v>
      </c>
      <c r="P242" s="27">
        <f t="shared" si="132"/>
        <v>4206.8857173042506</v>
      </c>
      <c r="Q242" s="27">
        <f t="shared" si="133"/>
        <v>365.7150055038997</v>
      </c>
      <c r="R242" s="27">
        <f t="shared" si="134"/>
        <v>263.56221863786487</v>
      </c>
      <c r="S242" s="27">
        <f t="shared" si="135"/>
        <v>4432.0063667288368</v>
      </c>
      <c r="T242" s="27">
        <f t="shared" si="136"/>
        <v>1665.3597152187183</v>
      </c>
      <c r="U242" s="27">
        <f t="shared" si="137"/>
        <v>0</v>
      </c>
      <c r="V242" s="27">
        <f t="shared" si="138"/>
        <v>0</v>
      </c>
      <c r="W242" s="27">
        <f t="shared" si="139"/>
        <v>13999.999999999998</v>
      </c>
      <c r="X242" s="125" t="str">
        <f t="shared" si="140"/>
        <v>ok</v>
      </c>
    </row>
    <row r="243" spans="1:24">
      <c r="F243" s="33"/>
      <c r="G243" s="25"/>
      <c r="H243" s="25"/>
      <c r="I243" s="25"/>
      <c r="J243" s="25"/>
      <c r="K243" s="25"/>
      <c r="L243" s="25"/>
      <c r="M243" s="25"/>
      <c r="N243" s="25"/>
    </row>
    <row r="244" spans="1:24">
      <c r="A244" s="28" t="s">
        <v>188</v>
      </c>
      <c r="C244" s="117" t="s">
        <v>536</v>
      </c>
      <c r="F244" s="33">
        <f>SUM(F233:F242)</f>
        <v>6564606</v>
      </c>
      <c r="G244" s="33">
        <f t="shared" ref="G244:W244" si="141">SUM(G233:G242)</f>
        <v>0</v>
      </c>
      <c r="H244" s="33">
        <f t="shared" si="141"/>
        <v>0</v>
      </c>
      <c r="I244" s="33">
        <f t="shared" si="141"/>
        <v>0</v>
      </c>
      <c r="J244" s="33">
        <f t="shared" si="141"/>
        <v>0</v>
      </c>
      <c r="K244" s="33">
        <f t="shared" si="141"/>
        <v>0</v>
      </c>
      <c r="L244" s="33">
        <f t="shared" si="141"/>
        <v>0</v>
      </c>
      <c r="M244" s="33">
        <f t="shared" si="141"/>
        <v>0</v>
      </c>
      <c r="N244" s="33">
        <f t="shared" si="141"/>
        <v>298626.28164824349</v>
      </c>
      <c r="O244" s="33">
        <f t="shared" si="141"/>
        <v>1927933.9514716985</v>
      </c>
      <c r="P244" s="33">
        <f t="shared" si="141"/>
        <v>3227213.2118416005</v>
      </c>
      <c r="Q244" s="33">
        <f>SUM(Q233:Q242)</f>
        <v>280549.645709701</v>
      </c>
      <c r="R244" s="33">
        <f>SUM(R233:R242)</f>
        <v>202185.54324680907</v>
      </c>
      <c r="S244" s="33">
        <f t="shared" si="141"/>
        <v>501432.00636672886</v>
      </c>
      <c r="T244" s="33">
        <f t="shared" si="141"/>
        <v>126665.35971521871</v>
      </c>
      <c r="U244" s="33">
        <f t="shared" si="141"/>
        <v>0</v>
      </c>
      <c r="V244" s="33">
        <f t="shared" si="141"/>
        <v>0</v>
      </c>
      <c r="W244" s="33">
        <f t="shared" si="141"/>
        <v>6564606</v>
      </c>
      <c r="X244" s="125" t="str">
        <f t="shared" si="140"/>
        <v>ok</v>
      </c>
    </row>
    <row r="245" spans="1:24">
      <c r="A245" s="28"/>
      <c r="F245" s="33"/>
    </row>
    <row r="246" spans="1:24">
      <c r="A246" s="28" t="s">
        <v>591</v>
      </c>
      <c r="C246" s="117" t="s">
        <v>354</v>
      </c>
      <c r="F246" s="32">
        <f>F189+F215+F244</f>
        <v>10837814</v>
      </c>
      <c r="G246" s="32">
        <f t="shared" ref="G246:V246" si="142">G189+G215+G244</f>
        <v>0</v>
      </c>
      <c r="H246" s="32">
        <f t="shared" si="142"/>
        <v>0</v>
      </c>
      <c r="I246" s="32">
        <f t="shared" si="142"/>
        <v>0</v>
      </c>
      <c r="J246" s="32">
        <f t="shared" si="142"/>
        <v>0</v>
      </c>
      <c r="K246" s="32">
        <f t="shared" si="142"/>
        <v>813028</v>
      </c>
      <c r="L246" s="32">
        <f t="shared" si="142"/>
        <v>0</v>
      </c>
      <c r="M246" s="32">
        <f t="shared" si="142"/>
        <v>306000</v>
      </c>
      <c r="N246" s="32">
        <f t="shared" si="142"/>
        <v>1084146.2233871438</v>
      </c>
      <c r="O246" s="32">
        <f t="shared" si="142"/>
        <v>2228095.1175041925</v>
      </c>
      <c r="P246" s="32">
        <f t="shared" si="142"/>
        <v>3729659.9268664569</v>
      </c>
      <c r="Q246" s="32">
        <f>Q189+Q215+Q244</f>
        <v>324228.58435899694</v>
      </c>
      <c r="R246" s="32">
        <f>R189+R215+R244</f>
        <v>233663.92888836534</v>
      </c>
      <c r="S246" s="32">
        <f t="shared" si="142"/>
        <v>1030765.862709065</v>
      </c>
      <c r="T246" s="32">
        <f t="shared" si="142"/>
        <v>1088226.3562857793</v>
      </c>
      <c r="U246" s="32">
        <f t="shared" si="142"/>
        <v>0</v>
      </c>
      <c r="V246" s="32">
        <f t="shared" si="142"/>
        <v>0</v>
      </c>
      <c r="W246" s="27">
        <f>SUM(G246:V246)</f>
        <v>10837813.999999998</v>
      </c>
      <c r="X246" s="125" t="str">
        <f t="shared" si="140"/>
        <v>ok</v>
      </c>
    </row>
    <row r="247" spans="1:24">
      <c r="A247" s="28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27"/>
      <c r="X247" s="125"/>
    </row>
    <row r="248" spans="1:24">
      <c r="A248" s="13"/>
      <c r="F248" s="27"/>
    </row>
    <row r="249" spans="1:24">
      <c r="A249" s="13" t="s">
        <v>468</v>
      </c>
      <c r="F249" s="27"/>
    </row>
    <row r="250" spans="1:24">
      <c r="A250" s="28">
        <v>901</v>
      </c>
      <c r="B250" s="25" t="s">
        <v>138</v>
      </c>
      <c r="C250" s="117" t="s">
        <v>541</v>
      </c>
      <c r="D250" s="117" t="s">
        <v>49</v>
      </c>
      <c r="F250" s="32">
        <v>625418.55000000005</v>
      </c>
      <c r="G250" s="27">
        <f>(VLOOKUP($D250,$C$6:$AJ$992,5,)/VLOOKUP($D250,$C$6:$AJ$992,4,))*$F250</f>
        <v>0</v>
      </c>
      <c r="H250" s="27">
        <f>(VLOOKUP($D250,$C$6:$AJ$992,6,)/VLOOKUP($D250,$C$6:$AJ$992,4,))*$F250</f>
        <v>0</v>
      </c>
      <c r="I250" s="27">
        <f>(VLOOKUP($D250,$C$6:$AJ$992,7,)/VLOOKUP($D250,$C$6:$AJ$992,4,))*$F250</f>
        <v>0</v>
      </c>
      <c r="J250" s="27">
        <f>(VLOOKUP($D250,$C$6:$AJ$992,8,)/VLOOKUP($D250,$C$6:$AJ$992,4,))*$F250</f>
        <v>0</v>
      </c>
      <c r="K250" s="27">
        <f>(VLOOKUP($D250,$C$6:$AJ$992,9,)/VLOOKUP($D250,$C$6:$AJ$992,4,))*$F250</f>
        <v>0</v>
      </c>
      <c r="L250" s="27">
        <f>(VLOOKUP($D250,$C$6:$AJ$992,10,)/VLOOKUP($D250,$C$6:$AJ$992,4,))*$F250</f>
        <v>0</v>
      </c>
      <c r="M250" s="27">
        <f>(VLOOKUP($D250,$C$6:$AJ$992,11,)/VLOOKUP($D250,$C$6:$AJ$992,4,))*$F250</f>
        <v>0</v>
      </c>
      <c r="N250" s="27">
        <f>(VLOOKUP($D250,$C$6:$AJ$992,12,)/VLOOKUP($D250,$C$6:$AJ$992,4,))*$F250</f>
        <v>0</v>
      </c>
      <c r="O250" s="27">
        <f>(VLOOKUP($D250,$C$6:$AJ$992,13,)/VLOOKUP($D250,$C$6:$AJ$992,4,))*$F250</f>
        <v>0</v>
      </c>
      <c r="P250" s="27">
        <f>(VLOOKUP($D250,$C$6:$AJ$992,14,)/VLOOKUP($D250,$C$6:$AJ$992,4,))*$F250</f>
        <v>0</v>
      </c>
      <c r="Q250" s="27">
        <f>(VLOOKUP($D250,$C$6:$AJ$992,15,)/VLOOKUP($D250,$C$6:$AJ$992,4,))*$F250</f>
        <v>0</v>
      </c>
      <c r="R250" s="27">
        <f>(VLOOKUP($D250,$C$6:$AJ$992,16,)/VLOOKUP($D250,$C$6:$AJ$992,4,))*$F250</f>
        <v>0</v>
      </c>
      <c r="S250" s="27">
        <f>(VLOOKUP($D250,$C$6:$AJ$992,17,)/VLOOKUP($D250,$C$6:$AJ$992,4,))*$F250</f>
        <v>0</v>
      </c>
      <c r="T250" s="27">
        <f>(VLOOKUP($D250,$C$6:$AJ$992,18,)/VLOOKUP($D250,$C$6:$AJ$992,4,))*$F250</f>
        <v>0</v>
      </c>
      <c r="U250" s="27">
        <f>(VLOOKUP($D250,$C$6:$AJ$992,19,)/VLOOKUP($D250,$C$6:$AJ$992,4,))*$F250</f>
        <v>625418.55000000005</v>
      </c>
      <c r="V250" s="27">
        <f>(VLOOKUP($D250,$C$6:$AJ$992,20,)/VLOOKUP($D250,$C$6:$AJ$992,4,))*$F250</f>
        <v>0</v>
      </c>
      <c r="W250" s="27">
        <f>SUM(G250:V250)</f>
        <v>625418.55000000005</v>
      </c>
      <c r="X250" s="125" t="str">
        <f>IF(ABS(W250-F250)&lt;1,"ok","err")</f>
        <v>ok</v>
      </c>
    </row>
    <row r="251" spans="1:24">
      <c r="A251" s="28">
        <v>902</v>
      </c>
      <c r="B251" s="25" t="s">
        <v>140</v>
      </c>
      <c r="C251" s="117" t="s">
        <v>542</v>
      </c>
      <c r="D251" s="117" t="s">
        <v>49</v>
      </c>
      <c r="F251" s="27">
        <v>248281.2</v>
      </c>
      <c r="G251" s="27">
        <f>(VLOOKUP($D251,$C$6:$AJ$992,5,)/VLOOKUP($D251,$C$6:$AJ$992,4,))*$F251</f>
        <v>0</v>
      </c>
      <c r="H251" s="27">
        <f>(VLOOKUP($D251,$C$6:$AJ$992,6,)/VLOOKUP($D251,$C$6:$AJ$992,4,))*$F251</f>
        <v>0</v>
      </c>
      <c r="I251" s="27">
        <f>(VLOOKUP($D251,$C$6:$AJ$992,7,)/VLOOKUP($D251,$C$6:$AJ$992,4,))*$F251</f>
        <v>0</v>
      </c>
      <c r="J251" s="27">
        <f>(VLOOKUP($D251,$C$6:$AJ$992,8,)/VLOOKUP($D251,$C$6:$AJ$992,4,))*$F251</f>
        <v>0</v>
      </c>
      <c r="K251" s="27">
        <f>(VLOOKUP($D251,$C$6:$AJ$992,9,)/VLOOKUP($D251,$C$6:$AJ$992,4,))*$F251</f>
        <v>0</v>
      </c>
      <c r="L251" s="27">
        <f>(VLOOKUP($D251,$C$6:$AJ$992,10,)/VLOOKUP($D251,$C$6:$AJ$992,4,))*$F251</f>
        <v>0</v>
      </c>
      <c r="M251" s="27">
        <f>(VLOOKUP($D251,$C$6:$AJ$992,11,)/VLOOKUP($D251,$C$6:$AJ$992,4,))*$F251</f>
        <v>0</v>
      </c>
      <c r="N251" s="27">
        <f>(VLOOKUP($D251,$C$6:$AJ$992,12,)/VLOOKUP($D251,$C$6:$AJ$992,4,))*$F251</f>
        <v>0</v>
      </c>
      <c r="O251" s="27">
        <f>(VLOOKUP($D251,$C$6:$AJ$992,13,)/VLOOKUP($D251,$C$6:$AJ$992,4,))*$F251</f>
        <v>0</v>
      </c>
      <c r="P251" s="27">
        <f>(VLOOKUP($D251,$C$6:$AJ$992,14,)/VLOOKUP($D251,$C$6:$AJ$992,4,))*$F251</f>
        <v>0</v>
      </c>
      <c r="Q251" s="27">
        <f>(VLOOKUP($D251,$C$6:$AJ$992,15,)/VLOOKUP($D251,$C$6:$AJ$992,4,))*$F251</f>
        <v>0</v>
      </c>
      <c r="R251" s="27">
        <f>(VLOOKUP($D251,$C$6:$AJ$992,16,)/VLOOKUP($D251,$C$6:$AJ$992,4,))*$F251</f>
        <v>0</v>
      </c>
      <c r="S251" s="27">
        <f>(VLOOKUP($D251,$C$6:$AJ$992,17,)/VLOOKUP($D251,$C$6:$AJ$992,4,))*$F251</f>
        <v>0</v>
      </c>
      <c r="T251" s="27">
        <f>(VLOOKUP($D251,$C$6:$AJ$992,18,)/VLOOKUP($D251,$C$6:$AJ$992,4,))*$F251</f>
        <v>0</v>
      </c>
      <c r="U251" s="27">
        <f>(VLOOKUP($D251,$C$6:$AJ$992,19,)/VLOOKUP($D251,$C$6:$AJ$992,4,))*$F251</f>
        <v>248281.2</v>
      </c>
      <c r="V251" s="27">
        <f>(VLOOKUP($D251,$C$6:$AJ$992,20,)/VLOOKUP($D251,$C$6:$AJ$992,4,))*$F251</f>
        <v>0</v>
      </c>
      <c r="W251" s="27">
        <f>SUM(G251:V251)</f>
        <v>248281.2</v>
      </c>
      <c r="X251" s="125" t="str">
        <f>IF(ABS(W251-F251)&lt;1,"ok","err")</f>
        <v>ok</v>
      </c>
    </row>
    <row r="252" spans="1:24">
      <c r="A252" s="28">
        <v>903</v>
      </c>
      <c r="B252" s="25" t="s">
        <v>440</v>
      </c>
      <c r="C252" s="117" t="s">
        <v>543</v>
      </c>
      <c r="D252" s="117" t="s">
        <v>49</v>
      </c>
      <c r="F252" s="27">
        <v>2559547.8000000003</v>
      </c>
      <c r="G252" s="27">
        <f>(VLOOKUP($D252,$C$6:$AJ$992,5,)/VLOOKUP($D252,$C$6:$AJ$992,4,))*$F252</f>
        <v>0</v>
      </c>
      <c r="H252" s="27">
        <f>(VLOOKUP($D252,$C$6:$AJ$992,6,)/VLOOKUP($D252,$C$6:$AJ$992,4,))*$F252</f>
        <v>0</v>
      </c>
      <c r="I252" s="27">
        <f>(VLOOKUP($D252,$C$6:$AJ$992,7,)/VLOOKUP($D252,$C$6:$AJ$992,4,))*$F252</f>
        <v>0</v>
      </c>
      <c r="J252" s="27">
        <f>(VLOOKUP($D252,$C$6:$AJ$992,8,)/VLOOKUP($D252,$C$6:$AJ$992,4,))*$F252</f>
        <v>0</v>
      </c>
      <c r="K252" s="27">
        <f>(VLOOKUP($D252,$C$6:$AJ$992,9,)/VLOOKUP($D252,$C$6:$AJ$992,4,))*$F252</f>
        <v>0</v>
      </c>
      <c r="L252" s="27">
        <f>(VLOOKUP($D252,$C$6:$AJ$992,10,)/VLOOKUP($D252,$C$6:$AJ$992,4,))*$F252</f>
        <v>0</v>
      </c>
      <c r="M252" s="27">
        <f>(VLOOKUP($D252,$C$6:$AJ$992,11,)/VLOOKUP($D252,$C$6:$AJ$992,4,))*$F252</f>
        <v>0</v>
      </c>
      <c r="N252" s="27">
        <f>(VLOOKUP($D252,$C$6:$AJ$992,12,)/VLOOKUP($D252,$C$6:$AJ$992,4,))*$F252</f>
        <v>0</v>
      </c>
      <c r="O252" s="27">
        <f>(VLOOKUP($D252,$C$6:$AJ$992,13,)/VLOOKUP($D252,$C$6:$AJ$992,4,))*$F252</f>
        <v>0</v>
      </c>
      <c r="P252" s="27">
        <f>(VLOOKUP($D252,$C$6:$AJ$992,14,)/VLOOKUP($D252,$C$6:$AJ$992,4,))*$F252</f>
        <v>0</v>
      </c>
      <c r="Q252" s="27">
        <f>(VLOOKUP($D252,$C$6:$AJ$992,15,)/VLOOKUP($D252,$C$6:$AJ$992,4,))*$F252</f>
        <v>0</v>
      </c>
      <c r="R252" s="27">
        <f>(VLOOKUP($D252,$C$6:$AJ$992,16,)/VLOOKUP($D252,$C$6:$AJ$992,4,))*$F252</f>
        <v>0</v>
      </c>
      <c r="S252" s="27">
        <f>(VLOOKUP($D252,$C$6:$AJ$992,17,)/VLOOKUP($D252,$C$6:$AJ$992,4,))*$F252</f>
        <v>0</v>
      </c>
      <c r="T252" s="27">
        <f>(VLOOKUP($D252,$C$6:$AJ$992,18,)/VLOOKUP($D252,$C$6:$AJ$992,4,))*$F252</f>
        <v>0</v>
      </c>
      <c r="U252" s="27">
        <f>(VLOOKUP($D252,$C$6:$AJ$992,19,)/VLOOKUP($D252,$C$6:$AJ$992,4,))*$F252</f>
        <v>2559547.8000000003</v>
      </c>
      <c r="V252" s="27">
        <f>(VLOOKUP($D252,$C$6:$AJ$992,20,)/VLOOKUP($D252,$C$6:$AJ$992,4,))*$F252</f>
        <v>0</v>
      </c>
      <c r="W252" s="27">
        <f>SUM(G252:V252)</f>
        <v>2559547.8000000003</v>
      </c>
      <c r="X252" s="125" t="str">
        <f>IF(ABS(W252-F252)&lt;1,"ok","err")</f>
        <v>ok</v>
      </c>
    </row>
    <row r="253" spans="1:24">
      <c r="A253" s="28">
        <v>904</v>
      </c>
      <c r="B253" s="25" t="s">
        <v>143</v>
      </c>
      <c r="C253" s="117" t="s">
        <v>544</v>
      </c>
      <c r="D253" s="117" t="s">
        <v>49</v>
      </c>
      <c r="F253" s="27">
        <v>0</v>
      </c>
      <c r="G253" s="27">
        <f>(VLOOKUP($D253,$C$6:$AJ$992,5,)/VLOOKUP($D253,$C$6:$AJ$992,4,))*$F253</f>
        <v>0</v>
      </c>
      <c r="H253" s="27">
        <f>(VLOOKUP($D253,$C$6:$AJ$992,6,)/VLOOKUP($D253,$C$6:$AJ$992,4,))*$F253</f>
        <v>0</v>
      </c>
      <c r="I253" s="27">
        <f>(VLOOKUP($D253,$C$6:$AJ$992,7,)/VLOOKUP($D253,$C$6:$AJ$992,4,))*$F253</f>
        <v>0</v>
      </c>
      <c r="J253" s="27">
        <f>(VLOOKUP($D253,$C$6:$AJ$992,8,)/VLOOKUP($D253,$C$6:$AJ$992,4,))*$F253</f>
        <v>0</v>
      </c>
      <c r="K253" s="27">
        <f>(VLOOKUP($D253,$C$6:$AJ$992,9,)/VLOOKUP($D253,$C$6:$AJ$992,4,))*$F253</f>
        <v>0</v>
      </c>
      <c r="L253" s="27">
        <f>(VLOOKUP($D253,$C$6:$AJ$992,10,)/VLOOKUP($D253,$C$6:$AJ$992,4,))*$F253</f>
        <v>0</v>
      </c>
      <c r="M253" s="27">
        <f>(VLOOKUP($D253,$C$6:$AJ$992,11,)/VLOOKUP($D253,$C$6:$AJ$992,4,))*$F253</f>
        <v>0</v>
      </c>
      <c r="N253" s="27">
        <f>(VLOOKUP($D253,$C$6:$AJ$992,12,)/VLOOKUP($D253,$C$6:$AJ$992,4,))*$F253</f>
        <v>0</v>
      </c>
      <c r="O253" s="27">
        <f>(VLOOKUP($D253,$C$6:$AJ$992,13,)/VLOOKUP($D253,$C$6:$AJ$992,4,))*$F253</f>
        <v>0</v>
      </c>
      <c r="P253" s="27">
        <f>(VLOOKUP($D253,$C$6:$AJ$992,14,)/VLOOKUP($D253,$C$6:$AJ$992,4,))*$F253</f>
        <v>0</v>
      </c>
      <c r="Q253" s="27">
        <f>(VLOOKUP($D253,$C$6:$AJ$992,15,)/VLOOKUP($D253,$C$6:$AJ$992,4,))*$F253</f>
        <v>0</v>
      </c>
      <c r="R253" s="27">
        <f>(VLOOKUP($D253,$C$6:$AJ$992,16,)/VLOOKUP($D253,$C$6:$AJ$992,4,))*$F253</f>
        <v>0</v>
      </c>
      <c r="S253" s="27">
        <f>(VLOOKUP($D253,$C$6:$AJ$992,17,)/VLOOKUP($D253,$C$6:$AJ$992,4,))*$F253</f>
        <v>0</v>
      </c>
      <c r="T253" s="27">
        <f>(VLOOKUP($D253,$C$6:$AJ$992,18,)/VLOOKUP($D253,$C$6:$AJ$992,4,))*$F253</f>
        <v>0</v>
      </c>
      <c r="U253" s="27">
        <f>(VLOOKUP($D253,$C$6:$AJ$992,19,)/VLOOKUP($D253,$C$6:$AJ$992,4,))*$F253</f>
        <v>0</v>
      </c>
      <c r="V253" s="27">
        <f>(VLOOKUP($D253,$C$6:$AJ$992,20,)/VLOOKUP($D253,$C$6:$AJ$992,4,))*$F253</f>
        <v>0</v>
      </c>
      <c r="W253" s="27">
        <f>SUM(G253:V253)</f>
        <v>0</v>
      </c>
      <c r="X253" s="125" t="str">
        <f>IF(ABS(W253-F253)&lt;1,"ok","err")</f>
        <v>ok</v>
      </c>
    </row>
    <row r="254" spans="1:24">
      <c r="A254" s="28">
        <v>905</v>
      </c>
      <c r="B254" s="25" t="s">
        <v>441</v>
      </c>
      <c r="C254" s="117" t="s">
        <v>545</v>
      </c>
      <c r="D254" s="117" t="s">
        <v>49</v>
      </c>
      <c r="F254" s="27">
        <v>12182.85</v>
      </c>
      <c r="G254" s="27">
        <f>(VLOOKUP($D254,$C$6:$AJ$992,5,)/VLOOKUP($D254,$C$6:$AJ$992,4,))*$F254</f>
        <v>0</v>
      </c>
      <c r="H254" s="27">
        <f>(VLOOKUP($D254,$C$6:$AJ$992,6,)/VLOOKUP($D254,$C$6:$AJ$992,4,))*$F254</f>
        <v>0</v>
      </c>
      <c r="I254" s="27">
        <f>(VLOOKUP($D254,$C$6:$AJ$992,7,)/VLOOKUP($D254,$C$6:$AJ$992,4,))*$F254</f>
        <v>0</v>
      </c>
      <c r="J254" s="27">
        <f>(VLOOKUP($D254,$C$6:$AJ$992,8,)/VLOOKUP($D254,$C$6:$AJ$992,4,))*$F254</f>
        <v>0</v>
      </c>
      <c r="K254" s="27">
        <f>(VLOOKUP($D254,$C$6:$AJ$992,9,)/VLOOKUP($D254,$C$6:$AJ$992,4,))*$F254</f>
        <v>0</v>
      </c>
      <c r="L254" s="27">
        <f>(VLOOKUP($D254,$C$6:$AJ$992,10,)/VLOOKUP($D254,$C$6:$AJ$992,4,))*$F254</f>
        <v>0</v>
      </c>
      <c r="M254" s="27">
        <f>(VLOOKUP($D254,$C$6:$AJ$992,11,)/VLOOKUP($D254,$C$6:$AJ$992,4,))*$F254</f>
        <v>0</v>
      </c>
      <c r="N254" s="27">
        <f>(VLOOKUP($D254,$C$6:$AJ$992,12,)/VLOOKUP($D254,$C$6:$AJ$992,4,))*$F254</f>
        <v>0</v>
      </c>
      <c r="O254" s="27">
        <f>(VLOOKUP($D254,$C$6:$AJ$992,13,)/VLOOKUP($D254,$C$6:$AJ$992,4,))*$F254</f>
        <v>0</v>
      </c>
      <c r="P254" s="27">
        <f>(VLOOKUP($D254,$C$6:$AJ$992,14,)/VLOOKUP($D254,$C$6:$AJ$992,4,))*$F254</f>
        <v>0</v>
      </c>
      <c r="Q254" s="27">
        <f>(VLOOKUP($D254,$C$6:$AJ$992,15,)/VLOOKUP($D254,$C$6:$AJ$992,4,))*$F254</f>
        <v>0</v>
      </c>
      <c r="R254" s="27">
        <f>(VLOOKUP($D254,$C$6:$AJ$992,16,)/VLOOKUP($D254,$C$6:$AJ$992,4,))*$F254</f>
        <v>0</v>
      </c>
      <c r="S254" s="27">
        <f>(VLOOKUP($D254,$C$6:$AJ$992,17,)/VLOOKUP($D254,$C$6:$AJ$992,4,))*$F254</f>
        <v>0</v>
      </c>
      <c r="T254" s="27">
        <f>(VLOOKUP($D254,$C$6:$AJ$992,18,)/VLOOKUP($D254,$C$6:$AJ$992,4,))*$F254</f>
        <v>0</v>
      </c>
      <c r="U254" s="27">
        <f>(VLOOKUP($D254,$C$6:$AJ$992,19,)/VLOOKUP($D254,$C$6:$AJ$992,4,))*$F254</f>
        <v>12182.85</v>
      </c>
      <c r="V254" s="27">
        <f>(VLOOKUP($D254,$C$6:$AJ$992,20,)/VLOOKUP($D254,$C$6:$AJ$992,4,))*$F254</f>
        <v>0</v>
      </c>
      <c r="W254" s="27">
        <f>SUM(G254:V254)</f>
        <v>12182.85</v>
      </c>
      <c r="X254" s="125" t="str">
        <f>IF(ABS(W254-F254)&lt;1,"ok","err")</f>
        <v>ok</v>
      </c>
    </row>
    <row r="255" spans="1:24">
      <c r="A255" s="28"/>
      <c r="F255" s="27"/>
    </row>
    <row r="256" spans="1:24">
      <c r="A256" s="28" t="s">
        <v>478</v>
      </c>
      <c r="C256" s="117" t="s">
        <v>546</v>
      </c>
      <c r="F256" s="32">
        <f>SUM(F250:F254)</f>
        <v>3445430.4000000004</v>
      </c>
      <c r="G256" s="32">
        <f t="shared" ref="G256:V256" si="143">SUM(G250:G254)</f>
        <v>0</v>
      </c>
      <c r="H256" s="32">
        <f t="shared" si="143"/>
        <v>0</v>
      </c>
      <c r="I256" s="32">
        <f t="shared" si="143"/>
        <v>0</v>
      </c>
      <c r="J256" s="32">
        <f t="shared" si="143"/>
        <v>0</v>
      </c>
      <c r="K256" s="32">
        <f t="shared" si="143"/>
        <v>0</v>
      </c>
      <c r="L256" s="32">
        <f t="shared" si="143"/>
        <v>0</v>
      </c>
      <c r="M256" s="32">
        <f t="shared" si="143"/>
        <v>0</v>
      </c>
      <c r="N256" s="32">
        <f t="shared" si="143"/>
        <v>0</v>
      </c>
      <c r="O256" s="32">
        <f t="shared" si="143"/>
        <v>0</v>
      </c>
      <c r="P256" s="32">
        <f t="shared" si="143"/>
        <v>0</v>
      </c>
      <c r="Q256" s="32">
        <f t="shared" si="143"/>
        <v>0</v>
      </c>
      <c r="R256" s="32">
        <f t="shared" si="143"/>
        <v>0</v>
      </c>
      <c r="S256" s="32">
        <f t="shared" si="143"/>
        <v>0</v>
      </c>
      <c r="T256" s="32">
        <f t="shared" si="143"/>
        <v>0</v>
      </c>
      <c r="U256" s="32">
        <f t="shared" si="143"/>
        <v>3445430.4000000004</v>
      </c>
      <c r="V256" s="32">
        <f t="shared" si="143"/>
        <v>0</v>
      </c>
      <c r="W256" s="27">
        <f>SUM(G256:V256)</f>
        <v>3445430.4000000004</v>
      </c>
      <c r="X256" s="125" t="str">
        <f>IF(ABS(W256-F256)&lt;1,"ok","err")</f>
        <v>ok</v>
      </c>
    </row>
    <row r="257" spans="1:24">
      <c r="A257" s="28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27"/>
      <c r="X257" s="125"/>
    </row>
    <row r="258" spans="1:24">
      <c r="A258" s="120" t="s">
        <v>149</v>
      </c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27"/>
      <c r="X258" s="125"/>
    </row>
    <row r="259" spans="1:24">
      <c r="A259" s="28" t="s">
        <v>148</v>
      </c>
      <c r="B259" s="25" t="s">
        <v>13</v>
      </c>
      <c r="C259" s="117" t="s">
        <v>547</v>
      </c>
      <c r="D259" s="117" t="s">
        <v>52</v>
      </c>
      <c r="F259" s="32">
        <v>295765.56</v>
      </c>
      <c r="G259" s="27">
        <f>(VLOOKUP($D259,$C$6:$AJ$992,5,)/VLOOKUP($D259,$C$6:$AJ$992,4,))*$F259</f>
        <v>0</v>
      </c>
      <c r="H259" s="27">
        <f>(VLOOKUP($D259,$C$6:$AJ$992,6,)/VLOOKUP($D259,$C$6:$AJ$992,4,))*$F259</f>
        <v>0</v>
      </c>
      <c r="I259" s="27">
        <f>(VLOOKUP($D259,$C$6:$AJ$992,7,)/VLOOKUP($D259,$C$6:$AJ$992,4,))*$F259</f>
        <v>0</v>
      </c>
      <c r="J259" s="27">
        <f>(VLOOKUP($D259,$C$6:$AJ$992,8,)/VLOOKUP($D259,$C$6:$AJ$992,4,))*$F259</f>
        <v>0</v>
      </c>
      <c r="K259" s="27">
        <f>(VLOOKUP($D259,$C$6:$AJ$992,9,)/VLOOKUP($D259,$C$6:$AJ$992,4,))*$F259</f>
        <v>0</v>
      </c>
      <c r="L259" s="27">
        <f>(VLOOKUP($D259,$C$6:$AJ$992,10,)/VLOOKUP($D259,$C$6:$AJ$992,4,))*$F259</f>
        <v>0</v>
      </c>
      <c r="M259" s="27">
        <f>(VLOOKUP($D259,$C$6:$AJ$992,11,)/VLOOKUP($D259,$C$6:$AJ$992,4,))*$F259</f>
        <v>0</v>
      </c>
      <c r="N259" s="27">
        <f>(VLOOKUP($D259,$C$6:$AJ$992,12,)/VLOOKUP($D259,$C$6:$AJ$992,4,))*$F259</f>
        <v>0</v>
      </c>
      <c r="O259" s="27">
        <f>(VLOOKUP($D259,$C$6:$AJ$992,13,)/VLOOKUP($D259,$C$6:$AJ$992,4,))*$F259</f>
        <v>0</v>
      </c>
      <c r="P259" s="27">
        <f>(VLOOKUP($D259,$C$6:$AJ$992,14,)/VLOOKUP($D259,$C$6:$AJ$992,4,))*$F259</f>
        <v>0</v>
      </c>
      <c r="Q259" s="27">
        <f>(VLOOKUP($D259,$C$6:$AJ$992,15,)/VLOOKUP($D259,$C$6:$AJ$992,4,))*$F259</f>
        <v>0</v>
      </c>
      <c r="R259" s="27">
        <f>(VLOOKUP($D259,$C$6:$AJ$992,16,)/VLOOKUP($D259,$C$6:$AJ$992,4,))*$F259</f>
        <v>0</v>
      </c>
      <c r="S259" s="27">
        <f>(VLOOKUP($D259,$C$6:$AJ$992,17,)/VLOOKUP($D259,$C$6:$AJ$992,4,))*$F259</f>
        <v>0</v>
      </c>
      <c r="T259" s="27">
        <f>(VLOOKUP($D259,$C$6:$AJ$992,18,)/VLOOKUP($D259,$C$6:$AJ$992,4,))*$F259</f>
        <v>0</v>
      </c>
      <c r="U259" s="27">
        <f>(VLOOKUP($D259,$C$6:$AJ$992,19,)/VLOOKUP($D259,$C$6:$AJ$992,4,))*$F259</f>
        <v>0</v>
      </c>
      <c r="V259" s="27">
        <f>(VLOOKUP($D259,$C$6:$AJ$992,20,)/VLOOKUP($D259,$C$6:$AJ$992,4,))*$F259</f>
        <v>295765.56</v>
      </c>
      <c r="W259" s="27">
        <f>SUM(G259:V259)</f>
        <v>295765.56</v>
      </c>
      <c r="X259" s="125" t="str">
        <f>IF(ABS(W259-F259)&lt;1,"ok","err")</f>
        <v>ok</v>
      </c>
    </row>
    <row r="260" spans="1:24">
      <c r="A260" s="28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27"/>
      <c r="X260" s="125"/>
    </row>
    <row r="261" spans="1:24">
      <c r="A261" s="120" t="s">
        <v>152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27"/>
      <c r="X261" s="125"/>
    </row>
    <row r="262" spans="1:24">
      <c r="A262" s="28" t="s">
        <v>151</v>
      </c>
      <c r="B262" s="25" t="s">
        <v>152</v>
      </c>
      <c r="C262" s="117" t="s">
        <v>548</v>
      </c>
      <c r="D262" s="117" t="s">
        <v>52</v>
      </c>
      <c r="F262" s="32">
        <v>0</v>
      </c>
      <c r="G262" s="27">
        <f>(VLOOKUP($D262,$C$6:$AJ$992,5,)/VLOOKUP($D262,$C$6:$AJ$992,4,))*$F262</f>
        <v>0</v>
      </c>
      <c r="H262" s="27">
        <f>(VLOOKUP($D262,$C$6:$AJ$992,6,)/VLOOKUP($D262,$C$6:$AJ$992,4,))*$F262</f>
        <v>0</v>
      </c>
      <c r="I262" s="27">
        <f>(VLOOKUP($D262,$C$6:$AJ$992,7,)/VLOOKUP($D262,$C$6:$AJ$992,4,))*$F262</f>
        <v>0</v>
      </c>
      <c r="J262" s="27">
        <f>(VLOOKUP($D262,$C$6:$AJ$992,8,)/VLOOKUP($D262,$C$6:$AJ$992,4,))*$F262</f>
        <v>0</v>
      </c>
      <c r="K262" s="27">
        <f>(VLOOKUP($D262,$C$6:$AJ$992,9,)/VLOOKUP($D262,$C$6:$AJ$992,4,))*$F262</f>
        <v>0</v>
      </c>
      <c r="L262" s="27">
        <f>(VLOOKUP($D262,$C$6:$AJ$992,10,)/VLOOKUP($D262,$C$6:$AJ$992,4,))*$F262</f>
        <v>0</v>
      </c>
      <c r="M262" s="27">
        <f>(VLOOKUP($D262,$C$6:$AJ$992,11,)/VLOOKUP($D262,$C$6:$AJ$992,4,))*$F262</f>
        <v>0</v>
      </c>
      <c r="N262" s="27">
        <f>(VLOOKUP($D262,$C$6:$AJ$992,12,)/VLOOKUP($D262,$C$6:$AJ$992,4,))*$F262</f>
        <v>0</v>
      </c>
      <c r="O262" s="27">
        <f>(VLOOKUP($D262,$C$6:$AJ$992,13,)/VLOOKUP($D262,$C$6:$AJ$992,4,))*$F262</f>
        <v>0</v>
      </c>
      <c r="P262" s="27">
        <f>(VLOOKUP($D262,$C$6:$AJ$992,14,)/VLOOKUP($D262,$C$6:$AJ$992,4,))*$F262</f>
        <v>0</v>
      </c>
      <c r="Q262" s="27">
        <f>(VLOOKUP($D262,$C$6:$AJ$992,15,)/VLOOKUP($D262,$C$6:$AJ$992,4,))*$F262</f>
        <v>0</v>
      </c>
      <c r="R262" s="27">
        <f>(VLOOKUP($D262,$C$6:$AJ$992,16,)/VLOOKUP($D262,$C$6:$AJ$992,4,))*$F262</f>
        <v>0</v>
      </c>
      <c r="S262" s="27">
        <f>(VLOOKUP($D262,$C$6:$AJ$992,17,)/VLOOKUP($D262,$C$6:$AJ$992,4,))*$F262</f>
        <v>0</v>
      </c>
      <c r="T262" s="27">
        <f>(VLOOKUP($D262,$C$6:$AJ$992,18,)/VLOOKUP($D262,$C$6:$AJ$992,4,))*$F262</f>
        <v>0</v>
      </c>
      <c r="U262" s="27">
        <f>(VLOOKUP($D262,$C$6:$AJ$992,19,)/VLOOKUP($D262,$C$6:$AJ$992,4,))*$F262</f>
        <v>0</v>
      </c>
      <c r="V262" s="27">
        <f>(VLOOKUP($D262,$C$6:$AJ$992,20,)/VLOOKUP($D262,$C$6:$AJ$992,4,))*$F262</f>
        <v>0</v>
      </c>
      <c r="W262" s="27">
        <f>SUM(G262:V262)</f>
        <v>0</v>
      </c>
      <c r="X262" s="125" t="str">
        <f>IF(ABS(W262-F262)&lt;1,"ok","err")</f>
        <v>ok</v>
      </c>
    </row>
    <row r="263" spans="1:24">
      <c r="A263" s="28"/>
      <c r="F263" s="27"/>
    </row>
    <row r="264" spans="1:24">
      <c r="A264" s="28"/>
      <c r="F264" s="27"/>
    </row>
    <row r="265" spans="1:24">
      <c r="A265" s="28"/>
      <c r="F265" s="27"/>
    </row>
    <row r="266" spans="1:24">
      <c r="A266" s="28"/>
      <c r="F266" s="27"/>
    </row>
    <row r="267" spans="1:24">
      <c r="A267" s="28"/>
      <c r="F267" s="27"/>
    </row>
    <row r="268" spans="1:24">
      <c r="A268" s="28"/>
      <c r="F268" s="27"/>
    </row>
    <row r="269" spans="1:24">
      <c r="A269" s="128"/>
      <c r="F269" s="32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125"/>
    </row>
    <row r="270" spans="1:24">
      <c r="A270" s="28"/>
      <c r="F270" s="27"/>
    </row>
    <row r="271" spans="1:24">
      <c r="A271" s="30" t="s">
        <v>466</v>
      </c>
      <c r="F271" s="27"/>
    </row>
    <row r="272" spans="1:24">
      <c r="A272" s="28"/>
      <c r="F272" s="27"/>
    </row>
    <row r="273" spans="1:24">
      <c r="A273" s="28"/>
      <c r="F273" s="27"/>
    </row>
    <row r="274" spans="1:24">
      <c r="A274" s="120" t="s">
        <v>173</v>
      </c>
      <c r="F274" s="27"/>
    </row>
    <row r="275" spans="1:24">
      <c r="A275" s="28">
        <v>920</v>
      </c>
      <c r="B275" s="25" t="s">
        <v>442</v>
      </c>
      <c r="C275" s="117" t="s">
        <v>549</v>
      </c>
      <c r="D275" s="117" t="s">
        <v>155</v>
      </c>
      <c r="F275" s="139">
        <v>5487742.2599999998</v>
      </c>
      <c r="G275" s="27">
        <f t="shared" ref="G275:G288" si="144">(VLOOKUP($D275,$C$6:$AJ$992,5,)/VLOOKUP($D275,$C$6:$AJ$992,4,))*$F275</f>
        <v>19967.852994117369</v>
      </c>
      <c r="H275" s="27">
        <f t="shared" ref="H275:H288" si="145">(VLOOKUP($D275,$C$6:$AJ$992,6,)/VLOOKUP($D275,$C$6:$AJ$992,4,))*$F275</f>
        <v>150116.07370194199</v>
      </c>
      <c r="I275" s="27">
        <f t="shared" ref="I275:I288" si="146">(VLOOKUP($D275,$C$6:$AJ$992,7,)/VLOOKUP($D275,$C$6:$AJ$992,4,))*$F275</f>
        <v>519749.82665979845</v>
      </c>
      <c r="J275" s="27">
        <f t="shared" ref="J275:J288" si="147">(VLOOKUP($D275,$C$6:$AJ$992,8,)/VLOOKUP($D275,$C$6:$AJ$992,4,))*$F275</f>
        <v>533749.68361627345</v>
      </c>
      <c r="K275" s="27">
        <f t="shared" ref="K275:K288" si="148">(VLOOKUP($D275,$C$6:$AJ$992,9,)/VLOOKUP($D275,$C$6:$AJ$992,4,))*$F275</f>
        <v>237799.44791043291</v>
      </c>
      <c r="L275" s="27">
        <f t="shared" ref="L275:L288" si="149">(VLOOKUP($D275,$C$6:$AJ$992,10,)/VLOOKUP($D275,$C$6:$AJ$992,4,))*$F275</f>
        <v>0</v>
      </c>
      <c r="M275" s="27">
        <f t="shared" ref="M275:M288" si="150">(VLOOKUP($D275,$C$6:$AJ$992,11,)/VLOOKUP($D275,$C$6:$AJ$992,4,))*$F275</f>
        <v>89500.768805739135</v>
      </c>
      <c r="N275" s="27">
        <f t="shared" ref="N275:N288" si="151">(VLOOKUP($D275,$C$6:$AJ$992,12,)/VLOOKUP($D275,$C$6:$AJ$992,4,))*$F275</f>
        <v>317097.7793823136</v>
      </c>
      <c r="O275" s="27">
        <f t="shared" ref="O275:O288" si="152">(VLOOKUP($D275,$C$6:$AJ$992,13,)/VLOOKUP($D275,$C$6:$AJ$992,4,))*$F275</f>
        <v>651687.01303574804</v>
      </c>
      <c r="P275" s="27">
        <f t="shared" ref="P275:P288" si="153">(VLOOKUP($D275,$C$6:$AJ$992,14,)/VLOOKUP($D275,$C$6:$AJ$992,4,))*$F275</f>
        <v>1090873.9569885773</v>
      </c>
      <c r="Q275" s="27">
        <f t="shared" ref="Q275:Q288" si="154">(VLOOKUP($D275,$C$6:$AJ$992,15,)/VLOOKUP($D275,$C$6:$AJ$992,4,))*$F275</f>
        <v>94832.377676230943</v>
      </c>
      <c r="R275" s="27">
        <f t="shared" ref="R275:R288" si="155">(VLOOKUP($D275,$C$6:$AJ$992,16,)/VLOOKUP($D275,$C$6:$AJ$992,4,))*$F275</f>
        <v>68343.468227706719</v>
      </c>
      <c r="S275" s="27">
        <f t="shared" ref="S275:S288" si="156">(VLOOKUP($D275,$C$6:$AJ$992,17,)/VLOOKUP($D275,$C$6:$AJ$992,4,))*$F275</f>
        <v>301484.76199729496</v>
      </c>
      <c r="T275" s="27">
        <f t="shared" ref="T275:T288" si="157">(VLOOKUP($D275,$C$6:$AJ$992,18,)/VLOOKUP($D275,$C$6:$AJ$992,4,))*$F275</f>
        <v>318291.16183740337</v>
      </c>
      <c r="U275" s="27">
        <f t="shared" ref="U275:U288" si="158">(VLOOKUP($D275,$C$6:$AJ$992,19,)/VLOOKUP($D275,$C$6:$AJ$992,4,))*$F275</f>
        <v>1007740.7505446578</v>
      </c>
      <c r="V275" s="27">
        <f t="shared" ref="V275:V288" si="159">(VLOOKUP($D275,$C$6:$AJ$992,20,)/VLOOKUP($D275,$C$6:$AJ$992,4,))*$F275</f>
        <v>86507.336621764596</v>
      </c>
      <c r="W275" s="27">
        <f>SUM(G275:V275)</f>
        <v>5487742.2600000016</v>
      </c>
      <c r="X275" s="125" t="str">
        <f>IF(ABS(W275-F275)&lt;1,"ok","err")</f>
        <v>ok</v>
      </c>
    </row>
    <row r="276" spans="1:24">
      <c r="A276" s="28">
        <v>921</v>
      </c>
      <c r="B276" s="25" t="s">
        <v>443</v>
      </c>
      <c r="C276" s="117" t="s">
        <v>550</v>
      </c>
      <c r="D276" s="117" t="s">
        <v>155</v>
      </c>
      <c r="F276" s="132">
        <v>0</v>
      </c>
      <c r="G276" s="27">
        <f t="shared" si="144"/>
        <v>0</v>
      </c>
      <c r="H276" s="27">
        <f t="shared" si="145"/>
        <v>0</v>
      </c>
      <c r="I276" s="27">
        <f t="shared" si="146"/>
        <v>0</v>
      </c>
      <c r="J276" s="27">
        <f t="shared" si="147"/>
        <v>0</v>
      </c>
      <c r="K276" s="27">
        <f t="shared" si="148"/>
        <v>0</v>
      </c>
      <c r="L276" s="27">
        <f t="shared" si="149"/>
        <v>0</v>
      </c>
      <c r="M276" s="27">
        <f t="shared" si="150"/>
        <v>0</v>
      </c>
      <c r="N276" s="27">
        <f t="shared" si="151"/>
        <v>0</v>
      </c>
      <c r="O276" s="27">
        <f t="shared" si="152"/>
        <v>0</v>
      </c>
      <c r="P276" s="27">
        <f t="shared" si="153"/>
        <v>0</v>
      </c>
      <c r="Q276" s="27">
        <f t="shared" si="154"/>
        <v>0</v>
      </c>
      <c r="R276" s="27">
        <f t="shared" si="155"/>
        <v>0</v>
      </c>
      <c r="S276" s="27">
        <f t="shared" si="156"/>
        <v>0</v>
      </c>
      <c r="T276" s="27">
        <f t="shared" si="157"/>
        <v>0</v>
      </c>
      <c r="U276" s="27">
        <f t="shared" si="158"/>
        <v>0</v>
      </c>
      <c r="V276" s="27">
        <f t="shared" si="159"/>
        <v>0</v>
      </c>
      <c r="W276" s="27">
        <f t="shared" ref="W276:W288" si="160">SUM(G276:V276)</f>
        <v>0</v>
      </c>
      <c r="X276" s="125" t="str">
        <f t="shared" ref="X276:X288" si="161">IF(ABS(W276-F276)&lt;1,"ok","err")</f>
        <v>ok</v>
      </c>
    </row>
    <row r="277" spans="1:24">
      <c r="A277" s="28">
        <v>922</v>
      </c>
      <c r="B277" s="25" t="s">
        <v>444</v>
      </c>
      <c r="C277" s="117" t="s">
        <v>551</v>
      </c>
      <c r="D277" s="117" t="s">
        <v>155</v>
      </c>
      <c r="F277" s="132">
        <v>-528328.5</v>
      </c>
      <c r="G277" s="27">
        <f t="shared" si="144"/>
        <v>-1922.3909070034458</v>
      </c>
      <c r="H277" s="27">
        <f t="shared" si="145"/>
        <v>-14452.318692685189</v>
      </c>
      <c r="I277" s="27">
        <f t="shared" si="146"/>
        <v>-50038.546506816332</v>
      </c>
      <c r="J277" s="27">
        <f t="shared" si="147"/>
        <v>-51386.372821463439</v>
      </c>
      <c r="K277" s="27">
        <f t="shared" si="148"/>
        <v>-22893.973452635721</v>
      </c>
      <c r="L277" s="27">
        <f t="shared" si="149"/>
        <v>0</v>
      </c>
      <c r="M277" s="27">
        <f t="shared" si="150"/>
        <v>-8616.6231378335451</v>
      </c>
      <c r="N277" s="27">
        <f t="shared" si="151"/>
        <v>-30528.364160890578</v>
      </c>
      <c r="O277" s="27">
        <f t="shared" si="152"/>
        <v>-62740.705695361357</v>
      </c>
      <c r="P277" s="27">
        <f t="shared" si="153"/>
        <v>-105023.11771924209</v>
      </c>
      <c r="Q277" s="27">
        <f t="shared" si="154"/>
        <v>-9129.9200063227054</v>
      </c>
      <c r="R277" s="27">
        <f t="shared" si="155"/>
        <v>-6579.71900698229</v>
      </c>
      <c r="S277" s="27">
        <f t="shared" si="156"/>
        <v>-29025.231968326418</v>
      </c>
      <c r="T277" s="27">
        <f t="shared" si="157"/>
        <v>-30643.256211674299</v>
      </c>
      <c r="U277" s="27">
        <f t="shared" si="158"/>
        <v>-97019.527138676756</v>
      </c>
      <c r="V277" s="27">
        <f t="shared" si="159"/>
        <v>-8328.4325740859331</v>
      </c>
      <c r="W277" s="27">
        <f t="shared" si="160"/>
        <v>-528328.50000000012</v>
      </c>
      <c r="X277" s="125" t="str">
        <f t="shared" si="161"/>
        <v>ok</v>
      </c>
    </row>
    <row r="278" spans="1:24">
      <c r="A278" s="28">
        <v>923</v>
      </c>
      <c r="B278" s="25" t="s">
        <v>158</v>
      </c>
      <c r="C278" s="117" t="s">
        <v>552</v>
      </c>
      <c r="D278" s="117" t="s">
        <v>155</v>
      </c>
      <c r="F278" s="132">
        <v>0</v>
      </c>
      <c r="G278" s="27">
        <f t="shared" si="144"/>
        <v>0</v>
      </c>
      <c r="H278" s="27">
        <f t="shared" si="145"/>
        <v>0</v>
      </c>
      <c r="I278" s="27">
        <f t="shared" si="146"/>
        <v>0</v>
      </c>
      <c r="J278" s="27">
        <f t="shared" si="147"/>
        <v>0</v>
      </c>
      <c r="K278" s="27">
        <f t="shared" si="148"/>
        <v>0</v>
      </c>
      <c r="L278" s="27">
        <f t="shared" si="149"/>
        <v>0</v>
      </c>
      <c r="M278" s="27">
        <f t="shared" si="150"/>
        <v>0</v>
      </c>
      <c r="N278" s="27">
        <f t="shared" si="151"/>
        <v>0</v>
      </c>
      <c r="O278" s="27">
        <f t="shared" si="152"/>
        <v>0</v>
      </c>
      <c r="P278" s="27">
        <f t="shared" si="153"/>
        <v>0</v>
      </c>
      <c r="Q278" s="27">
        <f t="shared" si="154"/>
        <v>0</v>
      </c>
      <c r="R278" s="27">
        <f t="shared" si="155"/>
        <v>0</v>
      </c>
      <c r="S278" s="27">
        <f t="shared" si="156"/>
        <v>0</v>
      </c>
      <c r="T278" s="27">
        <f t="shared" si="157"/>
        <v>0</v>
      </c>
      <c r="U278" s="27">
        <f t="shared" si="158"/>
        <v>0</v>
      </c>
      <c r="V278" s="27">
        <f t="shared" si="159"/>
        <v>0</v>
      </c>
      <c r="W278" s="27">
        <f t="shared" si="160"/>
        <v>0</v>
      </c>
      <c r="X278" s="125" t="str">
        <f t="shared" si="161"/>
        <v>ok</v>
      </c>
    </row>
    <row r="279" spans="1:24">
      <c r="A279" s="28">
        <v>924</v>
      </c>
      <c r="B279" s="25" t="s">
        <v>161</v>
      </c>
      <c r="C279" s="117" t="s">
        <v>553</v>
      </c>
      <c r="D279" s="117" t="s">
        <v>73</v>
      </c>
      <c r="F279" s="132">
        <v>0</v>
      </c>
      <c r="G279" s="27">
        <f t="shared" si="144"/>
        <v>0</v>
      </c>
      <c r="H279" s="27">
        <f t="shared" si="145"/>
        <v>0</v>
      </c>
      <c r="I279" s="27">
        <f t="shared" si="146"/>
        <v>0</v>
      </c>
      <c r="J279" s="27">
        <f t="shared" si="147"/>
        <v>0</v>
      </c>
      <c r="K279" s="27">
        <f t="shared" si="148"/>
        <v>0</v>
      </c>
      <c r="L279" s="27">
        <f t="shared" si="149"/>
        <v>0</v>
      </c>
      <c r="M279" s="27">
        <f t="shared" si="150"/>
        <v>0</v>
      </c>
      <c r="N279" s="27">
        <f t="shared" si="151"/>
        <v>0</v>
      </c>
      <c r="O279" s="27">
        <f t="shared" si="152"/>
        <v>0</v>
      </c>
      <c r="P279" s="27">
        <f t="shared" si="153"/>
        <v>0</v>
      </c>
      <c r="Q279" s="27">
        <f t="shared" si="154"/>
        <v>0</v>
      </c>
      <c r="R279" s="27">
        <f t="shared" si="155"/>
        <v>0</v>
      </c>
      <c r="S279" s="27">
        <f t="shared" si="156"/>
        <v>0</v>
      </c>
      <c r="T279" s="27">
        <f t="shared" si="157"/>
        <v>0</v>
      </c>
      <c r="U279" s="27">
        <f t="shared" si="158"/>
        <v>0</v>
      </c>
      <c r="V279" s="27">
        <f t="shared" si="159"/>
        <v>0</v>
      </c>
      <c r="W279" s="27">
        <f t="shared" si="160"/>
        <v>0</v>
      </c>
      <c r="X279" s="125" t="str">
        <f t="shared" si="161"/>
        <v>ok</v>
      </c>
    </row>
    <row r="280" spans="1:24">
      <c r="A280" s="28">
        <v>925</v>
      </c>
      <c r="B280" s="25" t="s">
        <v>163</v>
      </c>
      <c r="C280" s="117" t="s">
        <v>554</v>
      </c>
      <c r="D280" s="117" t="s">
        <v>155</v>
      </c>
      <c r="F280" s="132">
        <v>0</v>
      </c>
      <c r="G280" s="27">
        <f t="shared" si="144"/>
        <v>0</v>
      </c>
      <c r="H280" s="27">
        <f t="shared" si="145"/>
        <v>0</v>
      </c>
      <c r="I280" s="27">
        <f t="shared" si="146"/>
        <v>0</v>
      </c>
      <c r="J280" s="27">
        <f t="shared" si="147"/>
        <v>0</v>
      </c>
      <c r="K280" s="27">
        <f t="shared" si="148"/>
        <v>0</v>
      </c>
      <c r="L280" s="27">
        <f t="shared" si="149"/>
        <v>0</v>
      </c>
      <c r="M280" s="27">
        <f t="shared" si="150"/>
        <v>0</v>
      </c>
      <c r="N280" s="27">
        <f t="shared" si="151"/>
        <v>0</v>
      </c>
      <c r="O280" s="27">
        <f t="shared" si="152"/>
        <v>0</v>
      </c>
      <c r="P280" s="27">
        <f t="shared" si="153"/>
        <v>0</v>
      </c>
      <c r="Q280" s="27">
        <f t="shared" si="154"/>
        <v>0</v>
      </c>
      <c r="R280" s="27">
        <f t="shared" si="155"/>
        <v>0</v>
      </c>
      <c r="S280" s="27">
        <f t="shared" si="156"/>
        <v>0</v>
      </c>
      <c r="T280" s="27">
        <f t="shared" si="157"/>
        <v>0</v>
      </c>
      <c r="U280" s="27">
        <f t="shared" si="158"/>
        <v>0</v>
      </c>
      <c r="V280" s="27">
        <f t="shared" si="159"/>
        <v>0</v>
      </c>
      <c r="W280" s="27">
        <f t="shared" si="160"/>
        <v>0</v>
      </c>
      <c r="X280" s="125" t="str">
        <f t="shared" si="161"/>
        <v>ok</v>
      </c>
    </row>
    <row r="281" spans="1:24">
      <c r="A281" s="28">
        <v>926</v>
      </c>
      <c r="B281" s="25" t="s">
        <v>445</v>
      </c>
      <c r="C281" s="117" t="s">
        <v>555</v>
      </c>
      <c r="D281" s="117" t="s">
        <v>155</v>
      </c>
      <c r="F281" s="132">
        <v>0</v>
      </c>
      <c r="G281" s="27">
        <f t="shared" si="144"/>
        <v>0</v>
      </c>
      <c r="H281" s="27">
        <f t="shared" si="145"/>
        <v>0</v>
      </c>
      <c r="I281" s="27">
        <f t="shared" si="146"/>
        <v>0</v>
      </c>
      <c r="J281" s="27">
        <f t="shared" si="147"/>
        <v>0</v>
      </c>
      <c r="K281" s="27">
        <f t="shared" si="148"/>
        <v>0</v>
      </c>
      <c r="L281" s="27">
        <f t="shared" si="149"/>
        <v>0</v>
      </c>
      <c r="M281" s="27">
        <f t="shared" si="150"/>
        <v>0</v>
      </c>
      <c r="N281" s="27">
        <f t="shared" si="151"/>
        <v>0</v>
      </c>
      <c r="O281" s="27">
        <f t="shared" si="152"/>
        <v>0</v>
      </c>
      <c r="P281" s="27">
        <f t="shared" si="153"/>
        <v>0</v>
      </c>
      <c r="Q281" s="27">
        <f t="shared" si="154"/>
        <v>0</v>
      </c>
      <c r="R281" s="27">
        <f t="shared" si="155"/>
        <v>0</v>
      </c>
      <c r="S281" s="27">
        <f t="shared" si="156"/>
        <v>0</v>
      </c>
      <c r="T281" s="27">
        <f t="shared" si="157"/>
        <v>0</v>
      </c>
      <c r="U281" s="27">
        <f t="shared" si="158"/>
        <v>0</v>
      </c>
      <c r="V281" s="27">
        <f t="shared" si="159"/>
        <v>0</v>
      </c>
      <c r="W281" s="27">
        <f t="shared" si="160"/>
        <v>0</v>
      </c>
      <c r="X281" s="125" t="str">
        <f t="shared" si="161"/>
        <v>ok</v>
      </c>
    </row>
    <row r="282" spans="1:24">
      <c r="A282" s="28">
        <v>927</v>
      </c>
      <c r="B282" s="25" t="s">
        <v>699</v>
      </c>
      <c r="C282" s="117" t="s">
        <v>556</v>
      </c>
      <c r="D282" s="117" t="s">
        <v>73</v>
      </c>
      <c r="F282" s="132">
        <v>0</v>
      </c>
      <c r="G282" s="27">
        <f t="shared" si="144"/>
        <v>0</v>
      </c>
      <c r="H282" s="27">
        <f t="shared" si="145"/>
        <v>0</v>
      </c>
      <c r="I282" s="27">
        <f t="shared" si="146"/>
        <v>0</v>
      </c>
      <c r="J282" s="27">
        <f t="shared" si="147"/>
        <v>0</v>
      </c>
      <c r="K282" s="27">
        <f t="shared" si="148"/>
        <v>0</v>
      </c>
      <c r="L282" s="27">
        <f t="shared" si="149"/>
        <v>0</v>
      </c>
      <c r="M282" s="27">
        <f t="shared" si="150"/>
        <v>0</v>
      </c>
      <c r="N282" s="27">
        <f t="shared" si="151"/>
        <v>0</v>
      </c>
      <c r="O282" s="27">
        <f t="shared" si="152"/>
        <v>0</v>
      </c>
      <c r="P282" s="27">
        <f t="shared" si="153"/>
        <v>0</v>
      </c>
      <c r="Q282" s="27">
        <f t="shared" si="154"/>
        <v>0</v>
      </c>
      <c r="R282" s="27">
        <f t="shared" si="155"/>
        <v>0</v>
      </c>
      <c r="S282" s="27">
        <f t="shared" si="156"/>
        <v>0</v>
      </c>
      <c r="T282" s="27">
        <f t="shared" si="157"/>
        <v>0</v>
      </c>
      <c r="U282" s="27">
        <f t="shared" si="158"/>
        <v>0</v>
      </c>
      <c r="V282" s="27">
        <f t="shared" si="159"/>
        <v>0</v>
      </c>
      <c r="W282" s="27">
        <f t="shared" si="160"/>
        <v>0</v>
      </c>
      <c r="X282" s="125" t="str">
        <f t="shared" si="161"/>
        <v>ok</v>
      </c>
    </row>
    <row r="283" spans="1:24">
      <c r="A283" s="28">
        <v>928</v>
      </c>
      <c r="B283" s="25" t="s">
        <v>167</v>
      </c>
      <c r="C283" s="117" t="s">
        <v>557</v>
      </c>
      <c r="D283" s="117" t="s">
        <v>73</v>
      </c>
      <c r="F283" s="132">
        <v>0</v>
      </c>
      <c r="G283" s="27">
        <f t="shared" si="144"/>
        <v>0</v>
      </c>
      <c r="H283" s="27">
        <f t="shared" si="145"/>
        <v>0</v>
      </c>
      <c r="I283" s="27">
        <f t="shared" si="146"/>
        <v>0</v>
      </c>
      <c r="J283" s="27">
        <f t="shared" si="147"/>
        <v>0</v>
      </c>
      <c r="K283" s="27">
        <f t="shared" si="148"/>
        <v>0</v>
      </c>
      <c r="L283" s="27">
        <f t="shared" si="149"/>
        <v>0</v>
      </c>
      <c r="M283" s="27">
        <f t="shared" si="150"/>
        <v>0</v>
      </c>
      <c r="N283" s="27">
        <f t="shared" si="151"/>
        <v>0</v>
      </c>
      <c r="O283" s="27">
        <f t="shared" si="152"/>
        <v>0</v>
      </c>
      <c r="P283" s="27">
        <f t="shared" si="153"/>
        <v>0</v>
      </c>
      <c r="Q283" s="27">
        <f t="shared" si="154"/>
        <v>0</v>
      </c>
      <c r="R283" s="27">
        <f t="shared" si="155"/>
        <v>0</v>
      </c>
      <c r="S283" s="27">
        <f t="shared" si="156"/>
        <v>0</v>
      </c>
      <c r="T283" s="27">
        <f t="shared" si="157"/>
        <v>0</v>
      </c>
      <c r="U283" s="27">
        <f t="shared" si="158"/>
        <v>0</v>
      </c>
      <c r="V283" s="27">
        <f t="shared" si="159"/>
        <v>0</v>
      </c>
      <c r="W283" s="27">
        <f t="shared" si="160"/>
        <v>0</v>
      </c>
      <c r="X283" s="125" t="str">
        <f t="shared" si="161"/>
        <v>ok</v>
      </c>
    </row>
    <row r="284" spans="1:24">
      <c r="A284" s="28">
        <v>929</v>
      </c>
      <c r="B284" s="25" t="s">
        <v>698</v>
      </c>
      <c r="C284" s="117" t="s">
        <v>558</v>
      </c>
      <c r="D284" s="117" t="s">
        <v>155</v>
      </c>
      <c r="F284" s="132">
        <v>0</v>
      </c>
      <c r="G284" s="27">
        <f t="shared" si="144"/>
        <v>0</v>
      </c>
      <c r="H284" s="27">
        <f t="shared" si="145"/>
        <v>0</v>
      </c>
      <c r="I284" s="27">
        <f t="shared" si="146"/>
        <v>0</v>
      </c>
      <c r="J284" s="27">
        <f t="shared" si="147"/>
        <v>0</v>
      </c>
      <c r="K284" s="27">
        <f t="shared" si="148"/>
        <v>0</v>
      </c>
      <c r="L284" s="27">
        <f t="shared" si="149"/>
        <v>0</v>
      </c>
      <c r="M284" s="27">
        <f t="shared" si="150"/>
        <v>0</v>
      </c>
      <c r="N284" s="27">
        <f t="shared" si="151"/>
        <v>0</v>
      </c>
      <c r="O284" s="27">
        <f t="shared" si="152"/>
        <v>0</v>
      </c>
      <c r="P284" s="27">
        <f t="shared" si="153"/>
        <v>0</v>
      </c>
      <c r="Q284" s="27">
        <f t="shared" si="154"/>
        <v>0</v>
      </c>
      <c r="R284" s="27">
        <f t="shared" si="155"/>
        <v>0</v>
      </c>
      <c r="S284" s="27">
        <f t="shared" si="156"/>
        <v>0</v>
      </c>
      <c r="T284" s="27">
        <f t="shared" si="157"/>
        <v>0</v>
      </c>
      <c r="U284" s="27">
        <f t="shared" si="158"/>
        <v>0</v>
      </c>
      <c r="V284" s="27">
        <f t="shared" si="159"/>
        <v>0</v>
      </c>
      <c r="W284" s="27">
        <f t="shared" si="160"/>
        <v>0</v>
      </c>
      <c r="X284" s="125" t="str">
        <f t="shared" si="161"/>
        <v>ok</v>
      </c>
    </row>
    <row r="285" spans="1:24">
      <c r="A285" s="28">
        <v>930.1</v>
      </c>
      <c r="B285" s="25" t="s">
        <v>446</v>
      </c>
      <c r="C285" s="117" t="s">
        <v>559</v>
      </c>
      <c r="D285" s="117" t="s">
        <v>73</v>
      </c>
      <c r="F285" s="132">
        <v>0</v>
      </c>
      <c r="G285" s="27">
        <f t="shared" si="144"/>
        <v>0</v>
      </c>
      <c r="H285" s="27">
        <f t="shared" si="145"/>
        <v>0</v>
      </c>
      <c r="I285" s="27">
        <f t="shared" si="146"/>
        <v>0</v>
      </c>
      <c r="J285" s="27">
        <f t="shared" si="147"/>
        <v>0</v>
      </c>
      <c r="K285" s="27">
        <f t="shared" si="148"/>
        <v>0</v>
      </c>
      <c r="L285" s="27">
        <f t="shared" si="149"/>
        <v>0</v>
      </c>
      <c r="M285" s="27">
        <f t="shared" si="150"/>
        <v>0</v>
      </c>
      <c r="N285" s="27">
        <f t="shared" si="151"/>
        <v>0</v>
      </c>
      <c r="O285" s="27">
        <f t="shared" si="152"/>
        <v>0</v>
      </c>
      <c r="P285" s="27">
        <f t="shared" si="153"/>
        <v>0</v>
      </c>
      <c r="Q285" s="27">
        <f t="shared" si="154"/>
        <v>0</v>
      </c>
      <c r="R285" s="27">
        <f t="shared" si="155"/>
        <v>0</v>
      </c>
      <c r="S285" s="27">
        <f t="shared" si="156"/>
        <v>0</v>
      </c>
      <c r="T285" s="27">
        <f t="shared" si="157"/>
        <v>0</v>
      </c>
      <c r="U285" s="27">
        <f t="shared" si="158"/>
        <v>0</v>
      </c>
      <c r="V285" s="27">
        <f t="shared" si="159"/>
        <v>0</v>
      </c>
      <c r="W285" s="27">
        <f t="shared" si="160"/>
        <v>0</v>
      </c>
      <c r="X285" s="125" t="str">
        <f t="shared" si="161"/>
        <v>ok</v>
      </c>
    </row>
    <row r="286" spans="1:24">
      <c r="A286" s="28">
        <v>930.2</v>
      </c>
      <c r="B286" s="25" t="s">
        <v>447</v>
      </c>
      <c r="C286" s="117" t="s">
        <v>560</v>
      </c>
      <c r="D286" s="117" t="s">
        <v>155</v>
      </c>
      <c r="F286" s="132">
        <v>0</v>
      </c>
      <c r="G286" s="27">
        <f t="shared" si="144"/>
        <v>0</v>
      </c>
      <c r="H286" s="27">
        <f t="shared" si="145"/>
        <v>0</v>
      </c>
      <c r="I286" s="27">
        <f t="shared" si="146"/>
        <v>0</v>
      </c>
      <c r="J286" s="27">
        <f t="shared" si="147"/>
        <v>0</v>
      </c>
      <c r="K286" s="27">
        <f t="shared" si="148"/>
        <v>0</v>
      </c>
      <c r="L286" s="27">
        <f t="shared" si="149"/>
        <v>0</v>
      </c>
      <c r="M286" s="27">
        <f t="shared" si="150"/>
        <v>0</v>
      </c>
      <c r="N286" s="27">
        <f t="shared" si="151"/>
        <v>0</v>
      </c>
      <c r="O286" s="27">
        <f t="shared" si="152"/>
        <v>0</v>
      </c>
      <c r="P286" s="27">
        <f t="shared" si="153"/>
        <v>0</v>
      </c>
      <c r="Q286" s="27">
        <f t="shared" si="154"/>
        <v>0</v>
      </c>
      <c r="R286" s="27">
        <f t="shared" si="155"/>
        <v>0</v>
      </c>
      <c r="S286" s="27">
        <f t="shared" si="156"/>
        <v>0</v>
      </c>
      <c r="T286" s="27">
        <f t="shared" si="157"/>
        <v>0</v>
      </c>
      <c r="U286" s="27">
        <f t="shared" si="158"/>
        <v>0</v>
      </c>
      <c r="V286" s="27">
        <f t="shared" si="159"/>
        <v>0</v>
      </c>
      <c r="W286" s="27">
        <f t="shared" si="160"/>
        <v>0</v>
      </c>
      <c r="X286" s="125" t="str">
        <f t="shared" si="161"/>
        <v>ok</v>
      </c>
    </row>
    <row r="287" spans="1:24">
      <c r="A287" s="28">
        <v>931</v>
      </c>
      <c r="B287" s="25" t="s">
        <v>109</v>
      </c>
      <c r="C287" s="117" t="s">
        <v>561</v>
      </c>
      <c r="D287" s="117" t="s">
        <v>73</v>
      </c>
      <c r="F287" s="132">
        <v>0</v>
      </c>
      <c r="G287" s="27">
        <f t="shared" si="144"/>
        <v>0</v>
      </c>
      <c r="H287" s="27">
        <f t="shared" si="145"/>
        <v>0</v>
      </c>
      <c r="I287" s="27">
        <f t="shared" si="146"/>
        <v>0</v>
      </c>
      <c r="J287" s="27">
        <f t="shared" si="147"/>
        <v>0</v>
      </c>
      <c r="K287" s="27">
        <f t="shared" si="148"/>
        <v>0</v>
      </c>
      <c r="L287" s="27">
        <f t="shared" si="149"/>
        <v>0</v>
      </c>
      <c r="M287" s="27">
        <f t="shared" si="150"/>
        <v>0</v>
      </c>
      <c r="N287" s="27">
        <f t="shared" si="151"/>
        <v>0</v>
      </c>
      <c r="O287" s="27">
        <f t="shared" si="152"/>
        <v>0</v>
      </c>
      <c r="P287" s="27">
        <f t="shared" si="153"/>
        <v>0</v>
      </c>
      <c r="Q287" s="27">
        <f t="shared" si="154"/>
        <v>0</v>
      </c>
      <c r="R287" s="27">
        <f t="shared" si="155"/>
        <v>0</v>
      </c>
      <c r="S287" s="27">
        <f t="shared" si="156"/>
        <v>0</v>
      </c>
      <c r="T287" s="27">
        <f t="shared" si="157"/>
        <v>0</v>
      </c>
      <c r="U287" s="27">
        <f t="shared" si="158"/>
        <v>0</v>
      </c>
      <c r="V287" s="27">
        <f t="shared" si="159"/>
        <v>0</v>
      </c>
      <c r="W287" s="27">
        <f t="shared" si="160"/>
        <v>0</v>
      </c>
      <c r="X287" s="125" t="str">
        <f t="shared" si="161"/>
        <v>ok</v>
      </c>
    </row>
    <row r="288" spans="1:24">
      <c r="A288" s="28">
        <v>935</v>
      </c>
      <c r="B288" s="25" t="s">
        <v>189</v>
      </c>
      <c r="C288" s="117" t="s">
        <v>562</v>
      </c>
      <c r="D288" s="117" t="s">
        <v>63</v>
      </c>
      <c r="F288" s="132">
        <v>271557.3</v>
      </c>
      <c r="G288" s="27">
        <f t="shared" si="144"/>
        <v>0</v>
      </c>
      <c r="H288" s="27">
        <f t="shared" si="145"/>
        <v>0</v>
      </c>
      <c r="I288" s="27">
        <f t="shared" si="146"/>
        <v>45383.445766053956</v>
      </c>
      <c r="J288" s="27">
        <f t="shared" si="147"/>
        <v>0</v>
      </c>
      <c r="K288" s="27">
        <f t="shared" si="148"/>
        <v>16010.177469337188</v>
      </c>
      <c r="L288" s="27">
        <f t="shared" si="149"/>
        <v>0</v>
      </c>
      <c r="M288" s="27">
        <f t="shared" si="150"/>
        <v>0</v>
      </c>
      <c r="N288" s="27">
        <f t="shared" si="151"/>
        <v>8305.6932486594269</v>
      </c>
      <c r="O288" s="27">
        <f t="shared" si="152"/>
        <v>37727.222118166836</v>
      </c>
      <c r="P288" s="27">
        <f t="shared" si="153"/>
        <v>63152.469291227157</v>
      </c>
      <c r="Q288" s="27">
        <f t="shared" si="154"/>
        <v>5490.0007289063369</v>
      </c>
      <c r="R288" s="27">
        <f t="shared" si="155"/>
        <v>3956.5146375122422</v>
      </c>
      <c r="S288" s="27">
        <f t="shared" si="156"/>
        <v>66531.910962563401</v>
      </c>
      <c r="T288" s="27">
        <f t="shared" si="157"/>
        <v>24999.86577757341</v>
      </c>
      <c r="U288" s="27">
        <f t="shared" si="158"/>
        <v>0</v>
      </c>
      <c r="V288" s="27">
        <f t="shared" si="159"/>
        <v>0</v>
      </c>
      <c r="W288" s="27">
        <f t="shared" si="160"/>
        <v>271557.3</v>
      </c>
      <c r="X288" s="125" t="str">
        <f t="shared" si="161"/>
        <v>ok</v>
      </c>
    </row>
    <row r="289" spans="1:24">
      <c r="A289" s="28"/>
      <c r="F289" s="27"/>
      <c r="G289" s="131"/>
    </row>
    <row r="290" spans="1:24">
      <c r="A290" s="28" t="s">
        <v>477</v>
      </c>
      <c r="C290" s="117" t="s">
        <v>563</v>
      </c>
      <c r="F290" s="32">
        <f>SUM(F275:F288)</f>
        <v>5230971.0599999996</v>
      </c>
      <c r="G290" s="32">
        <f t="shared" ref="G290:V290" si="162">SUM(G275:G288)</f>
        <v>18045.462087113923</v>
      </c>
      <c r="H290" s="32">
        <f t="shared" si="162"/>
        <v>135663.7550092568</v>
      </c>
      <c r="I290" s="32">
        <f t="shared" si="162"/>
        <v>515094.72591903608</v>
      </c>
      <c r="J290" s="32">
        <f t="shared" si="162"/>
        <v>482363.31079481001</v>
      </c>
      <c r="K290" s="32">
        <f t="shared" si="162"/>
        <v>230915.65192713437</v>
      </c>
      <c r="L290" s="32">
        <f t="shared" si="162"/>
        <v>0</v>
      </c>
      <c r="M290" s="32">
        <f t="shared" si="162"/>
        <v>80884.145667905585</v>
      </c>
      <c r="N290" s="32">
        <f t="shared" si="162"/>
        <v>294875.10847008246</v>
      </c>
      <c r="O290" s="32">
        <f t="shared" si="162"/>
        <v>626673.52945855353</v>
      </c>
      <c r="P290" s="32">
        <f t="shared" si="162"/>
        <v>1049003.3085605623</v>
      </c>
      <c r="Q290" s="32">
        <f>SUM(Q275:Q288)</f>
        <v>91192.458398814575</v>
      </c>
      <c r="R290" s="32">
        <f>SUM(R275:R288)</f>
        <v>65720.263858236664</v>
      </c>
      <c r="S290" s="32">
        <f t="shared" si="162"/>
        <v>338991.44099153194</v>
      </c>
      <c r="T290" s="32">
        <f t="shared" si="162"/>
        <v>312647.7714033025</v>
      </c>
      <c r="U290" s="32">
        <f t="shared" si="162"/>
        <v>910721.22340598109</v>
      </c>
      <c r="V290" s="32">
        <f t="shared" si="162"/>
        <v>78178.904047678661</v>
      </c>
      <c r="W290" s="27">
        <f>SUM(G290:V290)</f>
        <v>5230971.0600000015</v>
      </c>
      <c r="X290" s="125" t="str">
        <f>IF(ABS(W290-F290)&lt;1,"ok","err")</f>
        <v>ok</v>
      </c>
    </row>
    <row r="291" spans="1:24">
      <c r="A291" s="28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</row>
    <row r="292" spans="1:24">
      <c r="A292" s="28" t="s">
        <v>469</v>
      </c>
      <c r="C292" s="117" t="s">
        <v>347</v>
      </c>
      <c r="F292" s="32">
        <f t="shared" ref="F292:V292" si="163">F144+F179+F246+F256+F259+F262+F290</f>
        <v>23993370.019999996</v>
      </c>
      <c r="G292" s="32">
        <f t="shared" si="163"/>
        <v>86314.853487113927</v>
      </c>
      <c r="H292" s="32">
        <f t="shared" si="163"/>
        <v>648905.3636092568</v>
      </c>
      <c r="I292" s="32">
        <f t="shared" si="163"/>
        <v>2292101.2151381527</v>
      </c>
      <c r="J292" s="32">
        <f t="shared" si="163"/>
        <v>2307234.8215756929</v>
      </c>
      <c r="K292" s="32">
        <f t="shared" si="163"/>
        <v>1043943.6519271344</v>
      </c>
      <c r="L292" s="32">
        <f t="shared" si="163"/>
        <v>0</v>
      </c>
      <c r="M292" s="32">
        <f t="shared" si="163"/>
        <v>386884.14566790557</v>
      </c>
      <c r="N292" s="32">
        <f t="shared" si="163"/>
        <v>1379021.3318572263</v>
      </c>
      <c r="O292" s="32">
        <f t="shared" si="163"/>
        <v>2854768.646962746</v>
      </c>
      <c r="P292" s="32">
        <f t="shared" si="163"/>
        <v>4778663.2354270192</v>
      </c>
      <c r="Q292" s="32">
        <f>Q144+Q179+Q246+Q256+Q259+Q262+Q290</f>
        <v>415421.04275781149</v>
      </c>
      <c r="R292" s="32">
        <f>R144+R179+R246+R256+R259+R262+R290</f>
        <v>299384.192746602</v>
      </c>
      <c r="S292" s="32">
        <f t="shared" si="163"/>
        <v>1369757.303700597</v>
      </c>
      <c r="T292" s="32">
        <f t="shared" si="163"/>
        <v>1400874.1276890817</v>
      </c>
      <c r="U292" s="32">
        <f t="shared" si="163"/>
        <v>4356151.6234059818</v>
      </c>
      <c r="V292" s="32">
        <f t="shared" si="163"/>
        <v>373944.46404767863</v>
      </c>
      <c r="W292" s="27">
        <f>SUM(G292:V292)</f>
        <v>23993370.02</v>
      </c>
      <c r="X292" s="125" t="str">
        <f>IF(ABS(W292-F292)&lt;1,"ok","err")</f>
        <v>ok</v>
      </c>
    </row>
    <row r="293" spans="1:24">
      <c r="A293" s="28"/>
      <c r="F293" s="33"/>
      <c r="G293" s="131"/>
    </row>
    <row r="294" spans="1:24">
      <c r="A294" s="28"/>
      <c r="F294" s="33"/>
      <c r="G294" s="131"/>
    </row>
    <row r="295" spans="1:24">
      <c r="A295" s="28"/>
      <c r="F295" s="33"/>
      <c r="G295" s="131"/>
    </row>
    <row r="296" spans="1:24">
      <c r="A296" s="28"/>
      <c r="F296" s="33"/>
      <c r="G296" s="131"/>
    </row>
    <row r="297" spans="1:24">
      <c r="A297" s="28"/>
      <c r="F297" s="33"/>
      <c r="G297" s="131"/>
    </row>
    <row r="298" spans="1:24">
      <c r="A298" s="28"/>
      <c r="F298" s="33"/>
      <c r="G298" s="131"/>
    </row>
    <row r="299" spans="1:24">
      <c r="A299" s="28"/>
      <c r="F299" s="33"/>
      <c r="G299" s="131"/>
    </row>
    <row r="300" spans="1:24">
      <c r="A300" s="28"/>
      <c r="F300" s="33"/>
      <c r="G300" s="131"/>
    </row>
    <row r="301" spans="1:24">
      <c r="A301" s="28"/>
      <c r="F301" s="33"/>
      <c r="G301" s="131"/>
    </row>
    <row r="302" spans="1:24">
      <c r="A302" s="28"/>
      <c r="F302" s="33"/>
      <c r="G302" s="131"/>
    </row>
    <row r="303" spans="1:24">
      <c r="A303" s="28"/>
      <c r="F303" s="33"/>
      <c r="G303" s="131"/>
    </row>
    <row r="304" spans="1:24">
      <c r="A304" s="28"/>
      <c r="F304" s="33"/>
      <c r="G304" s="131"/>
    </row>
    <row r="305" spans="1:24">
      <c r="A305" s="28"/>
      <c r="F305" s="33"/>
      <c r="G305" s="131"/>
    </row>
    <row r="306" spans="1:24">
      <c r="A306" s="28"/>
      <c r="F306" s="33"/>
      <c r="G306" s="131"/>
    </row>
    <row r="307" spans="1:24">
      <c r="A307" s="28"/>
      <c r="F307" s="33"/>
      <c r="G307" s="131"/>
    </row>
    <row r="308" spans="1:24">
      <c r="A308" s="28"/>
      <c r="F308" s="33"/>
      <c r="G308" s="131"/>
    </row>
    <row r="309" spans="1:24">
      <c r="A309" s="28"/>
      <c r="F309" s="33"/>
      <c r="G309" s="131"/>
    </row>
    <row r="310" spans="1:24">
      <c r="A310" s="28"/>
      <c r="F310" s="33"/>
      <c r="G310" s="131"/>
    </row>
    <row r="311" spans="1:24">
      <c r="A311" s="28"/>
      <c r="F311" s="33"/>
      <c r="G311" s="131"/>
    </row>
    <row r="312" spans="1:24">
      <c r="A312" s="128"/>
      <c r="F312" s="32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125"/>
    </row>
    <row r="313" spans="1:24">
      <c r="A313" s="28"/>
      <c r="F313" s="33"/>
      <c r="G313" s="131"/>
    </row>
    <row r="314" spans="1:24">
      <c r="A314" s="30" t="s">
        <v>470</v>
      </c>
      <c r="F314" s="33"/>
    </row>
    <row r="315" spans="1:24">
      <c r="C315" s="25"/>
      <c r="D315" s="25"/>
      <c r="E315" s="25"/>
    </row>
    <row r="316" spans="1:24">
      <c r="A316" s="28" t="s">
        <v>886</v>
      </c>
      <c r="B316" s="25" t="s">
        <v>461</v>
      </c>
      <c r="C316" s="117" t="s">
        <v>564</v>
      </c>
      <c r="D316" s="117" t="s">
        <v>645</v>
      </c>
      <c r="F316" s="33">
        <v>-29080.000000003725</v>
      </c>
      <c r="G316" s="27">
        <f>(VLOOKUP($D316,$C$6:$AJ$992,5,)/VLOOKUP($D316,$C$6:$AJ$992,4,))*$F316</f>
        <v>-3413.9920000004377</v>
      </c>
      <c r="H316" s="27">
        <f>(VLOOKUP($D316,$C$6:$AJ$992,6,)/VLOOKUP($D316,$C$6:$AJ$992,4,))*$F316</f>
        <v>-25666.00800000329</v>
      </c>
      <c r="I316" s="27">
        <f>(VLOOKUP($D316,$C$6:$AJ$992,7,)/VLOOKUP($D316,$C$6:$AJ$992,4,))*$F316</f>
        <v>0</v>
      </c>
      <c r="J316" s="27">
        <f>(VLOOKUP($D316,$C$6:$AJ$992,8,)/VLOOKUP($D316,$C$6:$AJ$992,4,))*$F316</f>
        <v>0</v>
      </c>
      <c r="K316" s="27">
        <f>(VLOOKUP($D316,$C$6:$AJ$992,9,)/VLOOKUP($D316,$C$6:$AJ$992,4,))*$F316</f>
        <v>0</v>
      </c>
      <c r="L316" s="27">
        <f>(VLOOKUP($D316,$C$6:$AJ$992,10,)/VLOOKUP($D316,$C$6:$AJ$992,4,))*$F316</f>
        <v>0</v>
      </c>
      <c r="M316" s="27">
        <f>(VLOOKUP($D316,$C$6:$AJ$992,11,)/VLOOKUP($D316,$C$6:$AJ$992,4,))*$F316</f>
        <v>0</v>
      </c>
      <c r="N316" s="27">
        <f>(VLOOKUP($D316,$C$6:$AJ$992,12,)/VLOOKUP($D316,$C$6:$AJ$992,4,))*$F316</f>
        <v>0</v>
      </c>
      <c r="O316" s="27">
        <f>(VLOOKUP($D316,$C$6:$AJ$992,13,)/VLOOKUP($D316,$C$6:$AJ$992,4,))*$F316</f>
        <v>0</v>
      </c>
      <c r="P316" s="27">
        <f>(VLOOKUP($D316,$C$6:$AJ$992,14,)/VLOOKUP($D316,$C$6:$AJ$992,4,))*$F316</f>
        <v>0</v>
      </c>
      <c r="Q316" s="27">
        <f>(VLOOKUP($D316,$C$6:$AJ$992,15,)/VLOOKUP($D316,$C$6:$AJ$992,4,))*$F316</f>
        <v>0</v>
      </c>
      <c r="R316" s="27">
        <f>(VLOOKUP($D316,$C$6:$AJ$992,16,)/VLOOKUP($D316,$C$6:$AJ$992,4,))*$F316</f>
        <v>0</v>
      </c>
      <c r="S316" s="27">
        <f>(VLOOKUP($D316,$C$6:$AJ$992,17,)/VLOOKUP($D316,$C$6:$AJ$992,4,))*$F316</f>
        <v>0</v>
      </c>
      <c r="T316" s="27">
        <f>(VLOOKUP($D316,$C$6:$AJ$992,18,)/VLOOKUP($D316,$C$6:$AJ$992,4,))*$F316</f>
        <v>0</v>
      </c>
      <c r="U316" s="27">
        <f>(VLOOKUP($D316,$C$6:$AJ$992,19,)/VLOOKUP($D316,$C$6:$AJ$992,4,))*$F316</f>
        <v>0</v>
      </c>
      <c r="V316" s="27">
        <f>(VLOOKUP($D316,$C$6:$AJ$992,20,)/VLOOKUP($D316,$C$6:$AJ$992,4,))*$F316</f>
        <v>0</v>
      </c>
      <c r="W316" s="27">
        <f>SUM(G316:V316)</f>
        <v>-29080.000000003729</v>
      </c>
      <c r="X316" s="125" t="str">
        <f>IF(ABS(W316-F316)&lt;1,"ok","err")</f>
        <v>ok</v>
      </c>
    </row>
    <row r="317" spans="1:24">
      <c r="F317" s="33"/>
    </row>
    <row r="318" spans="1:24">
      <c r="A318" s="120" t="s">
        <v>463</v>
      </c>
      <c r="F318" s="33"/>
    </row>
    <row r="319" spans="1:24">
      <c r="A319" s="120" t="s">
        <v>439</v>
      </c>
      <c r="C319" s="25"/>
      <c r="D319" s="25"/>
      <c r="E319" s="25"/>
      <c r="G319" s="25"/>
      <c r="H319" s="25"/>
      <c r="I319" s="25"/>
      <c r="J319" s="25"/>
      <c r="K319" s="25"/>
      <c r="L319" s="25"/>
      <c r="M319" s="25"/>
      <c r="N319" s="25"/>
    </row>
    <row r="320" spans="1:24">
      <c r="A320" s="28">
        <v>814</v>
      </c>
      <c r="B320" s="25" t="s">
        <v>406</v>
      </c>
      <c r="C320" s="117" t="s">
        <v>95</v>
      </c>
      <c r="D320" s="117" t="s">
        <v>640</v>
      </c>
      <c r="F320" s="132">
        <v>532266</v>
      </c>
      <c r="G320" s="27">
        <f t="shared" ref="G320:G331" si="164">(VLOOKUP($D320,$C$6:$AJ$992,5,)/VLOOKUP($D320,$C$6:$AJ$992,4,))*$F320</f>
        <v>0</v>
      </c>
      <c r="H320" s="27">
        <f t="shared" ref="H320:H331" si="165">(VLOOKUP($D320,$C$6:$AJ$992,6,)/VLOOKUP($D320,$C$6:$AJ$992,4,))*$F320</f>
        <v>0</v>
      </c>
      <c r="I320" s="27">
        <f t="shared" ref="I320:I331" si="166">(VLOOKUP($D320,$C$6:$AJ$992,7,)/VLOOKUP($D320,$C$6:$AJ$992,4,))*$F320</f>
        <v>385815.22007530311</v>
      </c>
      <c r="J320" s="27">
        <f t="shared" ref="J320:J331" si="167">(VLOOKUP($D320,$C$6:$AJ$992,8,)/VLOOKUP($D320,$C$6:$AJ$992,4,))*$F320</f>
        <v>146450.77992469692</v>
      </c>
      <c r="K320" s="27">
        <f t="shared" ref="K320:K331" si="168">(VLOOKUP($D320,$C$6:$AJ$992,9,)/VLOOKUP($D320,$C$6:$AJ$992,4,))*$F320</f>
        <v>0</v>
      </c>
      <c r="L320" s="27">
        <f t="shared" ref="L320:L331" si="169">(VLOOKUP($D320,$C$6:$AJ$992,10,)/VLOOKUP($D320,$C$6:$AJ$992,4,))*$F320</f>
        <v>0</v>
      </c>
      <c r="M320" s="27">
        <f t="shared" ref="M320:M331" si="170">(VLOOKUP($D320,$C$6:$AJ$992,11,)/VLOOKUP($D320,$C$6:$AJ$992,4,))*$F320</f>
        <v>0</v>
      </c>
      <c r="N320" s="27">
        <f t="shared" ref="N320:N331" si="171">(VLOOKUP($D320,$C$6:$AJ$992,12,)/VLOOKUP($D320,$C$6:$AJ$992,4,))*$F320</f>
        <v>0</v>
      </c>
      <c r="O320" s="27">
        <f t="shared" ref="O320:O331" si="172">(VLOOKUP($D320,$C$6:$AJ$992,13,)/VLOOKUP($D320,$C$6:$AJ$992,4,))*$F320</f>
        <v>0</v>
      </c>
      <c r="P320" s="27">
        <f t="shared" ref="P320:P331" si="173">(VLOOKUP($D320,$C$6:$AJ$992,14,)/VLOOKUP($D320,$C$6:$AJ$992,4,))*$F320</f>
        <v>0</v>
      </c>
      <c r="Q320" s="27">
        <f t="shared" ref="Q320:Q331" si="174">(VLOOKUP($D320,$C$6:$AJ$992,15,)/VLOOKUP($D320,$C$6:$AJ$992,4,))*$F320</f>
        <v>0</v>
      </c>
      <c r="R320" s="27">
        <f t="shared" ref="R320:R331" si="175">(VLOOKUP($D320,$C$6:$AJ$992,16,)/VLOOKUP($D320,$C$6:$AJ$992,4,))*$F320</f>
        <v>0</v>
      </c>
      <c r="S320" s="27">
        <f t="shared" ref="S320:S331" si="176">(VLOOKUP($D320,$C$6:$AJ$992,17,)/VLOOKUP($D320,$C$6:$AJ$992,4,))*$F320</f>
        <v>0</v>
      </c>
      <c r="T320" s="27">
        <f t="shared" ref="T320:T331" si="177">(VLOOKUP($D320,$C$6:$AJ$992,18,)/VLOOKUP($D320,$C$6:$AJ$992,4,))*$F320</f>
        <v>0</v>
      </c>
      <c r="U320" s="27">
        <f t="shared" ref="U320:U331" si="178">(VLOOKUP($D320,$C$6:$AJ$992,19,)/VLOOKUP($D320,$C$6:$AJ$992,4,))*$F320</f>
        <v>0</v>
      </c>
      <c r="V320" s="27">
        <f t="shared" ref="V320:V331" si="179">(VLOOKUP($D320,$C$6:$AJ$992,20,)/VLOOKUP($D320,$C$6:$AJ$992,4,))*$F320</f>
        <v>0</v>
      </c>
      <c r="W320" s="27">
        <f t="shared" ref="W320:W331" si="180">SUM(G320:V320)</f>
        <v>532266</v>
      </c>
      <c r="X320" s="125" t="str">
        <f t="shared" ref="X320:X331" si="181">IF(ABS(W320-F320)&lt;1,"ok","err")</f>
        <v>ok</v>
      </c>
    </row>
    <row r="321" spans="1:24">
      <c r="A321" s="28">
        <v>815</v>
      </c>
      <c r="B321" s="25" t="s">
        <v>407</v>
      </c>
      <c r="C321" s="117" t="s">
        <v>96</v>
      </c>
      <c r="D321" s="117" t="s">
        <v>25</v>
      </c>
      <c r="F321" s="132">
        <v>0</v>
      </c>
      <c r="G321" s="27">
        <f t="shared" si="164"/>
        <v>0</v>
      </c>
      <c r="H321" s="27">
        <f t="shared" si="165"/>
        <v>0</v>
      </c>
      <c r="I321" s="27">
        <f t="shared" si="166"/>
        <v>0</v>
      </c>
      <c r="J321" s="27">
        <f t="shared" si="167"/>
        <v>0</v>
      </c>
      <c r="K321" s="27">
        <f t="shared" si="168"/>
        <v>0</v>
      </c>
      <c r="L321" s="27">
        <f t="shared" si="169"/>
        <v>0</v>
      </c>
      <c r="M321" s="27">
        <f t="shared" si="170"/>
        <v>0</v>
      </c>
      <c r="N321" s="27">
        <f t="shared" si="171"/>
        <v>0</v>
      </c>
      <c r="O321" s="27">
        <f t="shared" si="172"/>
        <v>0</v>
      </c>
      <c r="P321" s="27">
        <f t="shared" si="173"/>
        <v>0</v>
      </c>
      <c r="Q321" s="27">
        <f t="shared" si="174"/>
        <v>0</v>
      </c>
      <c r="R321" s="27">
        <f t="shared" si="175"/>
        <v>0</v>
      </c>
      <c r="S321" s="27">
        <f t="shared" si="176"/>
        <v>0</v>
      </c>
      <c r="T321" s="27">
        <f t="shared" si="177"/>
        <v>0</v>
      </c>
      <c r="U321" s="27">
        <f t="shared" si="178"/>
        <v>0</v>
      </c>
      <c r="V321" s="27">
        <f t="shared" si="179"/>
        <v>0</v>
      </c>
      <c r="W321" s="27">
        <f t="shared" si="180"/>
        <v>0</v>
      </c>
      <c r="X321" s="125" t="str">
        <f t="shared" si="181"/>
        <v>ok</v>
      </c>
    </row>
    <row r="322" spans="1:24">
      <c r="A322" s="28">
        <v>816</v>
      </c>
      <c r="B322" s="25" t="s">
        <v>408</v>
      </c>
      <c r="C322" s="117" t="s">
        <v>97</v>
      </c>
      <c r="D322" s="117" t="s">
        <v>25</v>
      </c>
      <c r="F322" s="132">
        <v>421000</v>
      </c>
      <c r="G322" s="27">
        <f t="shared" si="164"/>
        <v>0</v>
      </c>
      <c r="H322" s="27">
        <f t="shared" si="165"/>
        <v>0</v>
      </c>
      <c r="I322" s="27">
        <f t="shared" si="166"/>
        <v>421000</v>
      </c>
      <c r="J322" s="27">
        <f t="shared" si="167"/>
        <v>0</v>
      </c>
      <c r="K322" s="27">
        <f t="shared" si="168"/>
        <v>0</v>
      </c>
      <c r="L322" s="27">
        <f t="shared" si="169"/>
        <v>0</v>
      </c>
      <c r="M322" s="27">
        <f t="shared" si="170"/>
        <v>0</v>
      </c>
      <c r="N322" s="27">
        <f t="shared" si="171"/>
        <v>0</v>
      </c>
      <c r="O322" s="27">
        <f t="shared" si="172"/>
        <v>0</v>
      </c>
      <c r="P322" s="27">
        <f t="shared" si="173"/>
        <v>0</v>
      </c>
      <c r="Q322" s="27">
        <f t="shared" si="174"/>
        <v>0</v>
      </c>
      <c r="R322" s="27">
        <f t="shared" si="175"/>
        <v>0</v>
      </c>
      <c r="S322" s="27">
        <f t="shared" si="176"/>
        <v>0</v>
      </c>
      <c r="T322" s="27">
        <f t="shared" si="177"/>
        <v>0</v>
      </c>
      <c r="U322" s="27">
        <f t="shared" si="178"/>
        <v>0</v>
      </c>
      <c r="V322" s="27">
        <f t="shared" si="179"/>
        <v>0</v>
      </c>
      <c r="W322" s="27">
        <f t="shared" si="180"/>
        <v>421000</v>
      </c>
      <c r="X322" s="125" t="str">
        <f t="shared" si="181"/>
        <v>ok</v>
      </c>
    </row>
    <row r="323" spans="1:24">
      <c r="A323" s="28">
        <v>817</v>
      </c>
      <c r="B323" s="25" t="s">
        <v>98</v>
      </c>
      <c r="C323" s="117" t="s">
        <v>99</v>
      </c>
      <c r="D323" s="117" t="s">
        <v>25</v>
      </c>
      <c r="F323" s="132">
        <v>685987</v>
      </c>
      <c r="G323" s="27">
        <f t="shared" si="164"/>
        <v>0</v>
      </c>
      <c r="H323" s="27">
        <f t="shared" si="165"/>
        <v>0</v>
      </c>
      <c r="I323" s="27">
        <f t="shared" si="166"/>
        <v>685987</v>
      </c>
      <c r="J323" s="27">
        <f t="shared" si="167"/>
        <v>0</v>
      </c>
      <c r="K323" s="27">
        <f t="shared" si="168"/>
        <v>0</v>
      </c>
      <c r="L323" s="27">
        <f t="shared" si="169"/>
        <v>0</v>
      </c>
      <c r="M323" s="27">
        <f t="shared" si="170"/>
        <v>0</v>
      </c>
      <c r="N323" s="27">
        <f t="shared" si="171"/>
        <v>0</v>
      </c>
      <c r="O323" s="27">
        <f t="shared" si="172"/>
        <v>0</v>
      </c>
      <c r="P323" s="27">
        <f t="shared" si="173"/>
        <v>0</v>
      </c>
      <c r="Q323" s="27">
        <f t="shared" si="174"/>
        <v>0</v>
      </c>
      <c r="R323" s="27">
        <f t="shared" si="175"/>
        <v>0</v>
      </c>
      <c r="S323" s="27">
        <f t="shared" si="176"/>
        <v>0</v>
      </c>
      <c r="T323" s="27">
        <f t="shared" si="177"/>
        <v>0</v>
      </c>
      <c r="U323" s="27">
        <f t="shared" si="178"/>
        <v>0</v>
      </c>
      <c r="V323" s="27">
        <f t="shared" si="179"/>
        <v>0</v>
      </c>
      <c r="W323" s="27">
        <f t="shared" si="180"/>
        <v>685987</v>
      </c>
      <c r="X323" s="125" t="str">
        <f t="shared" si="181"/>
        <v>ok</v>
      </c>
    </row>
    <row r="324" spans="1:24">
      <c r="A324" s="28">
        <v>818</v>
      </c>
      <c r="B324" s="25" t="s">
        <v>670</v>
      </c>
      <c r="C324" s="117" t="s">
        <v>100</v>
      </c>
      <c r="D324" s="117" t="s">
        <v>125</v>
      </c>
      <c r="F324" s="132">
        <v>1871489</v>
      </c>
      <c r="G324" s="27">
        <f t="shared" si="164"/>
        <v>0</v>
      </c>
      <c r="H324" s="27">
        <f t="shared" si="165"/>
        <v>0</v>
      </c>
      <c r="I324" s="27">
        <f t="shared" si="166"/>
        <v>0</v>
      </c>
      <c r="J324" s="27">
        <f t="shared" si="167"/>
        <v>1871489</v>
      </c>
      <c r="K324" s="27">
        <f t="shared" si="168"/>
        <v>0</v>
      </c>
      <c r="L324" s="27">
        <f t="shared" si="169"/>
        <v>0</v>
      </c>
      <c r="M324" s="27">
        <f t="shared" si="170"/>
        <v>0</v>
      </c>
      <c r="N324" s="27">
        <f t="shared" si="171"/>
        <v>0</v>
      </c>
      <c r="O324" s="27">
        <f t="shared" si="172"/>
        <v>0</v>
      </c>
      <c r="P324" s="27">
        <f t="shared" si="173"/>
        <v>0</v>
      </c>
      <c r="Q324" s="27">
        <f t="shared" si="174"/>
        <v>0</v>
      </c>
      <c r="R324" s="27">
        <f t="shared" si="175"/>
        <v>0</v>
      </c>
      <c r="S324" s="27">
        <f t="shared" si="176"/>
        <v>0</v>
      </c>
      <c r="T324" s="27">
        <f t="shared" si="177"/>
        <v>0</v>
      </c>
      <c r="U324" s="27">
        <f t="shared" si="178"/>
        <v>0</v>
      </c>
      <c r="V324" s="27">
        <f t="shared" si="179"/>
        <v>0</v>
      </c>
      <c r="W324" s="27">
        <f t="shared" si="180"/>
        <v>1871489</v>
      </c>
      <c r="X324" s="125" t="str">
        <f t="shared" si="181"/>
        <v>ok</v>
      </c>
    </row>
    <row r="325" spans="1:24">
      <c r="A325" s="28">
        <v>819</v>
      </c>
      <c r="B325" s="25" t="s">
        <v>409</v>
      </c>
      <c r="C325" s="117" t="s">
        <v>102</v>
      </c>
      <c r="D325" s="117" t="s">
        <v>125</v>
      </c>
      <c r="F325" s="132">
        <v>580500</v>
      </c>
      <c r="G325" s="27">
        <f t="shared" si="164"/>
        <v>0</v>
      </c>
      <c r="H325" s="27">
        <f t="shared" si="165"/>
        <v>0</v>
      </c>
      <c r="I325" s="27">
        <f t="shared" si="166"/>
        <v>0</v>
      </c>
      <c r="J325" s="27">
        <f t="shared" si="167"/>
        <v>580500</v>
      </c>
      <c r="K325" s="27">
        <f t="shared" si="168"/>
        <v>0</v>
      </c>
      <c r="L325" s="27">
        <f t="shared" si="169"/>
        <v>0</v>
      </c>
      <c r="M325" s="27">
        <f t="shared" si="170"/>
        <v>0</v>
      </c>
      <c r="N325" s="27">
        <f t="shared" si="171"/>
        <v>0</v>
      </c>
      <c r="O325" s="27">
        <f t="shared" si="172"/>
        <v>0</v>
      </c>
      <c r="P325" s="27">
        <f t="shared" si="173"/>
        <v>0</v>
      </c>
      <c r="Q325" s="27">
        <f t="shared" si="174"/>
        <v>0</v>
      </c>
      <c r="R325" s="27">
        <f t="shared" si="175"/>
        <v>0</v>
      </c>
      <c r="S325" s="27">
        <f t="shared" si="176"/>
        <v>0</v>
      </c>
      <c r="T325" s="27">
        <f t="shared" si="177"/>
        <v>0</v>
      </c>
      <c r="U325" s="27">
        <f t="shared" si="178"/>
        <v>0</v>
      </c>
      <c r="V325" s="27">
        <f t="shared" si="179"/>
        <v>0</v>
      </c>
      <c r="W325" s="27">
        <f t="shared" si="180"/>
        <v>580500</v>
      </c>
      <c r="X325" s="125" t="str">
        <f t="shared" si="181"/>
        <v>ok</v>
      </c>
    </row>
    <row r="326" spans="1:24">
      <c r="A326" s="28">
        <v>820</v>
      </c>
      <c r="B326" s="25" t="s">
        <v>410</v>
      </c>
      <c r="C326" s="117" t="s">
        <v>103</v>
      </c>
      <c r="D326" s="117" t="s">
        <v>25</v>
      </c>
      <c r="F326" s="132">
        <v>0</v>
      </c>
      <c r="G326" s="27">
        <f t="shared" si="164"/>
        <v>0</v>
      </c>
      <c r="H326" s="27">
        <f t="shared" si="165"/>
        <v>0</v>
      </c>
      <c r="I326" s="27">
        <f t="shared" si="166"/>
        <v>0</v>
      </c>
      <c r="J326" s="27">
        <f t="shared" si="167"/>
        <v>0</v>
      </c>
      <c r="K326" s="27">
        <f t="shared" si="168"/>
        <v>0</v>
      </c>
      <c r="L326" s="27">
        <f t="shared" si="169"/>
        <v>0</v>
      </c>
      <c r="M326" s="27">
        <f t="shared" si="170"/>
        <v>0</v>
      </c>
      <c r="N326" s="27">
        <f t="shared" si="171"/>
        <v>0</v>
      </c>
      <c r="O326" s="27">
        <f t="shared" si="172"/>
        <v>0</v>
      </c>
      <c r="P326" s="27">
        <f t="shared" si="173"/>
        <v>0</v>
      </c>
      <c r="Q326" s="27">
        <f t="shared" si="174"/>
        <v>0</v>
      </c>
      <c r="R326" s="27">
        <f t="shared" si="175"/>
        <v>0</v>
      </c>
      <c r="S326" s="27">
        <f t="shared" si="176"/>
        <v>0</v>
      </c>
      <c r="T326" s="27">
        <f t="shared" si="177"/>
        <v>0</v>
      </c>
      <c r="U326" s="27">
        <f t="shared" si="178"/>
        <v>0</v>
      </c>
      <c r="V326" s="27">
        <f t="shared" si="179"/>
        <v>0</v>
      </c>
      <c r="W326" s="27">
        <f t="shared" si="180"/>
        <v>0</v>
      </c>
      <c r="X326" s="125" t="str">
        <f t="shared" si="181"/>
        <v>ok</v>
      </c>
    </row>
    <row r="327" spans="1:24">
      <c r="A327" s="28">
        <v>821</v>
      </c>
      <c r="B327" s="25" t="s">
        <v>731</v>
      </c>
      <c r="C327" s="117" t="s">
        <v>104</v>
      </c>
      <c r="D327" s="117" t="s">
        <v>125</v>
      </c>
      <c r="F327" s="132">
        <v>1394646</v>
      </c>
      <c r="G327" s="27">
        <f t="shared" si="164"/>
        <v>0</v>
      </c>
      <c r="H327" s="27">
        <f t="shared" si="165"/>
        <v>0</v>
      </c>
      <c r="I327" s="27">
        <f t="shared" si="166"/>
        <v>0</v>
      </c>
      <c r="J327" s="27">
        <f t="shared" si="167"/>
        <v>1394646</v>
      </c>
      <c r="K327" s="27">
        <f t="shared" si="168"/>
        <v>0</v>
      </c>
      <c r="L327" s="27">
        <f t="shared" si="169"/>
        <v>0</v>
      </c>
      <c r="M327" s="27">
        <f t="shared" si="170"/>
        <v>0</v>
      </c>
      <c r="N327" s="27">
        <f t="shared" si="171"/>
        <v>0</v>
      </c>
      <c r="O327" s="27">
        <f t="shared" si="172"/>
        <v>0</v>
      </c>
      <c r="P327" s="27">
        <f t="shared" si="173"/>
        <v>0</v>
      </c>
      <c r="Q327" s="27">
        <f t="shared" si="174"/>
        <v>0</v>
      </c>
      <c r="R327" s="27">
        <f t="shared" si="175"/>
        <v>0</v>
      </c>
      <c r="S327" s="27">
        <f t="shared" si="176"/>
        <v>0</v>
      </c>
      <c r="T327" s="27">
        <f t="shared" si="177"/>
        <v>0</v>
      </c>
      <c r="U327" s="27">
        <f t="shared" si="178"/>
        <v>0</v>
      </c>
      <c r="V327" s="27">
        <f t="shared" si="179"/>
        <v>0</v>
      </c>
      <c r="W327" s="27">
        <f t="shared" si="180"/>
        <v>1394646</v>
      </c>
      <c r="X327" s="125" t="str">
        <f t="shared" si="181"/>
        <v>ok</v>
      </c>
    </row>
    <row r="328" spans="1:24">
      <c r="A328" s="28">
        <v>823</v>
      </c>
      <c r="B328" s="25" t="s">
        <v>732</v>
      </c>
      <c r="C328" s="117" t="s">
        <v>105</v>
      </c>
      <c r="D328" s="117" t="s">
        <v>125</v>
      </c>
      <c r="F328" s="132">
        <v>0</v>
      </c>
      <c r="G328" s="27">
        <f t="shared" si="164"/>
        <v>0</v>
      </c>
      <c r="H328" s="27">
        <f t="shared" si="165"/>
        <v>0</v>
      </c>
      <c r="I328" s="27">
        <f t="shared" si="166"/>
        <v>0</v>
      </c>
      <c r="J328" s="27">
        <f t="shared" si="167"/>
        <v>0</v>
      </c>
      <c r="K328" s="27">
        <f t="shared" si="168"/>
        <v>0</v>
      </c>
      <c r="L328" s="27">
        <f t="shared" si="169"/>
        <v>0</v>
      </c>
      <c r="M328" s="27">
        <f t="shared" si="170"/>
        <v>0</v>
      </c>
      <c r="N328" s="27">
        <f t="shared" si="171"/>
        <v>0</v>
      </c>
      <c r="O328" s="27">
        <f t="shared" si="172"/>
        <v>0</v>
      </c>
      <c r="P328" s="27">
        <f t="shared" si="173"/>
        <v>0</v>
      </c>
      <c r="Q328" s="27">
        <f t="shared" si="174"/>
        <v>0</v>
      </c>
      <c r="R328" s="27">
        <f t="shared" si="175"/>
        <v>0</v>
      </c>
      <c r="S328" s="27">
        <f t="shared" si="176"/>
        <v>0</v>
      </c>
      <c r="T328" s="27">
        <f t="shared" si="177"/>
        <v>0</v>
      </c>
      <c r="U328" s="27">
        <f t="shared" si="178"/>
        <v>0</v>
      </c>
      <c r="V328" s="27">
        <f t="shared" si="179"/>
        <v>0</v>
      </c>
      <c r="W328" s="27">
        <f t="shared" si="180"/>
        <v>0</v>
      </c>
      <c r="X328" s="125" t="str">
        <f t="shared" si="181"/>
        <v>ok</v>
      </c>
    </row>
    <row r="329" spans="1:24">
      <c r="A329" s="28">
        <v>824</v>
      </c>
      <c r="B329" s="25" t="s">
        <v>106</v>
      </c>
      <c r="C329" s="117" t="s">
        <v>107</v>
      </c>
      <c r="D329" s="117" t="s">
        <v>125</v>
      </c>
      <c r="F329" s="132">
        <v>0</v>
      </c>
      <c r="G329" s="27">
        <f t="shared" si="164"/>
        <v>0</v>
      </c>
      <c r="H329" s="27">
        <f t="shared" si="165"/>
        <v>0</v>
      </c>
      <c r="I329" s="27">
        <f t="shared" si="166"/>
        <v>0</v>
      </c>
      <c r="J329" s="27">
        <f t="shared" si="167"/>
        <v>0</v>
      </c>
      <c r="K329" s="27">
        <f t="shared" si="168"/>
        <v>0</v>
      </c>
      <c r="L329" s="27">
        <f t="shared" si="169"/>
        <v>0</v>
      </c>
      <c r="M329" s="27">
        <f t="shared" si="170"/>
        <v>0</v>
      </c>
      <c r="N329" s="27">
        <f t="shared" si="171"/>
        <v>0</v>
      </c>
      <c r="O329" s="27">
        <f t="shared" si="172"/>
        <v>0</v>
      </c>
      <c r="P329" s="27">
        <f t="shared" si="173"/>
        <v>0</v>
      </c>
      <c r="Q329" s="27">
        <f t="shared" si="174"/>
        <v>0</v>
      </c>
      <c r="R329" s="27">
        <f t="shared" si="175"/>
        <v>0</v>
      </c>
      <c r="S329" s="27">
        <f t="shared" si="176"/>
        <v>0</v>
      </c>
      <c r="T329" s="27">
        <f t="shared" si="177"/>
        <v>0</v>
      </c>
      <c r="U329" s="27">
        <f t="shared" si="178"/>
        <v>0</v>
      </c>
      <c r="V329" s="27">
        <f t="shared" si="179"/>
        <v>0</v>
      </c>
      <c r="W329" s="27">
        <f t="shared" si="180"/>
        <v>0</v>
      </c>
      <c r="X329" s="125" t="str">
        <f t="shared" si="181"/>
        <v>ok</v>
      </c>
    </row>
    <row r="330" spans="1:24">
      <c r="A330" s="28">
        <v>825</v>
      </c>
      <c r="B330" s="25" t="s">
        <v>412</v>
      </c>
      <c r="C330" s="117" t="s">
        <v>108</v>
      </c>
      <c r="D330" s="117" t="s">
        <v>25</v>
      </c>
      <c r="F330" s="132">
        <v>203000</v>
      </c>
      <c r="G330" s="27">
        <f t="shared" si="164"/>
        <v>0</v>
      </c>
      <c r="H330" s="27">
        <f t="shared" si="165"/>
        <v>0</v>
      </c>
      <c r="I330" s="27">
        <f t="shared" si="166"/>
        <v>203000</v>
      </c>
      <c r="J330" s="27">
        <f t="shared" si="167"/>
        <v>0</v>
      </c>
      <c r="K330" s="27">
        <f t="shared" si="168"/>
        <v>0</v>
      </c>
      <c r="L330" s="27">
        <f t="shared" si="169"/>
        <v>0</v>
      </c>
      <c r="M330" s="27">
        <f t="shared" si="170"/>
        <v>0</v>
      </c>
      <c r="N330" s="27">
        <f t="shared" si="171"/>
        <v>0</v>
      </c>
      <c r="O330" s="27">
        <f t="shared" si="172"/>
        <v>0</v>
      </c>
      <c r="P330" s="27">
        <f t="shared" si="173"/>
        <v>0</v>
      </c>
      <c r="Q330" s="27">
        <f t="shared" si="174"/>
        <v>0</v>
      </c>
      <c r="R330" s="27">
        <f t="shared" si="175"/>
        <v>0</v>
      </c>
      <c r="S330" s="27">
        <f t="shared" si="176"/>
        <v>0</v>
      </c>
      <c r="T330" s="27">
        <f t="shared" si="177"/>
        <v>0</v>
      </c>
      <c r="U330" s="27">
        <f t="shared" si="178"/>
        <v>0</v>
      </c>
      <c r="V330" s="27">
        <f t="shared" si="179"/>
        <v>0</v>
      </c>
      <c r="W330" s="27">
        <f t="shared" si="180"/>
        <v>203000</v>
      </c>
      <c r="X330" s="125" t="str">
        <f t="shared" si="181"/>
        <v>ok</v>
      </c>
    </row>
    <row r="331" spans="1:24">
      <c r="A331" s="28">
        <v>826</v>
      </c>
      <c r="B331" s="25" t="s">
        <v>109</v>
      </c>
      <c r="C331" s="117" t="s">
        <v>110</v>
      </c>
      <c r="D331" s="117" t="s">
        <v>25</v>
      </c>
      <c r="F331" s="132">
        <v>0</v>
      </c>
      <c r="G331" s="27">
        <f t="shared" si="164"/>
        <v>0</v>
      </c>
      <c r="H331" s="27">
        <f t="shared" si="165"/>
        <v>0</v>
      </c>
      <c r="I331" s="27">
        <f t="shared" si="166"/>
        <v>0</v>
      </c>
      <c r="J331" s="27">
        <f t="shared" si="167"/>
        <v>0</v>
      </c>
      <c r="K331" s="27">
        <f t="shared" si="168"/>
        <v>0</v>
      </c>
      <c r="L331" s="27">
        <f t="shared" si="169"/>
        <v>0</v>
      </c>
      <c r="M331" s="27">
        <f t="shared" si="170"/>
        <v>0</v>
      </c>
      <c r="N331" s="27">
        <f t="shared" si="171"/>
        <v>0</v>
      </c>
      <c r="O331" s="27">
        <f t="shared" si="172"/>
        <v>0</v>
      </c>
      <c r="P331" s="27">
        <f t="shared" si="173"/>
        <v>0</v>
      </c>
      <c r="Q331" s="27">
        <f t="shared" si="174"/>
        <v>0</v>
      </c>
      <c r="R331" s="27">
        <f t="shared" si="175"/>
        <v>0</v>
      </c>
      <c r="S331" s="27">
        <f t="shared" si="176"/>
        <v>0</v>
      </c>
      <c r="T331" s="27">
        <f t="shared" si="177"/>
        <v>0</v>
      </c>
      <c r="U331" s="27">
        <f t="shared" si="178"/>
        <v>0</v>
      </c>
      <c r="V331" s="27">
        <f t="shared" si="179"/>
        <v>0</v>
      </c>
      <c r="W331" s="27">
        <f t="shared" si="180"/>
        <v>0</v>
      </c>
      <c r="X331" s="125" t="str">
        <f t="shared" si="181"/>
        <v>ok</v>
      </c>
    </row>
    <row r="332" spans="1:24">
      <c r="A332" s="28"/>
      <c r="F332" s="27"/>
    </row>
    <row r="333" spans="1:24">
      <c r="A333" s="28" t="s">
        <v>471</v>
      </c>
      <c r="C333" s="117" t="s">
        <v>565</v>
      </c>
      <c r="F333" s="32">
        <f>SUM(F320:F332)</f>
        <v>5688888</v>
      </c>
      <c r="G333" s="32">
        <f t="shared" ref="G333:V333" si="182">SUM(G320:G332)</f>
        <v>0</v>
      </c>
      <c r="H333" s="32">
        <f t="shared" si="182"/>
        <v>0</v>
      </c>
      <c r="I333" s="32">
        <f t="shared" si="182"/>
        <v>1695802.2200753032</v>
      </c>
      <c r="J333" s="32">
        <f t="shared" si="182"/>
        <v>3993085.7799246972</v>
      </c>
      <c r="K333" s="32">
        <f t="shared" si="182"/>
        <v>0</v>
      </c>
      <c r="L333" s="32">
        <f t="shared" si="182"/>
        <v>0</v>
      </c>
      <c r="M333" s="32">
        <f t="shared" si="182"/>
        <v>0</v>
      </c>
      <c r="N333" s="32">
        <f t="shared" si="182"/>
        <v>0</v>
      </c>
      <c r="O333" s="32">
        <f t="shared" si="182"/>
        <v>0</v>
      </c>
      <c r="P333" s="32">
        <f t="shared" si="182"/>
        <v>0</v>
      </c>
      <c r="Q333" s="32">
        <f>SUM(Q320:Q332)</f>
        <v>0</v>
      </c>
      <c r="R333" s="32">
        <f>SUM(R320:R332)</f>
        <v>0</v>
      </c>
      <c r="S333" s="32">
        <f t="shared" si="182"/>
        <v>0</v>
      </c>
      <c r="T333" s="32">
        <f t="shared" si="182"/>
        <v>0</v>
      </c>
      <c r="U333" s="32">
        <f t="shared" si="182"/>
        <v>0</v>
      </c>
      <c r="V333" s="32">
        <f t="shared" si="182"/>
        <v>0</v>
      </c>
      <c r="W333" s="27">
        <f>SUM(G333:V333)</f>
        <v>5688888</v>
      </c>
      <c r="X333" s="125" t="str">
        <f>IF(ABS(W333-F333)&lt;1,"ok","err")</f>
        <v>ok</v>
      </c>
    </row>
    <row r="334" spans="1:24">
      <c r="A334" s="28"/>
      <c r="F334" s="27"/>
    </row>
    <row r="335" spans="1:24">
      <c r="A335" s="120"/>
      <c r="F335" s="33"/>
      <c r="G335" s="131"/>
    </row>
    <row r="336" spans="1:24">
      <c r="A336" s="28"/>
      <c r="F336" s="33"/>
      <c r="G336" s="131"/>
    </row>
    <row r="337" spans="1:24">
      <c r="A337" s="120" t="s">
        <v>464</v>
      </c>
      <c r="F337" s="33"/>
      <c r="G337" s="131"/>
    </row>
    <row r="338" spans="1:24">
      <c r="A338" s="120" t="s">
        <v>465</v>
      </c>
      <c r="F338" s="33"/>
      <c r="G338" s="131"/>
    </row>
    <row r="339" spans="1:24">
      <c r="A339" s="28">
        <v>830</v>
      </c>
      <c r="B339" s="25" t="s">
        <v>413</v>
      </c>
      <c r="C339" s="117" t="s">
        <v>111</v>
      </c>
      <c r="D339" s="117" t="s">
        <v>641</v>
      </c>
      <c r="F339" s="32">
        <v>452000</v>
      </c>
      <c r="G339" s="27">
        <f t="shared" ref="G339:G346" si="183">(VLOOKUP($D339,$C$6:$AJ$992,5,)/VLOOKUP($D339,$C$6:$AJ$992,4,))*$F339</f>
        <v>0</v>
      </c>
      <c r="H339" s="27">
        <f t="shared" ref="H339:H346" si="184">(VLOOKUP($D339,$C$6:$AJ$992,6,)/VLOOKUP($D339,$C$6:$AJ$992,4,))*$F339</f>
        <v>0</v>
      </c>
      <c r="I339" s="27">
        <f t="shared" ref="I339:I346" si="185">(VLOOKUP($D339,$C$6:$AJ$992,7,)/VLOOKUP($D339,$C$6:$AJ$992,4,))*$F339</f>
        <v>141927.72547828729</v>
      </c>
      <c r="J339" s="27">
        <f t="shared" ref="J339:J346" si="186">(VLOOKUP($D339,$C$6:$AJ$992,8,)/VLOOKUP($D339,$C$6:$AJ$992,4,))*$F339</f>
        <v>310072.27452171274</v>
      </c>
      <c r="K339" s="27">
        <f t="shared" ref="K339:K346" si="187">(VLOOKUP($D339,$C$6:$AJ$992,9,)/VLOOKUP($D339,$C$6:$AJ$992,4,))*$F339</f>
        <v>0</v>
      </c>
      <c r="L339" s="27">
        <f t="shared" ref="L339:L346" si="188">(VLOOKUP($D339,$C$6:$AJ$992,10,)/VLOOKUP($D339,$C$6:$AJ$992,4,))*$F339</f>
        <v>0</v>
      </c>
      <c r="M339" s="27">
        <f t="shared" ref="M339:M346" si="189">(VLOOKUP($D339,$C$6:$AJ$992,11,)/VLOOKUP($D339,$C$6:$AJ$992,4,))*$F339</f>
        <v>0</v>
      </c>
      <c r="N339" s="27">
        <f t="shared" ref="N339:N346" si="190">(VLOOKUP($D339,$C$6:$AJ$992,12,)/VLOOKUP($D339,$C$6:$AJ$992,4,))*$F339</f>
        <v>0</v>
      </c>
      <c r="O339" s="27">
        <f t="shared" ref="O339:O346" si="191">(VLOOKUP($D339,$C$6:$AJ$992,13,)/VLOOKUP($D339,$C$6:$AJ$992,4,))*$F339</f>
        <v>0</v>
      </c>
      <c r="P339" s="27">
        <f t="shared" ref="P339:P346" si="192">(VLOOKUP($D339,$C$6:$AJ$992,14,)/VLOOKUP($D339,$C$6:$AJ$992,4,))*$F339</f>
        <v>0</v>
      </c>
      <c r="Q339" s="27">
        <f t="shared" ref="Q339:Q346" si="193">(VLOOKUP($D339,$C$6:$AJ$992,15,)/VLOOKUP($D339,$C$6:$AJ$992,4,))*$F339</f>
        <v>0</v>
      </c>
      <c r="R339" s="27">
        <f t="shared" ref="R339:R346" si="194">(VLOOKUP($D339,$C$6:$AJ$992,16,)/VLOOKUP($D339,$C$6:$AJ$992,4,))*$F339</f>
        <v>0</v>
      </c>
      <c r="S339" s="27">
        <f t="shared" ref="S339:S346" si="195">(VLOOKUP($D339,$C$6:$AJ$992,17,)/VLOOKUP($D339,$C$6:$AJ$992,4,))*$F339</f>
        <v>0</v>
      </c>
      <c r="T339" s="27">
        <f t="shared" ref="T339:T346" si="196">(VLOOKUP($D339,$C$6:$AJ$992,18,)/VLOOKUP($D339,$C$6:$AJ$992,4,))*$F339</f>
        <v>0</v>
      </c>
      <c r="U339" s="27">
        <f t="shared" ref="U339:U346" si="197">(VLOOKUP($D339,$C$6:$AJ$992,19,)/VLOOKUP($D339,$C$6:$AJ$992,4,))*$F339</f>
        <v>0</v>
      </c>
      <c r="V339" s="27">
        <f t="shared" ref="V339:V346" si="198">(VLOOKUP($D339,$C$6:$AJ$992,20,)/VLOOKUP($D339,$C$6:$AJ$992,4,))*$F339</f>
        <v>0</v>
      </c>
      <c r="W339" s="27">
        <f>SUM(G339:V339)</f>
        <v>452000</v>
      </c>
      <c r="X339" s="125" t="str">
        <f>IF(ABS(W339-F339)&lt;1,"ok","err")</f>
        <v>ok</v>
      </c>
    </row>
    <row r="340" spans="1:24">
      <c r="A340" s="28">
        <v>831</v>
      </c>
      <c r="B340" s="25" t="s">
        <v>112</v>
      </c>
      <c r="C340" s="117" t="s">
        <v>113</v>
      </c>
      <c r="D340" s="117" t="s">
        <v>25</v>
      </c>
      <c r="F340" s="132">
        <v>0</v>
      </c>
      <c r="G340" s="27">
        <f t="shared" si="183"/>
        <v>0</v>
      </c>
      <c r="H340" s="27">
        <f t="shared" si="184"/>
        <v>0</v>
      </c>
      <c r="I340" s="27">
        <f t="shared" si="185"/>
        <v>0</v>
      </c>
      <c r="J340" s="27">
        <f t="shared" si="186"/>
        <v>0</v>
      </c>
      <c r="K340" s="27">
        <f t="shared" si="187"/>
        <v>0</v>
      </c>
      <c r="L340" s="27">
        <f t="shared" si="188"/>
        <v>0</v>
      </c>
      <c r="M340" s="27">
        <f t="shared" si="189"/>
        <v>0</v>
      </c>
      <c r="N340" s="27">
        <f t="shared" si="190"/>
        <v>0</v>
      </c>
      <c r="O340" s="27">
        <f t="shared" si="191"/>
        <v>0</v>
      </c>
      <c r="P340" s="27">
        <f t="shared" si="192"/>
        <v>0</v>
      </c>
      <c r="Q340" s="27">
        <f t="shared" si="193"/>
        <v>0</v>
      </c>
      <c r="R340" s="27">
        <f t="shared" si="194"/>
        <v>0</v>
      </c>
      <c r="S340" s="27">
        <f t="shared" si="195"/>
        <v>0</v>
      </c>
      <c r="T340" s="27">
        <f t="shared" si="196"/>
        <v>0</v>
      </c>
      <c r="U340" s="27">
        <f t="shared" si="197"/>
        <v>0</v>
      </c>
      <c r="V340" s="27">
        <f t="shared" si="198"/>
        <v>0</v>
      </c>
      <c r="W340" s="27">
        <f t="shared" ref="W340:W346" si="199">SUM(G340:V340)</f>
        <v>0</v>
      </c>
      <c r="X340" s="125" t="str">
        <f t="shared" ref="X340:X346" si="200">IF(ABS(W340-F340)&lt;1,"ok","err")</f>
        <v>ok</v>
      </c>
    </row>
    <row r="341" spans="1:24">
      <c r="A341" s="28">
        <v>832</v>
      </c>
      <c r="B341" s="25" t="s">
        <v>414</v>
      </c>
      <c r="C341" s="117" t="s">
        <v>114</v>
      </c>
      <c r="D341" s="117" t="s">
        <v>25</v>
      </c>
      <c r="F341" s="132">
        <v>821500</v>
      </c>
      <c r="G341" s="27">
        <f t="shared" si="183"/>
        <v>0</v>
      </c>
      <c r="H341" s="27">
        <f t="shared" si="184"/>
        <v>0</v>
      </c>
      <c r="I341" s="27">
        <f t="shared" si="185"/>
        <v>821500</v>
      </c>
      <c r="J341" s="27">
        <f t="shared" si="186"/>
        <v>0</v>
      </c>
      <c r="K341" s="27">
        <f t="shared" si="187"/>
        <v>0</v>
      </c>
      <c r="L341" s="27">
        <f t="shared" si="188"/>
        <v>0</v>
      </c>
      <c r="M341" s="27">
        <f t="shared" si="189"/>
        <v>0</v>
      </c>
      <c r="N341" s="27">
        <f t="shared" si="190"/>
        <v>0</v>
      </c>
      <c r="O341" s="27">
        <f t="shared" si="191"/>
        <v>0</v>
      </c>
      <c r="P341" s="27">
        <f t="shared" si="192"/>
        <v>0</v>
      </c>
      <c r="Q341" s="27">
        <f t="shared" si="193"/>
        <v>0</v>
      </c>
      <c r="R341" s="27">
        <f t="shared" si="194"/>
        <v>0</v>
      </c>
      <c r="S341" s="27">
        <f t="shared" si="195"/>
        <v>0</v>
      </c>
      <c r="T341" s="27">
        <f t="shared" si="196"/>
        <v>0</v>
      </c>
      <c r="U341" s="27">
        <f t="shared" si="197"/>
        <v>0</v>
      </c>
      <c r="V341" s="27">
        <f t="shared" si="198"/>
        <v>0</v>
      </c>
      <c r="W341" s="27">
        <f t="shared" si="199"/>
        <v>821500</v>
      </c>
      <c r="X341" s="125" t="str">
        <f t="shared" si="200"/>
        <v>ok</v>
      </c>
    </row>
    <row r="342" spans="1:24">
      <c r="A342" s="28">
        <v>833</v>
      </c>
      <c r="B342" s="25" t="s">
        <v>115</v>
      </c>
      <c r="C342" s="117" t="s">
        <v>116</v>
      </c>
      <c r="D342" s="117" t="s">
        <v>25</v>
      </c>
      <c r="F342" s="132">
        <v>167000</v>
      </c>
      <c r="G342" s="27">
        <f t="shared" si="183"/>
        <v>0</v>
      </c>
      <c r="H342" s="27">
        <f t="shared" si="184"/>
        <v>0</v>
      </c>
      <c r="I342" s="27">
        <f t="shared" si="185"/>
        <v>167000</v>
      </c>
      <c r="J342" s="27">
        <f t="shared" si="186"/>
        <v>0</v>
      </c>
      <c r="K342" s="27">
        <f t="shared" si="187"/>
        <v>0</v>
      </c>
      <c r="L342" s="27">
        <f t="shared" si="188"/>
        <v>0</v>
      </c>
      <c r="M342" s="27">
        <f t="shared" si="189"/>
        <v>0</v>
      </c>
      <c r="N342" s="27">
        <f t="shared" si="190"/>
        <v>0</v>
      </c>
      <c r="O342" s="27">
        <f t="shared" si="191"/>
        <v>0</v>
      </c>
      <c r="P342" s="27">
        <f t="shared" si="192"/>
        <v>0</v>
      </c>
      <c r="Q342" s="27">
        <f t="shared" si="193"/>
        <v>0</v>
      </c>
      <c r="R342" s="27">
        <f t="shared" si="194"/>
        <v>0</v>
      </c>
      <c r="S342" s="27">
        <f t="shared" si="195"/>
        <v>0</v>
      </c>
      <c r="T342" s="27">
        <f t="shared" si="196"/>
        <v>0</v>
      </c>
      <c r="U342" s="27">
        <f t="shared" si="197"/>
        <v>0</v>
      </c>
      <c r="V342" s="27">
        <f t="shared" si="198"/>
        <v>0</v>
      </c>
      <c r="W342" s="27">
        <f t="shared" si="199"/>
        <v>167000</v>
      </c>
      <c r="X342" s="125" t="str">
        <f t="shared" si="200"/>
        <v>ok</v>
      </c>
    </row>
    <row r="343" spans="1:24">
      <c r="A343" s="28">
        <v>834</v>
      </c>
      <c r="B343" s="25" t="s">
        <v>415</v>
      </c>
      <c r="C343" s="117" t="s">
        <v>117</v>
      </c>
      <c r="D343" s="117" t="s">
        <v>125</v>
      </c>
      <c r="F343" s="132">
        <v>1147975</v>
      </c>
      <c r="G343" s="27">
        <f t="shared" si="183"/>
        <v>0</v>
      </c>
      <c r="H343" s="27">
        <f t="shared" si="184"/>
        <v>0</v>
      </c>
      <c r="I343" s="27">
        <f t="shared" si="185"/>
        <v>0</v>
      </c>
      <c r="J343" s="27">
        <f t="shared" si="186"/>
        <v>1147975</v>
      </c>
      <c r="K343" s="27">
        <f t="shared" si="187"/>
        <v>0</v>
      </c>
      <c r="L343" s="27">
        <f t="shared" si="188"/>
        <v>0</v>
      </c>
      <c r="M343" s="27">
        <f t="shared" si="189"/>
        <v>0</v>
      </c>
      <c r="N343" s="27">
        <f t="shared" si="190"/>
        <v>0</v>
      </c>
      <c r="O343" s="27">
        <f t="shared" si="191"/>
        <v>0</v>
      </c>
      <c r="P343" s="27">
        <f t="shared" si="192"/>
        <v>0</v>
      </c>
      <c r="Q343" s="27">
        <f t="shared" si="193"/>
        <v>0</v>
      </c>
      <c r="R343" s="27">
        <f t="shared" si="194"/>
        <v>0</v>
      </c>
      <c r="S343" s="27">
        <f t="shared" si="195"/>
        <v>0</v>
      </c>
      <c r="T343" s="27">
        <f t="shared" si="196"/>
        <v>0</v>
      </c>
      <c r="U343" s="27">
        <f t="shared" si="197"/>
        <v>0</v>
      </c>
      <c r="V343" s="27">
        <f t="shared" si="198"/>
        <v>0</v>
      </c>
      <c r="W343" s="27">
        <f t="shared" si="199"/>
        <v>1147975</v>
      </c>
      <c r="X343" s="125" t="str">
        <f t="shared" si="200"/>
        <v>ok</v>
      </c>
    </row>
    <row r="344" spans="1:24">
      <c r="A344" s="28">
        <v>835</v>
      </c>
      <c r="B344" s="25" t="s">
        <v>416</v>
      </c>
      <c r="C344" s="117" t="s">
        <v>118</v>
      </c>
      <c r="D344" s="117" t="s">
        <v>25</v>
      </c>
      <c r="F344" s="132">
        <v>66479</v>
      </c>
      <c r="G344" s="27">
        <f t="shared" si="183"/>
        <v>0</v>
      </c>
      <c r="H344" s="27">
        <f t="shared" si="184"/>
        <v>0</v>
      </c>
      <c r="I344" s="27">
        <f t="shared" si="185"/>
        <v>66479</v>
      </c>
      <c r="J344" s="27">
        <f t="shared" si="186"/>
        <v>0</v>
      </c>
      <c r="K344" s="27">
        <f t="shared" si="187"/>
        <v>0</v>
      </c>
      <c r="L344" s="27">
        <f t="shared" si="188"/>
        <v>0</v>
      </c>
      <c r="M344" s="27">
        <f t="shared" si="189"/>
        <v>0</v>
      </c>
      <c r="N344" s="27">
        <f t="shared" si="190"/>
        <v>0</v>
      </c>
      <c r="O344" s="27">
        <f t="shared" si="191"/>
        <v>0</v>
      </c>
      <c r="P344" s="27">
        <f t="shared" si="192"/>
        <v>0</v>
      </c>
      <c r="Q344" s="27">
        <f t="shared" si="193"/>
        <v>0</v>
      </c>
      <c r="R344" s="27">
        <f t="shared" si="194"/>
        <v>0</v>
      </c>
      <c r="S344" s="27">
        <f t="shared" si="195"/>
        <v>0</v>
      </c>
      <c r="T344" s="27">
        <f t="shared" si="196"/>
        <v>0</v>
      </c>
      <c r="U344" s="27">
        <f t="shared" si="197"/>
        <v>0</v>
      </c>
      <c r="V344" s="27">
        <f t="shared" si="198"/>
        <v>0</v>
      </c>
      <c r="W344" s="27">
        <f t="shared" si="199"/>
        <v>66479</v>
      </c>
      <c r="X344" s="125" t="str">
        <f t="shared" si="200"/>
        <v>ok</v>
      </c>
    </row>
    <row r="345" spans="1:24">
      <c r="A345" s="28">
        <v>836</v>
      </c>
      <c r="B345" s="25" t="s">
        <v>417</v>
      </c>
      <c r="C345" s="117" t="s">
        <v>119</v>
      </c>
      <c r="D345" s="117" t="s">
        <v>125</v>
      </c>
      <c r="F345" s="132">
        <v>931000</v>
      </c>
      <c r="G345" s="27">
        <f t="shared" si="183"/>
        <v>0</v>
      </c>
      <c r="H345" s="27">
        <f t="shared" si="184"/>
        <v>0</v>
      </c>
      <c r="I345" s="27">
        <f t="shared" si="185"/>
        <v>0</v>
      </c>
      <c r="J345" s="27">
        <f t="shared" si="186"/>
        <v>931000</v>
      </c>
      <c r="K345" s="27">
        <f t="shared" si="187"/>
        <v>0</v>
      </c>
      <c r="L345" s="27">
        <f t="shared" si="188"/>
        <v>0</v>
      </c>
      <c r="M345" s="27">
        <f t="shared" si="189"/>
        <v>0</v>
      </c>
      <c r="N345" s="27">
        <f t="shared" si="190"/>
        <v>0</v>
      </c>
      <c r="O345" s="27">
        <f t="shared" si="191"/>
        <v>0</v>
      </c>
      <c r="P345" s="27">
        <f t="shared" si="192"/>
        <v>0</v>
      </c>
      <c r="Q345" s="27">
        <f t="shared" si="193"/>
        <v>0</v>
      </c>
      <c r="R345" s="27">
        <f t="shared" si="194"/>
        <v>0</v>
      </c>
      <c r="S345" s="27">
        <f t="shared" si="195"/>
        <v>0</v>
      </c>
      <c r="T345" s="27">
        <f t="shared" si="196"/>
        <v>0</v>
      </c>
      <c r="U345" s="27">
        <f t="shared" si="197"/>
        <v>0</v>
      </c>
      <c r="V345" s="27">
        <f t="shared" si="198"/>
        <v>0</v>
      </c>
      <c r="W345" s="27">
        <f t="shared" si="199"/>
        <v>931000</v>
      </c>
      <c r="X345" s="125" t="str">
        <f t="shared" si="200"/>
        <v>ok</v>
      </c>
    </row>
    <row r="346" spans="1:24">
      <c r="A346" s="28">
        <v>837</v>
      </c>
      <c r="B346" s="25" t="s">
        <v>418</v>
      </c>
      <c r="C346" s="117" t="s">
        <v>120</v>
      </c>
      <c r="D346" s="117" t="s">
        <v>25</v>
      </c>
      <c r="F346" s="132">
        <v>169271</v>
      </c>
      <c r="G346" s="27">
        <f t="shared" si="183"/>
        <v>0</v>
      </c>
      <c r="H346" s="27">
        <f t="shared" si="184"/>
        <v>0</v>
      </c>
      <c r="I346" s="27">
        <f t="shared" si="185"/>
        <v>169271</v>
      </c>
      <c r="J346" s="27">
        <f t="shared" si="186"/>
        <v>0</v>
      </c>
      <c r="K346" s="27">
        <f t="shared" si="187"/>
        <v>0</v>
      </c>
      <c r="L346" s="27">
        <f t="shared" si="188"/>
        <v>0</v>
      </c>
      <c r="M346" s="27">
        <f t="shared" si="189"/>
        <v>0</v>
      </c>
      <c r="N346" s="27">
        <f t="shared" si="190"/>
        <v>0</v>
      </c>
      <c r="O346" s="27">
        <f t="shared" si="191"/>
        <v>0</v>
      </c>
      <c r="P346" s="27">
        <f t="shared" si="192"/>
        <v>0</v>
      </c>
      <c r="Q346" s="27">
        <f t="shared" si="193"/>
        <v>0</v>
      </c>
      <c r="R346" s="27">
        <f t="shared" si="194"/>
        <v>0</v>
      </c>
      <c r="S346" s="27">
        <f t="shared" si="195"/>
        <v>0</v>
      </c>
      <c r="T346" s="27">
        <f t="shared" si="196"/>
        <v>0</v>
      </c>
      <c r="U346" s="27">
        <f t="shared" si="197"/>
        <v>0</v>
      </c>
      <c r="V346" s="27">
        <f t="shared" si="198"/>
        <v>0</v>
      </c>
      <c r="W346" s="27">
        <f t="shared" si="199"/>
        <v>169271</v>
      </c>
      <c r="X346" s="125" t="str">
        <f t="shared" si="200"/>
        <v>ok</v>
      </c>
    </row>
    <row r="347" spans="1:24">
      <c r="A347" s="28"/>
      <c r="F347" s="27"/>
    </row>
    <row r="348" spans="1:24">
      <c r="A348" s="28" t="s">
        <v>190</v>
      </c>
      <c r="C348" s="117" t="s">
        <v>566</v>
      </c>
      <c r="F348" s="32">
        <f>+SUM(F339:F346)</f>
        <v>3755225</v>
      </c>
      <c r="G348" s="32">
        <f t="shared" ref="G348:V348" si="201">SUM(G339:G347)</f>
        <v>0</v>
      </c>
      <c r="H348" s="32">
        <f t="shared" si="201"/>
        <v>0</v>
      </c>
      <c r="I348" s="32">
        <f t="shared" si="201"/>
        <v>1366177.7254782873</v>
      </c>
      <c r="J348" s="32">
        <f t="shared" si="201"/>
        <v>2389047.2745217127</v>
      </c>
      <c r="K348" s="32">
        <f t="shared" si="201"/>
        <v>0</v>
      </c>
      <c r="L348" s="32">
        <f t="shared" si="201"/>
        <v>0</v>
      </c>
      <c r="M348" s="32">
        <f t="shared" si="201"/>
        <v>0</v>
      </c>
      <c r="N348" s="32">
        <f t="shared" si="201"/>
        <v>0</v>
      </c>
      <c r="O348" s="32">
        <f t="shared" si="201"/>
        <v>0</v>
      </c>
      <c r="P348" s="32">
        <f t="shared" si="201"/>
        <v>0</v>
      </c>
      <c r="Q348" s="32">
        <f>SUM(Q339:Q347)</f>
        <v>0</v>
      </c>
      <c r="R348" s="32">
        <f>SUM(R339:R347)</f>
        <v>0</v>
      </c>
      <c r="S348" s="32">
        <f t="shared" si="201"/>
        <v>0</v>
      </c>
      <c r="T348" s="32">
        <f t="shared" si="201"/>
        <v>0</v>
      </c>
      <c r="U348" s="32">
        <f t="shared" si="201"/>
        <v>0</v>
      </c>
      <c r="V348" s="32">
        <f t="shared" si="201"/>
        <v>0</v>
      </c>
      <c r="W348" s="27">
        <f>SUM(G348:V348)</f>
        <v>3755225</v>
      </c>
      <c r="X348" s="125" t="str">
        <f>IF(ABS(W348-F348)&lt;1,"ok","err")</f>
        <v>ok</v>
      </c>
    </row>
    <row r="349" spans="1:24">
      <c r="A349" s="28"/>
      <c r="F349" s="27"/>
    </row>
    <row r="350" spans="1:24">
      <c r="A350" s="28"/>
      <c r="F350" s="27"/>
    </row>
    <row r="351" spans="1:24">
      <c r="A351" s="28" t="s">
        <v>472</v>
      </c>
      <c r="C351" s="117" t="s">
        <v>567</v>
      </c>
      <c r="F351" s="32">
        <f>+F333+F348</f>
        <v>9444113</v>
      </c>
      <c r="G351" s="27">
        <f t="shared" ref="G351:W351" si="202">+G333+G348</f>
        <v>0</v>
      </c>
      <c r="H351" s="27">
        <f t="shared" si="202"/>
        <v>0</v>
      </c>
      <c r="I351" s="27">
        <f t="shared" si="202"/>
        <v>3061979.9455535905</v>
      </c>
      <c r="J351" s="27">
        <f t="shared" si="202"/>
        <v>6382133.0544464104</v>
      </c>
      <c r="K351" s="27">
        <f t="shared" si="202"/>
        <v>0</v>
      </c>
      <c r="L351" s="27">
        <f t="shared" si="202"/>
        <v>0</v>
      </c>
      <c r="M351" s="27">
        <f t="shared" si="202"/>
        <v>0</v>
      </c>
      <c r="N351" s="27">
        <f t="shared" si="202"/>
        <v>0</v>
      </c>
      <c r="O351" s="27">
        <f t="shared" si="202"/>
        <v>0</v>
      </c>
      <c r="P351" s="27">
        <f t="shared" si="202"/>
        <v>0</v>
      </c>
      <c r="Q351" s="27">
        <f t="shared" si="202"/>
        <v>0</v>
      </c>
      <c r="R351" s="27">
        <f t="shared" si="202"/>
        <v>0</v>
      </c>
      <c r="S351" s="27">
        <f t="shared" si="202"/>
        <v>0</v>
      </c>
      <c r="T351" s="27">
        <f t="shared" si="202"/>
        <v>0</v>
      </c>
      <c r="U351" s="27">
        <f t="shared" si="202"/>
        <v>0</v>
      </c>
      <c r="V351" s="27">
        <f t="shared" si="202"/>
        <v>0</v>
      </c>
      <c r="W351" s="27">
        <f t="shared" si="202"/>
        <v>9444113</v>
      </c>
      <c r="X351" s="125" t="str">
        <f>IF(ABS(W351-F351)&lt;1,"ok","err")</f>
        <v>ok</v>
      </c>
    </row>
    <row r="352" spans="1:24">
      <c r="A352" s="28"/>
      <c r="F352" s="27"/>
    </row>
    <row r="353" spans="1:24">
      <c r="A353" s="28"/>
      <c r="F353" s="27"/>
    </row>
    <row r="354" spans="1:24">
      <c r="A354" s="121"/>
      <c r="F354" s="27"/>
    </row>
    <row r="355" spans="1:24">
      <c r="A355" s="122"/>
      <c r="F355" s="27"/>
    </row>
    <row r="356" spans="1:24">
      <c r="A356" s="28"/>
      <c r="F356" s="27"/>
    </row>
    <row r="357" spans="1:24">
      <c r="A357" s="30" t="s">
        <v>473</v>
      </c>
      <c r="F357" s="27"/>
    </row>
    <row r="358" spans="1:24">
      <c r="A358" s="28"/>
      <c r="F358" s="27"/>
    </row>
    <row r="359" spans="1:24">
      <c r="A359" s="120"/>
      <c r="F359" s="27"/>
    </row>
    <row r="360" spans="1:24">
      <c r="A360" s="120" t="s">
        <v>4</v>
      </c>
      <c r="F360" s="27"/>
    </row>
    <row r="361" spans="1:24">
      <c r="A361" s="28" t="s">
        <v>121</v>
      </c>
      <c r="B361" s="25" t="s">
        <v>438</v>
      </c>
      <c r="C361" s="117" t="s">
        <v>122</v>
      </c>
      <c r="D361" s="117" t="s">
        <v>28</v>
      </c>
      <c r="F361" s="32">
        <v>2789293</v>
      </c>
      <c r="G361" s="27">
        <f>(VLOOKUP($D361,$C$6:$AJ$992,5,)/VLOOKUP($D361,$C$6:$AJ$992,4,))*$F361</f>
        <v>0</v>
      </c>
      <c r="H361" s="27">
        <f>(VLOOKUP($D361,$C$6:$AJ$992,6,)/VLOOKUP($D361,$C$6:$AJ$992,4,))*$F361</f>
        <v>0</v>
      </c>
      <c r="I361" s="27">
        <f>(VLOOKUP($D361,$C$6:$AJ$992,7,)/VLOOKUP($D361,$C$6:$AJ$992,4,))*$F361</f>
        <v>0</v>
      </c>
      <c r="J361" s="27">
        <f>(VLOOKUP($D361,$C$6:$AJ$992,8,)/VLOOKUP($D361,$C$6:$AJ$992,4,))*$F361</f>
        <v>0</v>
      </c>
      <c r="K361" s="27">
        <f>(VLOOKUP($D361,$C$6:$AJ$992,9,)/VLOOKUP($D361,$C$6:$AJ$992,4,))*$F361</f>
        <v>2789293</v>
      </c>
      <c r="L361" s="27">
        <f>(VLOOKUP($D361,$C$6:$AJ$992,10,)/VLOOKUP($D361,$C$6:$AJ$992,4,))*$F361</f>
        <v>0</v>
      </c>
      <c r="M361" s="27">
        <f>(VLOOKUP($D361,$C$6:$AJ$992,11,)/VLOOKUP($D361,$C$6:$AJ$992,4,))*$F361</f>
        <v>0</v>
      </c>
      <c r="N361" s="27">
        <f>(VLOOKUP($D361,$C$6:$AJ$992,12,)/VLOOKUP($D361,$C$6:$AJ$992,4,))*$F361</f>
        <v>0</v>
      </c>
      <c r="O361" s="27">
        <f>(VLOOKUP($D361,$C$6:$AJ$992,13,)/VLOOKUP($D361,$C$6:$AJ$992,4,))*$F361</f>
        <v>0</v>
      </c>
      <c r="P361" s="27">
        <f>(VLOOKUP($D361,$C$6:$AJ$992,14,)/VLOOKUP($D361,$C$6:$AJ$992,4,))*$F361</f>
        <v>0</v>
      </c>
      <c r="Q361" s="27">
        <f>(VLOOKUP($D361,$C$6:$AJ$992,15,)/VLOOKUP($D361,$C$6:$AJ$992,4,))*$F361</f>
        <v>0</v>
      </c>
      <c r="R361" s="27">
        <f>(VLOOKUP($D361,$C$6:$AJ$992,16,)/VLOOKUP($D361,$C$6:$AJ$992,4,))*$F361</f>
        <v>0</v>
      </c>
      <c r="S361" s="27">
        <f>(VLOOKUP($D361,$C$6:$AJ$992,17,)/VLOOKUP($D361,$C$6:$AJ$992,4,))*$F361</f>
        <v>0</v>
      </c>
      <c r="T361" s="27">
        <f>(VLOOKUP($D361,$C$6:$AJ$992,18,)/VLOOKUP($D361,$C$6:$AJ$992,4,))*$F361</f>
        <v>0</v>
      </c>
      <c r="U361" s="27">
        <f>(VLOOKUP($D361,$C$6:$AJ$992,19,)/VLOOKUP($D361,$C$6:$AJ$992,4,))*$F361</f>
        <v>0</v>
      </c>
      <c r="V361" s="27">
        <f>(VLOOKUP($D361,$C$6:$AJ$992,20,)/VLOOKUP($D361,$C$6:$AJ$992,4,))*$F361</f>
        <v>0</v>
      </c>
      <c r="W361" s="27">
        <f>SUM(G361:V361)</f>
        <v>2789293</v>
      </c>
      <c r="X361" s="125" t="str">
        <f>IF(ABS(W361-F361)&lt;1,"ok","err")</f>
        <v>ok</v>
      </c>
    </row>
    <row r="362" spans="1:24">
      <c r="A362" s="120"/>
      <c r="F362" s="27"/>
    </row>
    <row r="363" spans="1:24">
      <c r="A363" s="120" t="s">
        <v>6</v>
      </c>
      <c r="F363" s="27"/>
    </row>
    <row r="364" spans="1:24">
      <c r="A364" s="120" t="s">
        <v>439</v>
      </c>
      <c r="F364" s="27"/>
    </row>
    <row r="365" spans="1:24">
      <c r="A365" s="28">
        <v>870</v>
      </c>
      <c r="B365" s="25" t="s">
        <v>419</v>
      </c>
      <c r="C365" s="117" t="s">
        <v>123</v>
      </c>
      <c r="D365" s="117" t="s">
        <v>647</v>
      </c>
      <c r="F365" s="32">
        <v>539724</v>
      </c>
      <c r="G365" s="27">
        <f t="shared" ref="G365:G385" si="203">(VLOOKUP($D365,$C$6:$AJ$992,5,)/VLOOKUP($D365,$C$6:$AJ$992,4,))*$F365</f>
        <v>0</v>
      </c>
      <c r="H365" s="27">
        <f t="shared" ref="H365:H385" si="204">(VLOOKUP($D365,$C$6:$AJ$992,6,)/VLOOKUP($D365,$C$6:$AJ$992,4,))*$F365</f>
        <v>0</v>
      </c>
      <c r="I365" s="27">
        <f t="shared" ref="I365:I385" si="205">(VLOOKUP($D365,$C$6:$AJ$992,7,)/VLOOKUP($D365,$C$6:$AJ$992,4,))*$F365</f>
        <v>0</v>
      </c>
      <c r="J365" s="27">
        <f t="shared" ref="J365:J385" si="206">(VLOOKUP($D365,$C$6:$AJ$992,8,)/VLOOKUP($D365,$C$6:$AJ$992,4,))*$F365</f>
        <v>0</v>
      </c>
      <c r="K365" s="27">
        <f t="shared" ref="K365:K385" si="207">(VLOOKUP($D365,$C$6:$AJ$992,9,)/VLOOKUP($D365,$C$6:$AJ$992,4,))*$F365</f>
        <v>0</v>
      </c>
      <c r="L365" s="27">
        <f t="shared" ref="L365:L385" si="208">(VLOOKUP($D365,$C$6:$AJ$992,10,)/VLOOKUP($D365,$C$6:$AJ$992,4,))*$F365</f>
        <v>0</v>
      </c>
      <c r="M365" s="27">
        <f t="shared" ref="M365:M385" si="209">(VLOOKUP($D365,$C$6:$AJ$992,11,)/VLOOKUP($D365,$C$6:$AJ$992,4,))*$F365</f>
        <v>47730.333104058169</v>
      </c>
      <c r="N365" s="27">
        <f t="shared" ref="N365:N385" si="210">(VLOOKUP($D365,$C$6:$AJ$992,12,)/VLOOKUP($D365,$C$6:$AJ$992,4,))*$F365</f>
        <v>122526.56365711792</v>
      </c>
      <c r="O365" s="27">
        <f t="shared" ref="O365:O385" si="211">(VLOOKUP($D365,$C$6:$AJ$992,13,)/VLOOKUP($D365,$C$6:$AJ$992,4,))*$F365</f>
        <v>46819.583136057066</v>
      </c>
      <c r="P365" s="27">
        <f t="shared" ref="P365:P385" si="212">(VLOOKUP($D365,$C$6:$AJ$992,14,)/VLOOKUP($D365,$C$6:$AJ$992,4,))*$F365</f>
        <v>78372.382598615004</v>
      </c>
      <c r="Q365" s="27">
        <f t="shared" ref="Q365:Q385" si="213">(VLOOKUP($D365,$C$6:$AJ$992,15,)/VLOOKUP($D365,$C$6:$AJ$992,4,))*$F365</f>
        <v>6813.1055273288111</v>
      </c>
      <c r="R365" s="27">
        <f t="shared" ref="R365:R385" si="214">(VLOOKUP($D365,$C$6:$AJ$992,16,)/VLOOKUP($D365,$C$6:$AJ$992,4,))*$F365</f>
        <v>4910.0452034296795</v>
      </c>
      <c r="S365" s="27">
        <f t="shared" ref="S365:S385" si="215">(VLOOKUP($D365,$C$6:$AJ$992,17,)/VLOOKUP($D365,$C$6:$AJ$992,4,))*$F365</f>
        <v>82566.278713971813</v>
      </c>
      <c r="T365" s="27">
        <f t="shared" ref="T365:T385" si="216">(VLOOKUP($D365,$C$6:$AJ$992,18,)/VLOOKUP($D365,$C$6:$AJ$992,4,))*$F365</f>
        <v>149985.70805942151</v>
      </c>
      <c r="U365" s="27">
        <f t="shared" ref="U365:U385" si="217">(VLOOKUP($D365,$C$6:$AJ$992,19,)/VLOOKUP($D365,$C$6:$AJ$992,4,))*$F365</f>
        <v>0</v>
      </c>
      <c r="V365" s="27">
        <f t="shared" ref="V365:V385" si="218">(VLOOKUP($D365,$C$6:$AJ$992,20,)/VLOOKUP($D365,$C$6:$AJ$992,4,))*$F365</f>
        <v>0</v>
      </c>
      <c r="W365" s="27">
        <f>SUM(G365:V365)</f>
        <v>539724</v>
      </c>
      <c r="X365" s="125" t="str">
        <f>IF(ABS(W365-F365)&lt;1,"ok","err")</f>
        <v>ok</v>
      </c>
    </row>
    <row r="366" spans="1:24">
      <c r="A366" s="28">
        <v>871</v>
      </c>
      <c r="B366" s="25" t="s">
        <v>420</v>
      </c>
      <c r="C366" s="117" t="s">
        <v>124</v>
      </c>
      <c r="D366" s="117" t="s">
        <v>36</v>
      </c>
      <c r="F366" s="27">
        <v>0</v>
      </c>
      <c r="G366" s="27">
        <f t="shared" si="203"/>
        <v>0</v>
      </c>
      <c r="H366" s="27">
        <f t="shared" si="204"/>
        <v>0</v>
      </c>
      <c r="I366" s="27">
        <f t="shared" si="205"/>
        <v>0</v>
      </c>
      <c r="J366" s="27">
        <f t="shared" si="206"/>
        <v>0</v>
      </c>
      <c r="K366" s="27">
        <f t="shared" si="207"/>
        <v>0</v>
      </c>
      <c r="L366" s="27">
        <f t="shared" si="208"/>
        <v>0</v>
      </c>
      <c r="M366" s="27">
        <f t="shared" si="209"/>
        <v>0</v>
      </c>
      <c r="N366" s="27">
        <f t="shared" si="210"/>
        <v>0</v>
      </c>
      <c r="O366" s="27">
        <f t="shared" si="211"/>
        <v>0</v>
      </c>
      <c r="P366" s="27">
        <f t="shared" si="212"/>
        <v>0</v>
      </c>
      <c r="Q366" s="27">
        <f t="shared" si="213"/>
        <v>0</v>
      </c>
      <c r="R366" s="27">
        <f t="shared" si="214"/>
        <v>0</v>
      </c>
      <c r="S366" s="27">
        <f t="shared" si="215"/>
        <v>0</v>
      </c>
      <c r="T366" s="27">
        <f t="shared" si="216"/>
        <v>0</v>
      </c>
      <c r="U366" s="27">
        <f t="shared" si="217"/>
        <v>0</v>
      </c>
      <c r="V366" s="27">
        <f t="shared" si="218"/>
        <v>0</v>
      </c>
      <c r="W366" s="27">
        <f t="shared" ref="W366:W385" si="219">SUM(G366:V366)</f>
        <v>0</v>
      </c>
      <c r="X366" s="125" t="str">
        <f t="shared" ref="X366:X387" si="220">IF(ABS(W366-F366)&lt;1,"ok","err")</f>
        <v>ok</v>
      </c>
    </row>
    <row r="367" spans="1:24">
      <c r="A367" s="28">
        <v>872</v>
      </c>
      <c r="B367" s="25" t="s">
        <v>422</v>
      </c>
      <c r="C367" s="117" t="s">
        <v>568</v>
      </c>
      <c r="D367" s="117" t="s">
        <v>36</v>
      </c>
      <c r="F367" s="27">
        <v>0</v>
      </c>
      <c r="G367" s="27">
        <f t="shared" si="203"/>
        <v>0</v>
      </c>
      <c r="H367" s="27">
        <f t="shared" si="204"/>
        <v>0</v>
      </c>
      <c r="I367" s="27">
        <f t="shared" si="205"/>
        <v>0</v>
      </c>
      <c r="J367" s="27">
        <f t="shared" si="206"/>
        <v>0</v>
      </c>
      <c r="K367" s="27">
        <f t="shared" si="207"/>
        <v>0</v>
      </c>
      <c r="L367" s="27">
        <f t="shared" si="208"/>
        <v>0</v>
      </c>
      <c r="M367" s="27">
        <f t="shared" si="209"/>
        <v>0</v>
      </c>
      <c r="N367" s="27">
        <f t="shared" si="210"/>
        <v>0</v>
      </c>
      <c r="O367" s="27">
        <f t="shared" si="211"/>
        <v>0</v>
      </c>
      <c r="P367" s="27">
        <f t="shared" si="212"/>
        <v>0</v>
      </c>
      <c r="Q367" s="27">
        <f t="shared" si="213"/>
        <v>0</v>
      </c>
      <c r="R367" s="27">
        <f t="shared" si="214"/>
        <v>0</v>
      </c>
      <c r="S367" s="27">
        <f t="shared" si="215"/>
        <v>0</v>
      </c>
      <c r="T367" s="27">
        <f t="shared" si="216"/>
        <v>0</v>
      </c>
      <c r="U367" s="27">
        <f t="shared" si="217"/>
        <v>0</v>
      </c>
      <c r="V367" s="27">
        <f t="shared" si="218"/>
        <v>0</v>
      </c>
      <c r="W367" s="27">
        <f t="shared" si="219"/>
        <v>0</v>
      </c>
      <c r="X367" s="125" t="str">
        <f t="shared" si="220"/>
        <v>ok</v>
      </c>
    </row>
    <row r="368" spans="1:24">
      <c r="A368" s="28">
        <v>873</v>
      </c>
      <c r="B368" s="25" t="s">
        <v>421</v>
      </c>
      <c r="C368" s="117" t="s">
        <v>569</v>
      </c>
      <c r="D368" s="117" t="s">
        <v>36</v>
      </c>
      <c r="F368" s="27">
        <v>0</v>
      </c>
      <c r="G368" s="27">
        <f t="shared" si="203"/>
        <v>0</v>
      </c>
      <c r="H368" s="27">
        <f t="shared" si="204"/>
        <v>0</v>
      </c>
      <c r="I368" s="27">
        <f t="shared" si="205"/>
        <v>0</v>
      </c>
      <c r="J368" s="27">
        <f t="shared" si="206"/>
        <v>0</v>
      </c>
      <c r="K368" s="27">
        <f t="shared" si="207"/>
        <v>0</v>
      </c>
      <c r="L368" s="27">
        <f t="shared" si="208"/>
        <v>0</v>
      </c>
      <c r="M368" s="27">
        <f t="shared" si="209"/>
        <v>0</v>
      </c>
      <c r="N368" s="27">
        <f t="shared" si="210"/>
        <v>0</v>
      </c>
      <c r="O368" s="27">
        <f t="shared" si="211"/>
        <v>0</v>
      </c>
      <c r="P368" s="27">
        <f t="shared" si="212"/>
        <v>0</v>
      </c>
      <c r="Q368" s="27">
        <f t="shared" si="213"/>
        <v>0</v>
      </c>
      <c r="R368" s="27">
        <f t="shared" si="214"/>
        <v>0</v>
      </c>
      <c r="S368" s="27">
        <f t="shared" si="215"/>
        <v>0</v>
      </c>
      <c r="T368" s="27">
        <f t="shared" si="216"/>
        <v>0</v>
      </c>
      <c r="U368" s="27">
        <f t="shared" si="217"/>
        <v>0</v>
      </c>
      <c r="V368" s="27">
        <f t="shared" si="218"/>
        <v>0</v>
      </c>
      <c r="W368" s="27">
        <f t="shared" si="219"/>
        <v>0</v>
      </c>
      <c r="X368" s="125" t="str">
        <f t="shared" si="220"/>
        <v>ok</v>
      </c>
    </row>
    <row r="369" spans="1:24">
      <c r="A369" s="28">
        <v>874.01</v>
      </c>
      <c r="B369" s="25" t="s">
        <v>423</v>
      </c>
      <c r="C369" s="117" t="s">
        <v>570</v>
      </c>
      <c r="D369" s="117" t="s">
        <v>644</v>
      </c>
      <c r="F369" s="27">
        <v>3057354</v>
      </c>
      <c r="G369" s="27">
        <f t="shared" si="203"/>
        <v>0</v>
      </c>
      <c r="H369" s="27">
        <f t="shared" si="204"/>
        <v>0</v>
      </c>
      <c r="I369" s="27">
        <f t="shared" si="205"/>
        <v>0</v>
      </c>
      <c r="J369" s="27">
        <f t="shared" si="206"/>
        <v>0</v>
      </c>
      <c r="K369" s="27">
        <f t="shared" si="207"/>
        <v>0</v>
      </c>
      <c r="L369" s="27">
        <f t="shared" si="208"/>
        <v>0</v>
      </c>
      <c r="M369" s="27">
        <f t="shared" si="209"/>
        <v>0</v>
      </c>
      <c r="N369" s="27">
        <f t="shared" si="210"/>
        <v>0</v>
      </c>
      <c r="O369" s="27">
        <f t="shared" si="211"/>
        <v>652192.13529398164</v>
      </c>
      <c r="P369" s="27">
        <f t="shared" si="212"/>
        <v>1091719.4928141807</v>
      </c>
      <c r="Q369" s="27">
        <f t="shared" si="213"/>
        <v>94905.882201880973</v>
      </c>
      <c r="R369" s="27">
        <f t="shared" si="214"/>
        <v>68396.441213689483</v>
      </c>
      <c r="S369" s="27">
        <f t="shared" si="215"/>
        <v>1150140.0484762669</v>
      </c>
      <c r="T369" s="27">
        <f t="shared" si="216"/>
        <v>0</v>
      </c>
      <c r="U369" s="27">
        <f t="shared" si="217"/>
        <v>0</v>
      </c>
      <c r="V369" s="27">
        <f t="shared" si="218"/>
        <v>0</v>
      </c>
      <c r="W369" s="27">
        <f t="shared" si="219"/>
        <v>3057354</v>
      </c>
      <c r="X369" s="125" t="str">
        <f t="shared" si="220"/>
        <v>ok</v>
      </c>
    </row>
    <row r="370" spans="1:24">
      <c r="A370" s="28">
        <v>874.02</v>
      </c>
      <c r="B370" s="25" t="s">
        <v>424</v>
      </c>
      <c r="C370" s="117" t="s">
        <v>571</v>
      </c>
      <c r="D370" s="117" t="s">
        <v>41</v>
      </c>
      <c r="F370" s="27">
        <v>0</v>
      </c>
      <c r="G370" s="27">
        <f t="shared" si="203"/>
        <v>0</v>
      </c>
      <c r="H370" s="27">
        <f t="shared" si="204"/>
        <v>0</v>
      </c>
      <c r="I370" s="27">
        <f t="shared" si="205"/>
        <v>0</v>
      </c>
      <c r="J370" s="27">
        <f t="shared" si="206"/>
        <v>0</v>
      </c>
      <c r="K370" s="27">
        <f t="shared" si="207"/>
        <v>0</v>
      </c>
      <c r="L370" s="27">
        <f t="shared" si="208"/>
        <v>0</v>
      </c>
      <c r="M370" s="27">
        <f t="shared" si="209"/>
        <v>0</v>
      </c>
      <c r="N370" s="27">
        <f t="shared" si="210"/>
        <v>0</v>
      </c>
      <c r="O370" s="27">
        <f t="shared" si="211"/>
        <v>0</v>
      </c>
      <c r="P370" s="27">
        <f t="shared" si="212"/>
        <v>0</v>
      </c>
      <c r="Q370" s="27">
        <f t="shared" si="213"/>
        <v>0</v>
      </c>
      <c r="R370" s="27">
        <f t="shared" si="214"/>
        <v>0</v>
      </c>
      <c r="S370" s="27">
        <f t="shared" si="215"/>
        <v>0</v>
      </c>
      <c r="T370" s="27">
        <f t="shared" si="216"/>
        <v>0</v>
      </c>
      <c r="U370" s="27">
        <f t="shared" si="217"/>
        <v>0</v>
      </c>
      <c r="V370" s="27">
        <f t="shared" si="218"/>
        <v>0</v>
      </c>
      <c r="W370" s="27">
        <f t="shared" si="219"/>
        <v>0</v>
      </c>
      <c r="X370" s="125" t="str">
        <f t="shared" si="220"/>
        <v>ok</v>
      </c>
    </row>
    <row r="371" spans="1:24">
      <c r="A371" s="28">
        <v>874.03</v>
      </c>
      <c r="B371" s="25" t="s">
        <v>425</v>
      </c>
      <c r="C371" s="117" t="s">
        <v>572</v>
      </c>
      <c r="D371" s="117" t="s">
        <v>43</v>
      </c>
      <c r="F371" s="27">
        <v>0</v>
      </c>
      <c r="G371" s="27">
        <f t="shared" si="203"/>
        <v>0</v>
      </c>
      <c r="H371" s="27">
        <f t="shared" si="204"/>
        <v>0</v>
      </c>
      <c r="I371" s="27">
        <f t="shared" si="205"/>
        <v>0</v>
      </c>
      <c r="J371" s="27">
        <f t="shared" si="206"/>
        <v>0</v>
      </c>
      <c r="K371" s="27">
        <f t="shared" si="207"/>
        <v>0</v>
      </c>
      <c r="L371" s="27">
        <f t="shared" si="208"/>
        <v>0</v>
      </c>
      <c r="M371" s="27">
        <f t="shared" si="209"/>
        <v>0</v>
      </c>
      <c r="N371" s="27">
        <f t="shared" si="210"/>
        <v>0</v>
      </c>
      <c r="O371" s="27">
        <f t="shared" si="211"/>
        <v>0</v>
      </c>
      <c r="P371" s="27">
        <f t="shared" si="212"/>
        <v>0</v>
      </c>
      <c r="Q371" s="27">
        <f t="shared" si="213"/>
        <v>0</v>
      </c>
      <c r="R371" s="27">
        <f t="shared" si="214"/>
        <v>0</v>
      </c>
      <c r="S371" s="27">
        <f t="shared" si="215"/>
        <v>0</v>
      </c>
      <c r="T371" s="27">
        <f t="shared" si="216"/>
        <v>0</v>
      </c>
      <c r="U371" s="27">
        <f t="shared" si="217"/>
        <v>0</v>
      </c>
      <c r="V371" s="27">
        <f t="shared" si="218"/>
        <v>0</v>
      </c>
      <c r="W371" s="27">
        <f t="shared" si="219"/>
        <v>0</v>
      </c>
      <c r="X371" s="125" t="str">
        <f t="shared" si="220"/>
        <v>ok</v>
      </c>
    </row>
    <row r="372" spans="1:24">
      <c r="A372" s="28">
        <v>874.04</v>
      </c>
      <c r="B372" s="25" t="s">
        <v>426</v>
      </c>
      <c r="C372" s="117" t="s">
        <v>573</v>
      </c>
      <c r="D372" s="117" t="s">
        <v>644</v>
      </c>
      <c r="F372" s="27">
        <v>0</v>
      </c>
      <c r="G372" s="27">
        <f t="shared" si="203"/>
        <v>0</v>
      </c>
      <c r="H372" s="27">
        <f t="shared" si="204"/>
        <v>0</v>
      </c>
      <c r="I372" s="27">
        <f t="shared" si="205"/>
        <v>0</v>
      </c>
      <c r="J372" s="27">
        <f t="shared" si="206"/>
        <v>0</v>
      </c>
      <c r="K372" s="27">
        <f t="shared" si="207"/>
        <v>0</v>
      </c>
      <c r="L372" s="27">
        <f t="shared" si="208"/>
        <v>0</v>
      </c>
      <c r="M372" s="27">
        <f t="shared" si="209"/>
        <v>0</v>
      </c>
      <c r="N372" s="27">
        <f t="shared" si="210"/>
        <v>0</v>
      </c>
      <c r="O372" s="27">
        <f t="shared" si="211"/>
        <v>0</v>
      </c>
      <c r="P372" s="27">
        <f t="shared" si="212"/>
        <v>0</v>
      </c>
      <c r="Q372" s="27">
        <f t="shared" si="213"/>
        <v>0</v>
      </c>
      <c r="R372" s="27">
        <f t="shared" si="214"/>
        <v>0</v>
      </c>
      <c r="S372" s="27">
        <f t="shared" si="215"/>
        <v>0</v>
      </c>
      <c r="T372" s="27">
        <f t="shared" si="216"/>
        <v>0</v>
      </c>
      <c r="U372" s="27">
        <f t="shared" si="217"/>
        <v>0</v>
      </c>
      <c r="V372" s="27">
        <f t="shared" si="218"/>
        <v>0</v>
      </c>
      <c r="W372" s="27">
        <f t="shared" si="219"/>
        <v>0</v>
      </c>
      <c r="X372" s="125" t="str">
        <f t="shared" si="220"/>
        <v>ok</v>
      </c>
    </row>
    <row r="373" spans="1:24">
      <c r="A373" s="28">
        <v>874.05</v>
      </c>
      <c r="B373" s="25" t="s">
        <v>427</v>
      </c>
      <c r="C373" s="117" t="s">
        <v>574</v>
      </c>
      <c r="D373" s="117" t="s">
        <v>43</v>
      </c>
      <c r="F373" s="27">
        <v>0</v>
      </c>
      <c r="G373" s="27">
        <f t="shared" si="203"/>
        <v>0</v>
      </c>
      <c r="H373" s="27">
        <f t="shared" si="204"/>
        <v>0</v>
      </c>
      <c r="I373" s="27">
        <f t="shared" si="205"/>
        <v>0</v>
      </c>
      <c r="J373" s="27">
        <f t="shared" si="206"/>
        <v>0</v>
      </c>
      <c r="K373" s="27">
        <f t="shared" si="207"/>
        <v>0</v>
      </c>
      <c r="L373" s="27">
        <f t="shared" si="208"/>
        <v>0</v>
      </c>
      <c r="M373" s="27">
        <f t="shared" si="209"/>
        <v>0</v>
      </c>
      <c r="N373" s="27">
        <f t="shared" si="210"/>
        <v>0</v>
      </c>
      <c r="O373" s="27">
        <f t="shared" si="211"/>
        <v>0</v>
      </c>
      <c r="P373" s="27">
        <f t="shared" si="212"/>
        <v>0</v>
      </c>
      <c r="Q373" s="27">
        <f t="shared" si="213"/>
        <v>0</v>
      </c>
      <c r="R373" s="27">
        <f t="shared" si="214"/>
        <v>0</v>
      </c>
      <c r="S373" s="27">
        <f t="shared" si="215"/>
        <v>0</v>
      </c>
      <c r="T373" s="27">
        <f t="shared" si="216"/>
        <v>0</v>
      </c>
      <c r="U373" s="27">
        <f t="shared" si="217"/>
        <v>0</v>
      </c>
      <c r="V373" s="27">
        <f t="shared" si="218"/>
        <v>0</v>
      </c>
      <c r="W373" s="27">
        <f t="shared" si="219"/>
        <v>0</v>
      </c>
      <c r="X373" s="125" t="str">
        <f t="shared" si="220"/>
        <v>ok</v>
      </c>
    </row>
    <row r="374" spans="1:24">
      <c r="A374" s="28">
        <v>874.06</v>
      </c>
      <c r="B374" s="25" t="s">
        <v>428</v>
      </c>
      <c r="C374" s="117" t="s">
        <v>575</v>
      </c>
      <c r="D374" s="117" t="s">
        <v>41</v>
      </c>
      <c r="F374" s="27">
        <v>0</v>
      </c>
      <c r="G374" s="27">
        <f t="shared" si="203"/>
        <v>0</v>
      </c>
      <c r="H374" s="27">
        <f t="shared" si="204"/>
        <v>0</v>
      </c>
      <c r="I374" s="27">
        <f t="shared" si="205"/>
        <v>0</v>
      </c>
      <c r="J374" s="27">
        <f t="shared" si="206"/>
        <v>0</v>
      </c>
      <c r="K374" s="27">
        <f t="shared" si="207"/>
        <v>0</v>
      </c>
      <c r="L374" s="27">
        <f t="shared" si="208"/>
        <v>0</v>
      </c>
      <c r="M374" s="27">
        <f t="shared" si="209"/>
        <v>0</v>
      </c>
      <c r="N374" s="27">
        <f t="shared" si="210"/>
        <v>0</v>
      </c>
      <c r="O374" s="27">
        <f t="shared" si="211"/>
        <v>0</v>
      </c>
      <c r="P374" s="27">
        <f t="shared" si="212"/>
        <v>0</v>
      </c>
      <c r="Q374" s="27">
        <f t="shared" si="213"/>
        <v>0</v>
      </c>
      <c r="R374" s="27">
        <f t="shared" si="214"/>
        <v>0</v>
      </c>
      <c r="S374" s="27">
        <f t="shared" si="215"/>
        <v>0</v>
      </c>
      <c r="T374" s="27">
        <f t="shared" si="216"/>
        <v>0</v>
      </c>
      <c r="U374" s="27">
        <f t="shared" si="217"/>
        <v>0</v>
      </c>
      <c r="V374" s="27">
        <f t="shared" si="218"/>
        <v>0</v>
      </c>
      <c r="W374" s="27">
        <f t="shared" si="219"/>
        <v>0</v>
      </c>
      <c r="X374" s="125" t="str">
        <f t="shared" si="220"/>
        <v>ok</v>
      </c>
    </row>
    <row r="375" spans="1:24">
      <c r="A375" s="28">
        <v>874.07</v>
      </c>
      <c r="B375" s="25" t="s">
        <v>429</v>
      </c>
      <c r="C375" s="117" t="s">
        <v>576</v>
      </c>
      <c r="D375" s="117" t="s">
        <v>41</v>
      </c>
      <c r="F375" s="27">
        <v>0</v>
      </c>
      <c r="G375" s="27">
        <f t="shared" si="203"/>
        <v>0</v>
      </c>
      <c r="H375" s="27">
        <f t="shared" si="204"/>
        <v>0</v>
      </c>
      <c r="I375" s="27">
        <f t="shared" si="205"/>
        <v>0</v>
      </c>
      <c r="J375" s="27">
        <f t="shared" si="206"/>
        <v>0</v>
      </c>
      <c r="K375" s="27">
        <f t="shared" si="207"/>
        <v>0</v>
      </c>
      <c r="L375" s="27">
        <f t="shared" si="208"/>
        <v>0</v>
      </c>
      <c r="M375" s="27">
        <f t="shared" si="209"/>
        <v>0</v>
      </c>
      <c r="N375" s="27">
        <f t="shared" si="210"/>
        <v>0</v>
      </c>
      <c r="O375" s="27">
        <f t="shared" si="211"/>
        <v>0</v>
      </c>
      <c r="P375" s="27">
        <f t="shared" si="212"/>
        <v>0</v>
      </c>
      <c r="Q375" s="27">
        <f t="shared" si="213"/>
        <v>0</v>
      </c>
      <c r="R375" s="27">
        <f t="shared" si="214"/>
        <v>0</v>
      </c>
      <c r="S375" s="27">
        <f t="shared" si="215"/>
        <v>0</v>
      </c>
      <c r="T375" s="27">
        <f t="shared" si="216"/>
        <v>0</v>
      </c>
      <c r="U375" s="27">
        <f t="shared" si="217"/>
        <v>0</v>
      </c>
      <c r="V375" s="27">
        <f t="shared" si="218"/>
        <v>0</v>
      </c>
      <c r="W375" s="27">
        <f t="shared" si="219"/>
        <v>0</v>
      </c>
      <c r="X375" s="125" t="str">
        <f t="shared" si="220"/>
        <v>ok</v>
      </c>
    </row>
    <row r="376" spans="1:24">
      <c r="A376" s="28">
        <v>874.08</v>
      </c>
      <c r="B376" s="25" t="s">
        <v>430</v>
      </c>
      <c r="C376" s="117" t="s">
        <v>577</v>
      </c>
      <c r="D376" s="117" t="s">
        <v>36</v>
      </c>
      <c r="F376" s="27">
        <v>0</v>
      </c>
      <c r="G376" s="27">
        <f t="shared" si="203"/>
        <v>0</v>
      </c>
      <c r="H376" s="27">
        <f t="shared" si="204"/>
        <v>0</v>
      </c>
      <c r="I376" s="27">
        <f t="shared" si="205"/>
        <v>0</v>
      </c>
      <c r="J376" s="27">
        <f t="shared" si="206"/>
        <v>0</v>
      </c>
      <c r="K376" s="27">
        <f t="shared" si="207"/>
        <v>0</v>
      </c>
      <c r="L376" s="27">
        <f t="shared" si="208"/>
        <v>0</v>
      </c>
      <c r="M376" s="27">
        <f t="shared" si="209"/>
        <v>0</v>
      </c>
      <c r="N376" s="27">
        <f t="shared" si="210"/>
        <v>0</v>
      </c>
      <c r="O376" s="27">
        <f t="shared" si="211"/>
        <v>0</v>
      </c>
      <c r="P376" s="27">
        <f t="shared" si="212"/>
        <v>0</v>
      </c>
      <c r="Q376" s="27">
        <f t="shared" si="213"/>
        <v>0</v>
      </c>
      <c r="R376" s="27">
        <f t="shared" si="214"/>
        <v>0</v>
      </c>
      <c r="S376" s="27">
        <f t="shared" si="215"/>
        <v>0</v>
      </c>
      <c r="T376" s="27">
        <f t="shared" si="216"/>
        <v>0</v>
      </c>
      <c r="U376" s="27">
        <f t="shared" si="217"/>
        <v>0</v>
      </c>
      <c r="V376" s="27">
        <f t="shared" si="218"/>
        <v>0</v>
      </c>
      <c r="W376" s="27">
        <f t="shared" si="219"/>
        <v>0</v>
      </c>
      <c r="X376" s="125" t="str">
        <f t="shared" si="220"/>
        <v>ok</v>
      </c>
    </row>
    <row r="377" spans="1:24">
      <c r="A377" s="28">
        <v>874.09</v>
      </c>
      <c r="B377" s="25" t="s">
        <v>431</v>
      </c>
      <c r="C377" s="117" t="s">
        <v>578</v>
      </c>
      <c r="D377" s="117" t="s">
        <v>41</v>
      </c>
      <c r="F377" s="27">
        <v>0</v>
      </c>
      <c r="G377" s="27">
        <f t="shared" si="203"/>
        <v>0</v>
      </c>
      <c r="H377" s="27">
        <f t="shared" si="204"/>
        <v>0</v>
      </c>
      <c r="I377" s="27">
        <f t="shared" si="205"/>
        <v>0</v>
      </c>
      <c r="J377" s="27">
        <f t="shared" si="206"/>
        <v>0</v>
      </c>
      <c r="K377" s="27">
        <f t="shared" si="207"/>
        <v>0</v>
      </c>
      <c r="L377" s="27">
        <f t="shared" si="208"/>
        <v>0</v>
      </c>
      <c r="M377" s="27">
        <f t="shared" si="209"/>
        <v>0</v>
      </c>
      <c r="N377" s="27">
        <f t="shared" si="210"/>
        <v>0</v>
      </c>
      <c r="O377" s="27">
        <f t="shared" si="211"/>
        <v>0</v>
      </c>
      <c r="P377" s="27">
        <f t="shared" si="212"/>
        <v>0</v>
      </c>
      <c r="Q377" s="27">
        <f t="shared" si="213"/>
        <v>0</v>
      </c>
      <c r="R377" s="27">
        <f t="shared" si="214"/>
        <v>0</v>
      </c>
      <c r="S377" s="27">
        <f t="shared" si="215"/>
        <v>0</v>
      </c>
      <c r="T377" s="27">
        <f t="shared" si="216"/>
        <v>0</v>
      </c>
      <c r="U377" s="27">
        <f t="shared" si="217"/>
        <v>0</v>
      </c>
      <c r="V377" s="27">
        <f t="shared" si="218"/>
        <v>0</v>
      </c>
      <c r="W377" s="27">
        <f t="shared" si="219"/>
        <v>0</v>
      </c>
      <c r="X377" s="125" t="str">
        <f t="shared" si="220"/>
        <v>ok</v>
      </c>
    </row>
    <row r="378" spans="1:24">
      <c r="A378" s="28">
        <v>874.1</v>
      </c>
      <c r="B378" s="25" t="s">
        <v>432</v>
      </c>
      <c r="C378" s="117" t="s">
        <v>579</v>
      </c>
      <c r="D378" s="117" t="s">
        <v>41</v>
      </c>
      <c r="F378" s="27">
        <v>0</v>
      </c>
      <c r="G378" s="27">
        <f t="shared" si="203"/>
        <v>0</v>
      </c>
      <c r="H378" s="27">
        <f t="shared" si="204"/>
        <v>0</v>
      </c>
      <c r="I378" s="27">
        <f t="shared" si="205"/>
        <v>0</v>
      </c>
      <c r="J378" s="27">
        <f t="shared" si="206"/>
        <v>0</v>
      </c>
      <c r="K378" s="27">
        <f t="shared" si="207"/>
        <v>0</v>
      </c>
      <c r="L378" s="27">
        <f t="shared" si="208"/>
        <v>0</v>
      </c>
      <c r="M378" s="27">
        <f t="shared" si="209"/>
        <v>0</v>
      </c>
      <c r="N378" s="27">
        <f t="shared" si="210"/>
        <v>0</v>
      </c>
      <c r="O378" s="27">
        <f t="shared" si="211"/>
        <v>0</v>
      </c>
      <c r="P378" s="27">
        <f t="shared" si="212"/>
        <v>0</v>
      </c>
      <c r="Q378" s="27">
        <f t="shared" si="213"/>
        <v>0</v>
      </c>
      <c r="R378" s="27">
        <f t="shared" si="214"/>
        <v>0</v>
      </c>
      <c r="S378" s="27">
        <f t="shared" si="215"/>
        <v>0</v>
      </c>
      <c r="T378" s="27">
        <f t="shared" si="216"/>
        <v>0</v>
      </c>
      <c r="U378" s="27">
        <f t="shared" si="217"/>
        <v>0</v>
      </c>
      <c r="V378" s="27">
        <f t="shared" si="218"/>
        <v>0</v>
      </c>
      <c r="W378" s="27">
        <f t="shared" si="219"/>
        <v>0</v>
      </c>
      <c r="X378" s="125" t="str">
        <f t="shared" si="220"/>
        <v>ok</v>
      </c>
    </row>
    <row r="379" spans="1:24">
      <c r="A379" s="28">
        <v>875</v>
      </c>
      <c r="B379" s="25" t="s">
        <v>433</v>
      </c>
      <c r="C379" s="117" t="s">
        <v>580</v>
      </c>
      <c r="D379" s="117" t="s">
        <v>39</v>
      </c>
      <c r="F379" s="27">
        <v>907078</v>
      </c>
      <c r="G379" s="27">
        <f t="shared" si="203"/>
        <v>0</v>
      </c>
      <c r="H379" s="27">
        <f t="shared" si="204"/>
        <v>0</v>
      </c>
      <c r="I379" s="27">
        <f t="shared" si="205"/>
        <v>0</v>
      </c>
      <c r="J379" s="27">
        <f t="shared" si="206"/>
        <v>0</v>
      </c>
      <c r="K379" s="27">
        <f t="shared" si="207"/>
        <v>0</v>
      </c>
      <c r="L379" s="27">
        <f t="shared" si="208"/>
        <v>0</v>
      </c>
      <c r="M379" s="27">
        <f t="shared" si="209"/>
        <v>0</v>
      </c>
      <c r="N379" s="27">
        <f t="shared" si="210"/>
        <v>907078</v>
      </c>
      <c r="O379" s="27">
        <f t="shared" si="211"/>
        <v>0</v>
      </c>
      <c r="P379" s="27">
        <f t="shared" si="212"/>
        <v>0</v>
      </c>
      <c r="Q379" s="27">
        <f t="shared" si="213"/>
        <v>0</v>
      </c>
      <c r="R379" s="27">
        <f t="shared" si="214"/>
        <v>0</v>
      </c>
      <c r="S379" s="27">
        <f t="shared" si="215"/>
        <v>0</v>
      </c>
      <c r="T379" s="27">
        <f t="shared" si="216"/>
        <v>0</v>
      </c>
      <c r="U379" s="27">
        <f t="shared" si="217"/>
        <v>0</v>
      </c>
      <c r="V379" s="27">
        <f t="shared" si="218"/>
        <v>0</v>
      </c>
      <c r="W379" s="27">
        <f t="shared" si="219"/>
        <v>907078</v>
      </c>
      <c r="X379" s="125" t="str">
        <f t="shared" si="220"/>
        <v>ok</v>
      </c>
    </row>
    <row r="380" spans="1:24">
      <c r="A380" s="28">
        <v>876</v>
      </c>
      <c r="B380" s="25" t="s">
        <v>434</v>
      </c>
      <c r="C380" s="117" t="s">
        <v>581</v>
      </c>
      <c r="D380" s="117" t="s">
        <v>46</v>
      </c>
      <c r="F380" s="27">
        <v>534486</v>
      </c>
      <c r="G380" s="27">
        <f t="shared" si="203"/>
        <v>0</v>
      </c>
      <c r="H380" s="27">
        <f t="shared" si="204"/>
        <v>0</v>
      </c>
      <c r="I380" s="27">
        <f t="shared" si="205"/>
        <v>0</v>
      </c>
      <c r="J380" s="27">
        <f t="shared" si="206"/>
        <v>0</v>
      </c>
      <c r="K380" s="27">
        <f t="shared" si="207"/>
        <v>0</v>
      </c>
      <c r="L380" s="27">
        <f t="shared" si="208"/>
        <v>0</v>
      </c>
      <c r="M380" s="27">
        <f t="shared" si="209"/>
        <v>0</v>
      </c>
      <c r="N380" s="27">
        <f t="shared" si="210"/>
        <v>0</v>
      </c>
      <c r="O380" s="27">
        <f t="shared" si="211"/>
        <v>0</v>
      </c>
      <c r="P380" s="27">
        <f t="shared" si="212"/>
        <v>0</v>
      </c>
      <c r="Q380" s="27">
        <f t="shared" si="213"/>
        <v>0</v>
      </c>
      <c r="R380" s="27">
        <f t="shared" si="214"/>
        <v>0</v>
      </c>
      <c r="S380" s="27">
        <f t="shared" si="215"/>
        <v>0</v>
      </c>
      <c r="T380" s="27">
        <f t="shared" si="216"/>
        <v>534486</v>
      </c>
      <c r="U380" s="27">
        <f t="shared" si="217"/>
        <v>0</v>
      </c>
      <c r="V380" s="27">
        <f t="shared" si="218"/>
        <v>0</v>
      </c>
      <c r="W380" s="27">
        <f t="shared" si="219"/>
        <v>534486</v>
      </c>
      <c r="X380" s="125" t="str">
        <f t="shared" si="220"/>
        <v>ok</v>
      </c>
    </row>
    <row r="381" spans="1:24">
      <c r="A381" s="28">
        <v>877</v>
      </c>
      <c r="B381" s="25" t="s">
        <v>435</v>
      </c>
      <c r="C381" s="117" t="s">
        <v>582</v>
      </c>
      <c r="D381" s="117" t="s">
        <v>39</v>
      </c>
      <c r="F381" s="27">
        <v>542463</v>
      </c>
      <c r="G381" s="27">
        <f t="shared" si="203"/>
        <v>0</v>
      </c>
      <c r="H381" s="27">
        <f t="shared" si="204"/>
        <v>0</v>
      </c>
      <c r="I381" s="27">
        <f t="shared" si="205"/>
        <v>0</v>
      </c>
      <c r="J381" s="27">
        <f t="shared" si="206"/>
        <v>0</v>
      </c>
      <c r="K381" s="27">
        <f t="shared" si="207"/>
        <v>0</v>
      </c>
      <c r="L381" s="27">
        <f t="shared" si="208"/>
        <v>0</v>
      </c>
      <c r="M381" s="27">
        <f t="shared" si="209"/>
        <v>0</v>
      </c>
      <c r="N381" s="27">
        <f t="shared" si="210"/>
        <v>542463</v>
      </c>
      <c r="O381" s="27">
        <f t="shared" si="211"/>
        <v>0</v>
      </c>
      <c r="P381" s="27">
        <f t="shared" si="212"/>
        <v>0</v>
      </c>
      <c r="Q381" s="27">
        <f t="shared" si="213"/>
        <v>0</v>
      </c>
      <c r="R381" s="27">
        <f t="shared" si="214"/>
        <v>0</v>
      </c>
      <c r="S381" s="27">
        <f t="shared" si="215"/>
        <v>0</v>
      </c>
      <c r="T381" s="27">
        <f t="shared" si="216"/>
        <v>0</v>
      </c>
      <c r="U381" s="27">
        <f t="shared" si="217"/>
        <v>0</v>
      </c>
      <c r="V381" s="27">
        <f t="shared" si="218"/>
        <v>0</v>
      </c>
      <c r="W381" s="27">
        <f t="shared" si="219"/>
        <v>542463</v>
      </c>
      <c r="X381" s="125" t="str">
        <f t="shared" si="220"/>
        <v>ok</v>
      </c>
    </row>
    <row r="382" spans="1:24">
      <c r="A382" s="28">
        <v>878</v>
      </c>
      <c r="B382" s="25" t="s">
        <v>436</v>
      </c>
      <c r="C382" s="117" t="s">
        <v>583</v>
      </c>
      <c r="D382" s="117" t="s">
        <v>46</v>
      </c>
      <c r="F382" s="27">
        <v>1198171</v>
      </c>
      <c r="G382" s="27">
        <f t="shared" si="203"/>
        <v>0</v>
      </c>
      <c r="H382" s="27">
        <f t="shared" si="204"/>
        <v>0</v>
      </c>
      <c r="I382" s="27">
        <f t="shared" si="205"/>
        <v>0</v>
      </c>
      <c r="J382" s="27">
        <f t="shared" si="206"/>
        <v>0</v>
      </c>
      <c r="K382" s="27">
        <f t="shared" si="207"/>
        <v>0</v>
      </c>
      <c r="L382" s="27">
        <f t="shared" si="208"/>
        <v>0</v>
      </c>
      <c r="M382" s="27">
        <f t="shared" si="209"/>
        <v>0</v>
      </c>
      <c r="N382" s="27">
        <f t="shared" si="210"/>
        <v>0</v>
      </c>
      <c r="O382" s="27">
        <f t="shared" si="211"/>
        <v>0</v>
      </c>
      <c r="P382" s="27">
        <f t="shared" si="212"/>
        <v>0</v>
      </c>
      <c r="Q382" s="27">
        <f t="shared" si="213"/>
        <v>0</v>
      </c>
      <c r="R382" s="27">
        <f t="shared" si="214"/>
        <v>0</v>
      </c>
      <c r="S382" s="27">
        <f t="shared" si="215"/>
        <v>0</v>
      </c>
      <c r="T382" s="27">
        <f t="shared" si="216"/>
        <v>1198171</v>
      </c>
      <c r="U382" s="27">
        <f t="shared" si="217"/>
        <v>0</v>
      </c>
      <c r="V382" s="27">
        <f t="shared" si="218"/>
        <v>0</v>
      </c>
      <c r="W382" s="27">
        <f t="shared" si="219"/>
        <v>1198171</v>
      </c>
      <c r="X382" s="125" t="str">
        <f t="shared" si="220"/>
        <v>ok</v>
      </c>
    </row>
    <row r="383" spans="1:24">
      <c r="A383" s="28">
        <v>879</v>
      </c>
      <c r="B383" s="25" t="s">
        <v>437</v>
      </c>
      <c r="C383" s="117" t="s">
        <v>584</v>
      </c>
      <c r="D383" s="117" t="s">
        <v>46</v>
      </c>
      <c r="F383" s="27">
        <v>119000</v>
      </c>
      <c r="G383" s="27">
        <f t="shared" si="203"/>
        <v>0</v>
      </c>
      <c r="H383" s="27">
        <f t="shared" si="204"/>
        <v>0</v>
      </c>
      <c r="I383" s="27">
        <f t="shared" si="205"/>
        <v>0</v>
      </c>
      <c r="J383" s="27">
        <f t="shared" si="206"/>
        <v>0</v>
      </c>
      <c r="K383" s="27">
        <f t="shared" si="207"/>
        <v>0</v>
      </c>
      <c r="L383" s="27">
        <f t="shared" si="208"/>
        <v>0</v>
      </c>
      <c r="M383" s="27">
        <f t="shared" si="209"/>
        <v>0</v>
      </c>
      <c r="N383" s="27">
        <f t="shared" si="210"/>
        <v>0</v>
      </c>
      <c r="O383" s="27">
        <f t="shared" si="211"/>
        <v>0</v>
      </c>
      <c r="P383" s="27">
        <f t="shared" si="212"/>
        <v>0</v>
      </c>
      <c r="Q383" s="27">
        <f t="shared" si="213"/>
        <v>0</v>
      </c>
      <c r="R383" s="27">
        <f t="shared" si="214"/>
        <v>0</v>
      </c>
      <c r="S383" s="27">
        <f t="shared" si="215"/>
        <v>0</v>
      </c>
      <c r="T383" s="27">
        <f t="shared" si="216"/>
        <v>119000</v>
      </c>
      <c r="U383" s="27">
        <f t="shared" si="217"/>
        <v>0</v>
      </c>
      <c r="V383" s="27">
        <f t="shared" si="218"/>
        <v>0</v>
      </c>
      <c r="W383" s="27">
        <f t="shared" si="219"/>
        <v>119000</v>
      </c>
      <c r="X383" s="125" t="str">
        <f t="shared" si="220"/>
        <v>ok</v>
      </c>
    </row>
    <row r="384" spans="1:24">
      <c r="A384" s="28">
        <v>880</v>
      </c>
      <c r="B384" s="25" t="s">
        <v>106</v>
      </c>
      <c r="C384" s="117" t="s">
        <v>126</v>
      </c>
      <c r="D384" s="117" t="s">
        <v>202</v>
      </c>
      <c r="F384" s="27">
        <v>2144071.9999999981</v>
      </c>
      <c r="G384" s="27">
        <f t="shared" si="203"/>
        <v>0</v>
      </c>
      <c r="H384" s="27">
        <f t="shared" si="204"/>
        <v>0</v>
      </c>
      <c r="I384" s="27">
        <f t="shared" si="205"/>
        <v>0</v>
      </c>
      <c r="J384" s="27">
        <f t="shared" si="206"/>
        <v>0</v>
      </c>
      <c r="K384" s="27">
        <f t="shared" si="207"/>
        <v>0</v>
      </c>
      <c r="L384" s="27">
        <f t="shared" si="208"/>
        <v>0</v>
      </c>
      <c r="M384" s="27">
        <f t="shared" si="209"/>
        <v>0</v>
      </c>
      <c r="N384" s="27">
        <f t="shared" si="210"/>
        <v>84733.977865191846</v>
      </c>
      <c r="O384" s="27">
        <f t="shared" si="211"/>
        <v>384889.91926012887</v>
      </c>
      <c r="P384" s="27">
        <f t="shared" si="212"/>
        <v>644276.1338337108</v>
      </c>
      <c r="Q384" s="27">
        <f t="shared" si="213"/>
        <v>56008.521662911182</v>
      </c>
      <c r="R384" s="27">
        <f t="shared" si="214"/>
        <v>40364.026659951698</v>
      </c>
      <c r="S384" s="27">
        <f t="shared" si="215"/>
        <v>678752.91105178732</v>
      </c>
      <c r="T384" s="27">
        <f t="shared" si="216"/>
        <v>255046.50966631604</v>
      </c>
      <c r="U384" s="27">
        <f t="shared" si="217"/>
        <v>0</v>
      </c>
      <c r="V384" s="27">
        <f t="shared" si="218"/>
        <v>0</v>
      </c>
      <c r="W384" s="27">
        <f t="shared" si="219"/>
        <v>2144071.9999999981</v>
      </c>
      <c r="X384" s="125" t="str">
        <f t="shared" si="220"/>
        <v>ok</v>
      </c>
    </row>
    <row r="385" spans="1:24">
      <c r="A385" s="28">
        <v>881</v>
      </c>
      <c r="B385" s="25" t="s">
        <v>109</v>
      </c>
      <c r="C385" s="117" t="s">
        <v>127</v>
      </c>
      <c r="D385" s="117" t="s">
        <v>202</v>
      </c>
      <c r="F385" s="27">
        <v>0</v>
      </c>
      <c r="G385" s="27">
        <f t="shared" si="203"/>
        <v>0</v>
      </c>
      <c r="H385" s="27">
        <f t="shared" si="204"/>
        <v>0</v>
      </c>
      <c r="I385" s="27">
        <f t="shared" si="205"/>
        <v>0</v>
      </c>
      <c r="J385" s="27">
        <f t="shared" si="206"/>
        <v>0</v>
      </c>
      <c r="K385" s="27">
        <f t="shared" si="207"/>
        <v>0</v>
      </c>
      <c r="L385" s="27">
        <f t="shared" si="208"/>
        <v>0</v>
      </c>
      <c r="M385" s="27">
        <f t="shared" si="209"/>
        <v>0</v>
      </c>
      <c r="N385" s="27">
        <f t="shared" si="210"/>
        <v>0</v>
      </c>
      <c r="O385" s="27">
        <f t="shared" si="211"/>
        <v>0</v>
      </c>
      <c r="P385" s="27">
        <f t="shared" si="212"/>
        <v>0</v>
      </c>
      <c r="Q385" s="27">
        <f t="shared" si="213"/>
        <v>0</v>
      </c>
      <c r="R385" s="27">
        <f t="shared" si="214"/>
        <v>0</v>
      </c>
      <c r="S385" s="27">
        <f t="shared" si="215"/>
        <v>0</v>
      </c>
      <c r="T385" s="27">
        <f t="shared" si="216"/>
        <v>0</v>
      </c>
      <c r="U385" s="27">
        <f t="shared" si="217"/>
        <v>0</v>
      </c>
      <c r="V385" s="27">
        <f t="shared" si="218"/>
        <v>0</v>
      </c>
      <c r="W385" s="27">
        <f t="shared" si="219"/>
        <v>0</v>
      </c>
      <c r="X385" s="125" t="str">
        <f t="shared" si="220"/>
        <v>ok</v>
      </c>
    </row>
    <row r="386" spans="1:24">
      <c r="A386" s="28"/>
      <c r="F386" s="27"/>
    </row>
    <row r="387" spans="1:24">
      <c r="A387" s="28" t="s">
        <v>481</v>
      </c>
      <c r="C387" s="117" t="s">
        <v>585</v>
      </c>
      <c r="F387" s="32">
        <f>+SUM(F365:F385)</f>
        <v>9042347.9999999981</v>
      </c>
      <c r="G387" s="27">
        <f t="shared" ref="G387:W387" si="221">+SUM(G365:G385)</f>
        <v>0</v>
      </c>
      <c r="H387" s="27">
        <f t="shared" si="221"/>
        <v>0</v>
      </c>
      <c r="I387" s="27">
        <f t="shared" si="221"/>
        <v>0</v>
      </c>
      <c r="J387" s="27">
        <f t="shared" si="221"/>
        <v>0</v>
      </c>
      <c r="K387" s="27">
        <f t="shared" si="221"/>
        <v>0</v>
      </c>
      <c r="L387" s="27">
        <f t="shared" si="221"/>
        <v>0</v>
      </c>
      <c r="M387" s="27">
        <f t="shared" si="221"/>
        <v>47730.333104058169</v>
      </c>
      <c r="N387" s="27">
        <f t="shared" si="221"/>
        <v>1656801.5415223099</v>
      </c>
      <c r="O387" s="27">
        <f t="shared" si="221"/>
        <v>1083901.6376901674</v>
      </c>
      <c r="P387" s="27">
        <f t="shared" si="221"/>
        <v>1814368.0092465065</v>
      </c>
      <c r="Q387" s="27">
        <f>+SUM(Q365:Q385)</f>
        <v>157727.50939212096</v>
      </c>
      <c r="R387" s="27">
        <f>+SUM(R365:R385)</f>
        <v>113670.51307707085</v>
      </c>
      <c r="S387" s="27">
        <f t="shared" si="221"/>
        <v>1911459.238242026</v>
      </c>
      <c r="T387" s="27">
        <f t="shared" si="221"/>
        <v>2256689.2177257375</v>
      </c>
      <c r="U387" s="27">
        <f t="shared" si="221"/>
        <v>0</v>
      </c>
      <c r="V387" s="27">
        <f t="shared" si="221"/>
        <v>0</v>
      </c>
      <c r="W387" s="27">
        <f t="shared" si="221"/>
        <v>9042347.9999999981</v>
      </c>
      <c r="X387" s="125" t="str">
        <f t="shared" si="220"/>
        <v>ok</v>
      </c>
    </row>
    <row r="388" spans="1:24">
      <c r="A388" s="28"/>
      <c r="F388" s="27"/>
    </row>
    <row r="389" spans="1:24">
      <c r="A389" s="28" t="s">
        <v>187</v>
      </c>
      <c r="C389" s="117" t="s">
        <v>586</v>
      </c>
      <c r="F389" s="32">
        <f>+F361+F387</f>
        <v>11831640.999999998</v>
      </c>
      <c r="G389" s="32">
        <f t="shared" ref="G389:V389" si="222">+G361+G387</f>
        <v>0</v>
      </c>
      <c r="H389" s="32">
        <f t="shared" si="222"/>
        <v>0</v>
      </c>
      <c r="I389" s="32">
        <f t="shared" si="222"/>
        <v>0</v>
      </c>
      <c r="J389" s="32">
        <f t="shared" si="222"/>
        <v>0</v>
      </c>
      <c r="K389" s="32">
        <f t="shared" si="222"/>
        <v>2789293</v>
      </c>
      <c r="L389" s="32">
        <f t="shared" si="222"/>
        <v>0</v>
      </c>
      <c r="M389" s="32">
        <f t="shared" si="222"/>
        <v>47730.333104058169</v>
      </c>
      <c r="N389" s="32">
        <f t="shared" si="222"/>
        <v>1656801.5415223099</v>
      </c>
      <c r="O389" s="32">
        <f t="shared" si="222"/>
        <v>1083901.6376901674</v>
      </c>
      <c r="P389" s="32">
        <f t="shared" si="222"/>
        <v>1814368.0092465065</v>
      </c>
      <c r="Q389" s="32">
        <f>+Q361+Q387</f>
        <v>157727.50939212096</v>
      </c>
      <c r="R389" s="32">
        <f>+R361+R387</f>
        <v>113670.51307707085</v>
      </c>
      <c r="S389" s="32">
        <f t="shared" si="222"/>
        <v>1911459.238242026</v>
      </c>
      <c r="T389" s="32">
        <f t="shared" si="222"/>
        <v>2256689.2177257375</v>
      </c>
      <c r="U389" s="32">
        <f t="shared" si="222"/>
        <v>0</v>
      </c>
      <c r="V389" s="32">
        <f t="shared" si="222"/>
        <v>0</v>
      </c>
      <c r="W389" s="27">
        <f>SUM(G389:V389)</f>
        <v>11831640.999999998</v>
      </c>
      <c r="X389" s="125" t="str">
        <f>IF(ABS(W389-F389)&lt;1,"ok","err")</f>
        <v>ok</v>
      </c>
    </row>
    <row r="390" spans="1:24">
      <c r="A390" s="28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27"/>
      <c r="X390" s="125"/>
    </row>
    <row r="391" spans="1:24">
      <c r="A391" s="28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27"/>
      <c r="X391" s="125"/>
    </row>
    <row r="392" spans="1:24">
      <c r="A392" s="28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27"/>
      <c r="X392" s="125"/>
    </row>
    <row r="393" spans="1:24">
      <c r="A393" s="28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27"/>
      <c r="X393" s="125"/>
    </row>
    <row r="394" spans="1:24">
      <c r="A394" s="28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27"/>
      <c r="X394" s="125"/>
    </row>
    <row r="395" spans="1:24">
      <c r="A395" s="28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27"/>
      <c r="X395" s="125"/>
    </row>
    <row r="396" spans="1:24">
      <c r="A396" s="28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27"/>
      <c r="X396" s="125"/>
    </row>
    <row r="397" spans="1:24">
      <c r="A397" s="28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27"/>
      <c r="X397" s="125"/>
    </row>
    <row r="398" spans="1:24">
      <c r="A398" s="28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27"/>
      <c r="X398" s="125"/>
    </row>
    <row r="399" spans="1:24">
      <c r="A399" s="28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27"/>
      <c r="X399" s="125"/>
    </row>
    <row r="400" spans="1:24">
      <c r="A400" s="30" t="s">
        <v>473</v>
      </c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27"/>
      <c r="X400" s="125"/>
    </row>
    <row r="401" spans="1:24">
      <c r="A401" s="30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27"/>
      <c r="X401" s="125"/>
    </row>
    <row r="402" spans="1:24">
      <c r="A402" s="30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27"/>
      <c r="X402" s="125"/>
    </row>
    <row r="403" spans="1:24">
      <c r="A403" s="120" t="s">
        <v>711</v>
      </c>
      <c r="F403" s="33"/>
      <c r="G403" s="25"/>
      <c r="H403" s="25"/>
      <c r="I403" s="25"/>
      <c r="J403" s="25"/>
      <c r="K403" s="25"/>
      <c r="L403" s="25"/>
      <c r="M403" s="25"/>
      <c r="N403" s="25"/>
    </row>
    <row r="404" spans="1:24">
      <c r="A404" s="28"/>
      <c r="F404" s="33"/>
      <c r="G404" s="25"/>
      <c r="H404" s="25"/>
      <c r="I404" s="25"/>
      <c r="J404" s="25"/>
      <c r="K404" s="25"/>
      <c r="L404" s="25"/>
      <c r="M404" s="25"/>
      <c r="N404" s="25"/>
    </row>
    <row r="405" spans="1:24">
      <c r="A405" s="28">
        <v>885</v>
      </c>
      <c r="B405" s="25" t="s">
        <v>448</v>
      </c>
      <c r="C405" s="117" t="s">
        <v>128</v>
      </c>
      <c r="D405" s="117" t="s">
        <v>648</v>
      </c>
      <c r="F405" s="27">
        <v>0</v>
      </c>
      <c r="G405" s="27">
        <f t="shared" ref="G405:G414" si="223">(VLOOKUP($D405,$C$6:$AJ$992,5,)/VLOOKUP($D405,$C$6:$AJ$992,4,))*$F405</f>
        <v>0</v>
      </c>
      <c r="H405" s="27">
        <f t="shared" ref="H405:H414" si="224">(VLOOKUP($D405,$C$6:$AJ$992,6,)/VLOOKUP($D405,$C$6:$AJ$992,4,))*$F405</f>
        <v>0</v>
      </c>
      <c r="I405" s="27">
        <f t="shared" ref="I405:I414" si="225">(VLOOKUP($D405,$C$6:$AJ$992,7,)/VLOOKUP($D405,$C$6:$AJ$992,4,))*$F405</f>
        <v>0</v>
      </c>
      <c r="J405" s="27">
        <f t="shared" ref="J405:J414" si="226">(VLOOKUP($D405,$C$6:$AJ$992,8,)/VLOOKUP($D405,$C$6:$AJ$992,4,))*$F405</f>
        <v>0</v>
      </c>
      <c r="K405" s="27">
        <f t="shared" ref="K405:K414" si="227">(VLOOKUP($D405,$C$6:$AJ$992,9,)/VLOOKUP($D405,$C$6:$AJ$992,4,))*$F405</f>
        <v>0</v>
      </c>
      <c r="L405" s="27">
        <f t="shared" ref="L405:L414" si="228">(VLOOKUP($D405,$C$6:$AJ$992,10,)/VLOOKUP($D405,$C$6:$AJ$992,4,))*$F405</f>
        <v>0</v>
      </c>
      <c r="M405" s="27">
        <f t="shared" ref="M405:M414" si="229">(VLOOKUP($D405,$C$6:$AJ$992,11,)/VLOOKUP($D405,$C$6:$AJ$992,4,))*$F405</f>
        <v>0</v>
      </c>
      <c r="N405" s="27">
        <f t="shared" ref="N405:N414" si="230">(VLOOKUP($D405,$C$6:$AJ$992,12,)/VLOOKUP($D405,$C$6:$AJ$992,4,))*$F405</f>
        <v>0</v>
      </c>
      <c r="O405" s="27">
        <f t="shared" ref="O405:O414" si="231">(VLOOKUP($D405,$C$6:$AJ$992,13,)/VLOOKUP($D405,$C$6:$AJ$992,4,))*$F405</f>
        <v>0</v>
      </c>
      <c r="P405" s="27">
        <f t="shared" ref="P405:P414" si="232">(VLOOKUP($D405,$C$6:$AJ$992,14,)/VLOOKUP($D405,$C$6:$AJ$992,4,))*$F405</f>
        <v>0</v>
      </c>
      <c r="Q405" s="27">
        <f t="shared" ref="Q405:Q414" si="233">(VLOOKUP($D405,$C$6:$AJ$992,15,)/VLOOKUP($D405,$C$6:$AJ$992,4,))*$F405</f>
        <v>0</v>
      </c>
      <c r="R405" s="27">
        <f t="shared" ref="R405:R414" si="234">(VLOOKUP($D405,$C$6:$AJ$992,16,)/VLOOKUP($D405,$C$6:$AJ$992,4,))*$F405</f>
        <v>0</v>
      </c>
      <c r="S405" s="27">
        <f t="shared" ref="S405:S414" si="235">(VLOOKUP($D405,$C$6:$AJ$992,17,)/VLOOKUP($D405,$C$6:$AJ$992,4,))*$F405</f>
        <v>0</v>
      </c>
      <c r="T405" s="27">
        <f t="shared" ref="T405:T414" si="236">(VLOOKUP($D405,$C$6:$AJ$992,18,)/VLOOKUP($D405,$C$6:$AJ$992,4,))*$F405</f>
        <v>0</v>
      </c>
      <c r="U405" s="27">
        <f t="shared" ref="U405:U414" si="237">(VLOOKUP($D405,$C$6:$AJ$992,19,)/VLOOKUP($D405,$C$6:$AJ$992,4,))*$F405</f>
        <v>0</v>
      </c>
      <c r="V405" s="27">
        <f t="shared" ref="V405:V414" si="238">(VLOOKUP($D405,$C$6:$AJ$992,20,)/VLOOKUP($D405,$C$6:$AJ$992,4,))*$F405</f>
        <v>0</v>
      </c>
      <c r="W405" s="27">
        <f>SUM(G405:V405)</f>
        <v>0</v>
      </c>
      <c r="X405" s="125" t="str">
        <f>IF(ABS(W405-F405)&lt;1,"ok","err")</f>
        <v>ok</v>
      </c>
    </row>
    <row r="406" spans="1:24">
      <c r="A406" s="28">
        <v>886</v>
      </c>
      <c r="B406" s="25" t="s">
        <v>449</v>
      </c>
      <c r="C406" s="117" t="s">
        <v>129</v>
      </c>
      <c r="D406" s="117" t="s">
        <v>39</v>
      </c>
      <c r="F406" s="27">
        <v>64081.999999999993</v>
      </c>
      <c r="G406" s="27">
        <f t="shared" si="223"/>
        <v>0</v>
      </c>
      <c r="H406" s="27">
        <f t="shared" si="224"/>
        <v>0</v>
      </c>
      <c r="I406" s="27">
        <f t="shared" si="225"/>
        <v>0</v>
      </c>
      <c r="J406" s="27">
        <f t="shared" si="226"/>
        <v>0</v>
      </c>
      <c r="K406" s="27">
        <f t="shared" si="227"/>
        <v>0</v>
      </c>
      <c r="L406" s="27">
        <f t="shared" si="228"/>
        <v>0</v>
      </c>
      <c r="M406" s="27">
        <f t="shared" si="229"/>
        <v>0</v>
      </c>
      <c r="N406" s="27">
        <f t="shared" si="230"/>
        <v>64081.999999999993</v>
      </c>
      <c r="O406" s="27">
        <f t="shared" si="231"/>
        <v>0</v>
      </c>
      <c r="P406" s="27">
        <f t="shared" si="232"/>
        <v>0</v>
      </c>
      <c r="Q406" s="27">
        <f t="shared" si="233"/>
        <v>0</v>
      </c>
      <c r="R406" s="27">
        <f t="shared" si="234"/>
        <v>0</v>
      </c>
      <c r="S406" s="27">
        <f t="shared" si="235"/>
        <v>0</v>
      </c>
      <c r="T406" s="27">
        <f t="shared" si="236"/>
        <v>0</v>
      </c>
      <c r="U406" s="27">
        <f t="shared" si="237"/>
        <v>0</v>
      </c>
      <c r="V406" s="27">
        <f t="shared" si="238"/>
        <v>0</v>
      </c>
      <c r="W406" s="27">
        <f t="shared" ref="W406:W414" si="239">SUM(G406:V406)</f>
        <v>64081.999999999993</v>
      </c>
      <c r="X406" s="125" t="str">
        <f t="shared" ref="X406:X414" si="240">IF(ABS(W406-F406)&lt;1,"ok","err")</f>
        <v>ok</v>
      </c>
    </row>
    <row r="407" spans="1:24">
      <c r="A407" s="28">
        <v>887</v>
      </c>
      <c r="B407" s="25" t="s">
        <v>450</v>
      </c>
      <c r="C407" s="117" t="s">
        <v>130</v>
      </c>
      <c r="D407" s="117" t="s">
        <v>41</v>
      </c>
      <c r="F407" s="27">
        <v>10958818</v>
      </c>
      <c r="G407" s="27">
        <f t="shared" si="223"/>
        <v>0</v>
      </c>
      <c r="H407" s="27">
        <f t="shared" si="224"/>
        <v>0</v>
      </c>
      <c r="I407" s="27">
        <f t="shared" si="225"/>
        <v>0</v>
      </c>
      <c r="J407" s="27">
        <f t="shared" si="226"/>
        <v>0</v>
      </c>
      <c r="K407" s="27">
        <f t="shared" si="227"/>
        <v>0</v>
      </c>
      <c r="L407" s="27">
        <f t="shared" si="228"/>
        <v>0</v>
      </c>
      <c r="M407" s="27">
        <f t="shared" si="229"/>
        <v>0</v>
      </c>
      <c r="N407" s="27">
        <f t="shared" si="230"/>
        <v>0</v>
      </c>
      <c r="O407" s="27">
        <f t="shared" si="231"/>
        <v>3747484.5997261903</v>
      </c>
      <c r="P407" s="27">
        <f t="shared" si="232"/>
        <v>6273001.1067948285</v>
      </c>
      <c r="Q407" s="27">
        <f t="shared" si="233"/>
        <v>545327.53881593584</v>
      </c>
      <c r="R407" s="27">
        <f t="shared" si="234"/>
        <v>393004.7546630454</v>
      </c>
      <c r="S407" s="27">
        <f t="shared" si="235"/>
        <v>0</v>
      </c>
      <c r="T407" s="27">
        <f t="shared" si="236"/>
        <v>0</v>
      </c>
      <c r="U407" s="27">
        <f t="shared" si="237"/>
        <v>0</v>
      </c>
      <c r="V407" s="27">
        <f t="shared" si="238"/>
        <v>0</v>
      </c>
      <c r="W407" s="27">
        <f t="shared" si="239"/>
        <v>10958818</v>
      </c>
      <c r="X407" s="125" t="str">
        <f t="shared" si="240"/>
        <v>ok</v>
      </c>
    </row>
    <row r="408" spans="1:24">
      <c r="A408" s="28">
        <v>888</v>
      </c>
      <c r="B408" s="25" t="s">
        <v>451</v>
      </c>
      <c r="C408" s="117" t="s">
        <v>131</v>
      </c>
      <c r="D408" s="117" t="s">
        <v>36</v>
      </c>
      <c r="F408" s="27">
        <v>0</v>
      </c>
      <c r="G408" s="27">
        <f t="shared" si="223"/>
        <v>0</v>
      </c>
      <c r="H408" s="27">
        <f t="shared" si="224"/>
        <v>0</v>
      </c>
      <c r="I408" s="27">
        <f t="shared" si="225"/>
        <v>0</v>
      </c>
      <c r="J408" s="27">
        <f t="shared" si="226"/>
        <v>0</v>
      </c>
      <c r="K408" s="27">
        <f t="shared" si="227"/>
        <v>0</v>
      </c>
      <c r="L408" s="27">
        <f t="shared" si="228"/>
        <v>0</v>
      </c>
      <c r="M408" s="27">
        <f t="shared" si="229"/>
        <v>0</v>
      </c>
      <c r="N408" s="27">
        <f t="shared" si="230"/>
        <v>0</v>
      </c>
      <c r="O408" s="27">
        <f t="shared" si="231"/>
        <v>0</v>
      </c>
      <c r="P408" s="27">
        <f t="shared" si="232"/>
        <v>0</v>
      </c>
      <c r="Q408" s="27">
        <f t="shared" si="233"/>
        <v>0</v>
      </c>
      <c r="R408" s="27">
        <f t="shared" si="234"/>
        <v>0</v>
      </c>
      <c r="S408" s="27">
        <f t="shared" si="235"/>
        <v>0</v>
      </c>
      <c r="T408" s="27">
        <f t="shared" si="236"/>
        <v>0</v>
      </c>
      <c r="U408" s="27">
        <f t="shared" si="237"/>
        <v>0</v>
      </c>
      <c r="V408" s="27">
        <f t="shared" si="238"/>
        <v>0</v>
      </c>
      <c r="W408" s="27">
        <f t="shared" si="239"/>
        <v>0</v>
      </c>
      <c r="X408" s="125" t="str">
        <f t="shared" si="240"/>
        <v>ok</v>
      </c>
    </row>
    <row r="409" spans="1:24">
      <c r="A409" s="28">
        <v>889</v>
      </c>
      <c r="B409" s="25" t="s">
        <v>452</v>
      </c>
      <c r="C409" s="117" t="s">
        <v>132</v>
      </c>
      <c r="D409" s="117" t="s">
        <v>39</v>
      </c>
      <c r="F409" s="27">
        <v>289789</v>
      </c>
      <c r="G409" s="27">
        <f t="shared" si="223"/>
        <v>0</v>
      </c>
      <c r="H409" s="27">
        <f t="shared" si="224"/>
        <v>0</v>
      </c>
      <c r="I409" s="27">
        <f t="shared" si="225"/>
        <v>0</v>
      </c>
      <c r="J409" s="27">
        <f t="shared" si="226"/>
        <v>0</v>
      </c>
      <c r="K409" s="27">
        <f t="shared" si="227"/>
        <v>0</v>
      </c>
      <c r="L409" s="27">
        <f t="shared" si="228"/>
        <v>0</v>
      </c>
      <c r="M409" s="27">
        <f t="shared" si="229"/>
        <v>0</v>
      </c>
      <c r="N409" s="27">
        <f t="shared" si="230"/>
        <v>289789</v>
      </c>
      <c r="O409" s="27">
        <f t="shared" si="231"/>
        <v>0</v>
      </c>
      <c r="P409" s="27">
        <f t="shared" si="232"/>
        <v>0</v>
      </c>
      <c r="Q409" s="27">
        <f t="shared" si="233"/>
        <v>0</v>
      </c>
      <c r="R409" s="27">
        <f t="shared" si="234"/>
        <v>0</v>
      </c>
      <c r="S409" s="27">
        <f t="shared" si="235"/>
        <v>0</v>
      </c>
      <c r="T409" s="27">
        <f t="shared" si="236"/>
        <v>0</v>
      </c>
      <c r="U409" s="27">
        <f t="shared" si="237"/>
        <v>0</v>
      </c>
      <c r="V409" s="27">
        <f t="shared" si="238"/>
        <v>0</v>
      </c>
      <c r="W409" s="27">
        <f t="shared" si="239"/>
        <v>289789</v>
      </c>
      <c r="X409" s="125" t="str">
        <f t="shared" si="240"/>
        <v>ok</v>
      </c>
    </row>
    <row r="410" spans="1:24">
      <c r="A410" s="28">
        <v>890</v>
      </c>
      <c r="B410" s="25" t="s">
        <v>453</v>
      </c>
      <c r="C410" s="117" t="s">
        <v>133</v>
      </c>
      <c r="D410" s="117" t="s">
        <v>46</v>
      </c>
      <c r="F410" s="27">
        <v>205754</v>
      </c>
      <c r="G410" s="27">
        <f t="shared" si="223"/>
        <v>0</v>
      </c>
      <c r="H410" s="27">
        <f t="shared" si="224"/>
        <v>0</v>
      </c>
      <c r="I410" s="27">
        <f t="shared" si="225"/>
        <v>0</v>
      </c>
      <c r="J410" s="27">
        <f t="shared" si="226"/>
        <v>0</v>
      </c>
      <c r="K410" s="27">
        <f t="shared" si="227"/>
        <v>0</v>
      </c>
      <c r="L410" s="27">
        <f t="shared" si="228"/>
        <v>0</v>
      </c>
      <c r="M410" s="27">
        <f t="shared" si="229"/>
        <v>0</v>
      </c>
      <c r="N410" s="27">
        <f t="shared" si="230"/>
        <v>0</v>
      </c>
      <c r="O410" s="27">
        <f t="shared" si="231"/>
        <v>0</v>
      </c>
      <c r="P410" s="27">
        <f t="shared" si="232"/>
        <v>0</v>
      </c>
      <c r="Q410" s="27">
        <f t="shared" si="233"/>
        <v>0</v>
      </c>
      <c r="R410" s="27">
        <f t="shared" si="234"/>
        <v>0</v>
      </c>
      <c r="S410" s="27">
        <f t="shared" si="235"/>
        <v>0</v>
      </c>
      <c r="T410" s="27">
        <f t="shared" si="236"/>
        <v>205754</v>
      </c>
      <c r="U410" s="27">
        <f t="shared" si="237"/>
        <v>0</v>
      </c>
      <c r="V410" s="27">
        <f t="shared" si="238"/>
        <v>0</v>
      </c>
      <c r="W410" s="27">
        <f t="shared" si="239"/>
        <v>205754</v>
      </c>
      <c r="X410" s="125" t="str">
        <f t="shared" si="240"/>
        <v>ok</v>
      </c>
    </row>
    <row r="411" spans="1:24">
      <c r="A411" s="28">
        <v>891</v>
      </c>
      <c r="B411" s="25" t="s">
        <v>454</v>
      </c>
      <c r="C411" s="117" t="s">
        <v>134</v>
      </c>
      <c r="D411" s="117" t="s">
        <v>39</v>
      </c>
      <c r="F411" s="27">
        <v>366662.99999999901</v>
      </c>
      <c r="G411" s="27">
        <f t="shared" si="223"/>
        <v>0</v>
      </c>
      <c r="H411" s="27">
        <f t="shared" si="224"/>
        <v>0</v>
      </c>
      <c r="I411" s="27">
        <f t="shared" si="225"/>
        <v>0</v>
      </c>
      <c r="J411" s="27">
        <f t="shared" si="226"/>
        <v>0</v>
      </c>
      <c r="K411" s="27">
        <f t="shared" si="227"/>
        <v>0</v>
      </c>
      <c r="L411" s="27">
        <f t="shared" si="228"/>
        <v>0</v>
      </c>
      <c r="M411" s="27">
        <f t="shared" si="229"/>
        <v>0</v>
      </c>
      <c r="N411" s="27">
        <f t="shared" si="230"/>
        <v>366662.99999999901</v>
      </c>
      <c r="O411" s="27">
        <f t="shared" si="231"/>
        <v>0</v>
      </c>
      <c r="P411" s="27">
        <f t="shared" si="232"/>
        <v>0</v>
      </c>
      <c r="Q411" s="27">
        <f t="shared" si="233"/>
        <v>0</v>
      </c>
      <c r="R411" s="27">
        <f t="shared" si="234"/>
        <v>0</v>
      </c>
      <c r="S411" s="27">
        <f t="shared" si="235"/>
        <v>0</v>
      </c>
      <c r="T411" s="27">
        <f t="shared" si="236"/>
        <v>0</v>
      </c>
      <c r="U411" s="27">
        <f t="shared" si="237"/>
        <v>0</v>
      </c>
      <c r="V411" s="27">
        <f t="shared" si="238"/>
        <v>0</v>
      </c>
      <c r="W411" s="27">
        <f t="shared" si="239"/>
        <v>366662.99999999901</v>
      </c>
      <c r="X411" s="125" t="str">
        <f t="shared" si="240"/>
        <v>ok</v>
      </c>
    </row>
    <row r="412" spans="1:24">
      <c r="A412" s="28">
        <v>892</v>
      </c>
      <c r="B412" s="25" t="s">
        <v>455</v>
      </c>
      <c r="C412" s="117" t="s">
        <v>135</v>
      </c>
      <c r="D412" s="117" t="s">
        <v>43</v>
      </c>
      <c r="F412" s="27">
        <v>1692702.9999999993</v>
      </c>
      <c r="G412" s="27">
        <f t="shared" si="223"/>
        <v>0</v>
      </c>
      <c r="H412" s="27">
        <f t="shared" si="224"/>
        <v>0</v>
      </c>
      <c r="I412" s="27">
        <f t="shared" si="225"/>
        <v>0</v>
      </c>
      <c r="J412" s="27">
        <f t="shared" si="226"/>
        <v>0</v>
      </c>
      <c r="K412" s="27">
        <f t="shared" si="227"/>
        <v>0</v>
      </c>
      <c r="L412" s="27">
        <f t="shared" si="228"/>
        <v>0</v>
      </c>
      <c r="M412" s="27">
        <f t="shared" si="229"/>
        <v>0</v>
      </c>
      <c r="N412" s="27">
        <f t="shared" si="230"/>
        <v>0</v>
      </c>
      <c r="O412" s="27">
        <f t="shared" si="231"/>
        <v>0</v>
      </c>
      <c r="P412" s="27">
        <f t="shared" si="232"/>
        <v>0</v>
      </c>
      <c r="Q412" s="27">
        <f t="shared" si="233"/>
        <v>0</v>
      </c>
      <c r="R412" s="27">
        <f t="shared" si="234"/>
        <v>0</v>
      </c>
      <c r="S412" s="27">
        <f t="shared" si="235"/>
        <v>1692702.9999999993</v>
      </c>
      <c r="T412" s="27">
        <f t="shared" si="236"/>
        <v>0</v>
      </c>
      <c r="U412" s="27">
        <f t="shared" si="237"/>
        <v>0</v>
      </c>
      <c r="V412" s="27">
        <f t="shared" si="238"/>
        <v>0</v>
      </c>
      <c r="W412" s="27">
        <f t="shared" si="239"/>
        <v>1692702.9999999993</v>
      </c>
      <c r="X412" s="125" t="str">
        <f t="shared" si="240"/>
        <v>ok</v>
      </c>
    </row>
    <row r="413" spans="1:24">
      <c r="A413" s="28">
        <v>893</v>
      </c>
      <c r="B413" s="25" t="s">
        <v>456</v>
      </c>
      <c r="C413" s="117" t="s">
        <v>136</v>
      </c>
      <c r="D413" s="117" t="s">
        <v>46</v>
      </c>
      <c r="F413" s="27">
        <v>0</v>
      </c>
      <c r="G413" s="27">
        <f t="shared" si="223"/>
        <v>0</v>
      </c>
      <c r="H413" s="27">
        <f t="shared" si="224"/>
        <v>0</v>
      </c>
      <c r="I413" s="27">
        <f t="shared" si="225"/>
        <v>0</v>
      </c>
      <c r="J413" s="27">
        <f t="shared" si="226"/>
        <v>0</v>
      </c>
      <c r="K413" s="27">
        <f t="shared" si="227"/>
        <v>0</v>
      </c>
      <c r="L413" s="27">
        <f t="shared" si="228"/>
        <v>0</v>
      </c>
      <c r="M413" s="27">
        <f t="shared" si="229"/>
        <v>0</v>
      </c>
      <c r="N413" s="27">
        <f t="shared" si="230"/>
        <v>0</v>
      </c>
      <c r="O413" s="27">
        <f t="shared" si="231"/>
        <v>0</v>
      </c>
      <c r="P413" s="27">
        <f t="shared" si="232"/>
        <v>0</v>
      </c>
      <c r="Q413" s="27">
        <f t="shared" si="233"/>
        <v>0</v>
      </c>
      <c r="R413" s="27">
        <f t="shared" si="234"/>
        <v>0</v>
      </c>
      <c r="S413" s="27">
        <f t="shared" si="235"/>
        <v>0</v>
      </c>
      <c r="T413" s="27">
        <f t="shared" si="236"/>
        <v>0</v>
      </c>
      <c r="U413" s="27">
        <f t="shared" si="237"/>
        <v>0</v>
      </c>
      <c r="V413" s="27">
        <f t="shared" si="238"/>
        <v>0</v>
      </c>
      <c r="W413" s="27">
        <f t="shared" si="239"/>
        <v>0</v>
      </c>
      <c r="X413" s="125" t="str">
        <f t="shared" si="240"/>
        <v>ok</v>
      </c>
    </row>
    <row r="414" spans="1:24">
      <c r="A414" s="28">
        <v>894</v>
      </c>
      <c r="B414" s="25" t="s">
        <v>457</v>
      </c>
      <c r="C414" s="117" t="s">
        <v>137</v>
      </c>
      <c r="D414" s="117" t="s">
        <v>202</v>
      </c>
      <c r="F414" s="27">
        <v>107895.99999999901</v>
      </c>
      <c r="G414" s="27">
        <f t="shared" si="223"/>
        <v>0</v>
      </c>
      <c r="H414" s="27">
        <f t="shared" si="224"/>
        <v>0</v>
      </c>
      <c r="I414" s="27">
        <f t="shared" si="225"/>
        <v>0</v>
      </c>
      <c r="J414" s="27">
        <f t="shared" si="226"/>
        <v>0</v>
      </c>
      <c r="K414" s="27">
        <f t="shared" si="227"/>
        <v>0</v>
      </c>
      <c r="L414" s="27">
        <f t="shared" si="228"/>
        <v>0</v>
      </c>
      <c r="M414" s="27">
        <f t="shared" si="229"/>
        <v>0</v>
      </c>
      <c r="N414" s="27">
        <f t="shared" si="230"/>
        <v>4264.0626227769699</v>
      </c>
      <c r="O414" s="27">
        <f t="shared" si="231"/>
        <v>19368.791126646178</v>
      </c>
      <c r="P414" s="27">
        <f t="shared" si="232"/>
        <v>32421.867239589661</v>
      </c>
      <c r="Q414" s="27">
        <f t="shared" si="233"/>
        <v>2818.513302417743</v>
      </c>
      <c r="R414" s="27">
        <f t="shared" si="234"/>
        <v>2031.2363672964862</v>
      </c>
      <c r="S414" s="27">
        <f t="shared" si="235"/>
        <v>34156.839924612163</v>
      </c>
      <c r="T414" s="27">
        <f t="shared" si="236"/>
        <v>12834.689416659798</v>
      </c>
      <c r="U414" s="27">
        <f t="shared" si="237"/>
        <v>0</v>
      </c>
      <c r="V414" s="27">
        <f t="shared" si="238"/>
        <v>0</v>
      </c>
      <c r="W414" s="27">
        <f t="shared" si="239"/>
        <v>107895.999999999</v>
      </c>
      <c r="X414" s="125" t="str">
        <f t="shared" si="240"/>
        <v>ok</v>
      </c>
    </row>
    <row r="415" spans="1:24">
      <c r="F415" s="33"/>
      <c r="G415" s="25"/>
      <c r="H415" s="25"/>
      <c r="I415" s="25"/>
      <c r="J415" s="25"/>
      <c r="K415" s="25"/>
      <c r="L415" s="25"/>
      <c r="M415" s="25"/>
      <c r="N415" s="25"/>
    </row>
    <row r="416" spans="1:24">
      <c r="A416" s="28" t="s">
        <v>467</v>
      </c>
      <c r="C416" s="117" t="s">
        <v>566</v>
      </c>
      <c r="F416" s="33">
        <f>SUM(F405:F414)</f>
        <v>13685704.999999996</v>
      </c>
      <c r="G416" s="33">
        <f t="shared" ref="G416:W416" si="241">SUM(G405:G414)</f>
        <v>0</v>
      </c>
      <c r="H416" s="33">
        <f t="shared" si="241"/>
        <v>0</v>
      </c>
      <c r="I416" s="33">
        <f t="shared" si="241"/>
        <v>0</v>
      </c>
      <c r="J416" s="33">
        <f t="shared" si="241"/>
        <v>0</v>
      </c>
      <c r="K416" s="33">
        <f t="shared" si="241"/>
        <v>0</v>
      </c>
      <c r="L416" s="33">
        <f t="shared" si="241"/>
        <v>0</v>
      </c>
      <c r="M416" s="33">
        <f t="shared" si="241"/>
        <v>0</v>
      </c>
      <c r="N416" s="33">
        <f t="shared" si="241"/>
        <v>724798.06262277602</v>
      </c>
      <c r="O416" s="33">
        <f t="shared" si="241"/>
        <v>3766853.3908528364</v>
      </c>
      <c r="P416" s="33">
        <f t="shared" si="241"/>
        <v>6305422.9740344184</v>
      </c>
      <c r="Q416" s="33">
        <f>SUM(Q405:Q414)</f>
        <v>548146.05211835355</v>
      </c>
      <c r="R416" s="33">
        <f>SUM(R405:R414)</f>
        <v>395035.99103034189</v>
      </c>
      <c r="S416" s="33">
        <f t="shared" si="241"/>
        <v>1726859.8399246114</v>
      </c>
      <c r="T416" s="33">
        <f t="shared" si="241"/>
        <v>218588.68941665979</v>
      </c>
      <c r="U416" s="33">
        <f t="shared" si="241"/>
        <v>0</v>
      </c>
      <c r="V416" s="33">
        <f t="shared" si="241"/>
        <v>0</v>
      </c>
      <c r="W416" s="33">
        <f t="shared" si="241"/>
        <v>13685704.999999996</v>
      </c>
    </row>
    <row r="417" spans="1:24">
      <c r="A417" s="28"/>
      <c r="F417" s="33"/>
    </row>
    <row r="418" spans="1:24">
      <c r="A418" s="28" t="s">
        <v>592</v>
      </c>
      <c r="C418" s="117" t="s">
        <v>587</v>
      </c>
      <c r="F418" s="32">
        <f t="shared" ref="F418:V418" si="242">F361+F387+F416</f>
        <v>25517345.999999993</v>
      </c>
      <c r="G418" s="32">
        <f t="shared" si="242"/>
        <v>0</v>
      </c>
      <c r="H418" s="32">
        <f t="shared" si="242"/>
        <v>0</v>
      </c>
      <c r="I418" s="32">
        <f t="shared" si="242"/>
        <v>0</v>
      </c>
      <c r="J418" s="32">
        <f t="shared" si="242"/>
        <v>0</v>
      </c>
      <c r="K418" s="32">
        <f t="shared" si="242"/>
        <v>2789293</v>
      </c>
      <c r="L418" s="32">
        <f t="shared" si="242"/>
        <v>0</v>
      </c>
      <c r="M418" s="32">
        <f t="shared" si="242"/>
        <v>47730.333104058169</v>
      </c>
      <c r="N418" s="32">
        <f t="shared" si="242"/>
        <v>2381599.6041450859</v>
      </c>
      <c r="O418" s="32">
        <f t="shared" si="242"/>
        <v>4850755.0285430038</v>
      </c>
      <c r="P418" s="32">
        <f t="shared" si="242"/>
        <v>8119790.9832809251</v>
      </c>
      <c r="Q418" s="32">
        <f>Q361+Q387+Q416</f>
        <v>705873.56151047454</v>
      </c>
      <c r="R418" s="32">
        <f>R361+R387+R416</f>
        <v>508706.50410741277</v>
      </c>
      <c r="S418" s="32">
        <f t="shared" si="242"/>
        <v>3638319.0781666376</v>
      </c>
      <c r="T418" s="32">
        <f t="shared" si="242"/>
        <v>2475277.9071423975</v>
      </c>
      <c r="U418" s="32">
        <f t="shared" si="242"/>
        <v>0</v>
      </c>
      <c r="V418" s="32">
        <f t="shared" si="242"/>
        <v>0</v>
      </c>
      <c r="W418" s="27">
        <f>W387+W416</f>
        <v>22728052.999999993</v>
      </c>
    </row>
    <row r="419" spans="1:24">
      <c r="A419" s="28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27"/>
      <c r="X419" s="125"/>
    </row>
    <row r="420" spans="1:24">
      <c r="A420" s="28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27"/>
      <c r="X420" s="125"/>
    </row>
    <row r="421" spans="1:24">
      <c r="A421" s="13" t="s">
        <v>468</v>
      </c>
      <c r="F421" s="27"/>
    </row>
    <row r="422" spans="1:24">
      <c r="A422" s="28">
        <v>901</v>
      </c>
      <c r="B422" s="25" t="s">
        <v>138</v>
      </c>
      <c r="C422" s="117" t="s">
        <v>139</v>
      </c>
      <c r="D422" s="117" t="s">
        <v>49</v>
      </c>
      <c r="F422" s="27">
        <v>838026.45</v>
      </c>
      <c r="G422" s="27">
        <f>(VLOOKUP($D422,$C$6:$AJ$992,5,)/VLOOKUP($D422,$C$6:$AJ$992,4,))*$F422</f>
        <v>0</v>
      </c>
      <c r="H422" s="27">
        <f>(VLOOKUP($D422,$C$6:$AJ$992,6,)/VLOOKUP($D422,$C$6:$AJ$992,4,))*$F422</f>
        <v>0</v>
      </c>
      <c r="I422" s="27">
        <f>(VLOOKUP($D422,$C$6:$AJ$992,7,)/VLOOKUP($D422,$C$6:$AJ$992,4,))*$F422</f>
        <v>0</v>
      </c>
      <c r="J422" s="27">
        <f>(VLOOKUP($D422,$C$6:$AJ$992,8,)/VLOOKUP($D422,$C$6:$AJ$992,4,))*$F422</f>
        <v>0</v>
      </c>
      <c r="K422" s="27">
        <f>(VLOOKUP($D422,$C$6:$AJ$992,9,)/VLOOKUP($D422,$C$6:$AJ$992,4,))*$F422</f>
        <v>0</v>
      </c>
      <c r="L422" s="27">
        <f>(VLOOKUP($D422,$C$6:$AJ$992,10,)/VLOOKUP($D422,$C$6:$AJ$992,4,))*$F422</f>
        <v>0</v>
      </c>
      <c r="M422" s="27">
        <f>(VLOOKUP($D422,$C$6:$AJ$992,11,)/VLOOKUP($D422,$C$6:$AJ$992,4,))*$F422</f>
        <v>0</v>
      </c>
      <c r="N422" s="27">
        <f>(VLOOKUP($D422,$C$6:$AJ$992,12,)/VLOOKUP($D422,$C$6:$AJ$992,4,))*$F422</f>
        <v>0</v>
      </c>
      <c r="O422" s="27">
        <f>(VLOOKUP($D422,$C$6:$AJ$992,13,)/VLOOKUP($D422,$C$6:$AJ$992,4,))*$F422</f>
        <v>0</v>
      </c>
      <c r="P422" s="27">
        <f>(VLOOKUP($D422,$C$6:$AJ$992,14,)/VLOOKUP($D422,$C$6:$AJ$992,4,))*$F422</f>
        <v>0</v>
      </c>
      <c r="Q422" s="27">
        <f>(VLOOKUP($D422,$C$6:$AJ$992,15,)/VLOOKUP($D422,$C$6:$AJ$992,4,))*$F422</f>
        <v>0</v>
      </c>
      <c r="R422" s="27">
        <f>(VLOOKUP($D422,$C$6:$AJ$992,16,)/VLOOKUP($D422,$C$6:$AJ$992,4,))*$F422</f>
        <v>0</v>
      </c>
      <c r="S422" s="27">
        <f>(VLOOKUP($D422,$C$6:$AJ$992,17,)/VLOOKUP($D422,$C$6:$AJ$992,4,))*$F422</f>
        <v>0</v>
      </c>
      <c r="T422" s="27">
        <f>(VLOOKUP($D422,$C$6:$AJ$992,18,)/VLOOKUP($D422,$C$6:$AJ$992,4,))*$F422</f>
        <v>0</v>
      </c>
      <c r="U422" s="27">
        <f>(VLOOKUP($D422,$C$6:$AJ$992,19,)/VLOOKUP($D422,$C$6:$AJ$992,4,))*$F422</f>
        <v>838026.45</v>
      </c>
      <c r="V422" s="27">
        <f>(VLOOKUP($D422,$C$6:$AJ$992,20,)/VLOOKUP($D422,$C$6:$AJ$992,4,))*$F422</f>
        <v>0</v>
      </c>
      <c r="W422" s="27">
        <f>SUM(G422:V422)</f>
        <v>838026.45</v>
      </c>
      <c r="X422" s="125" t="str">
        <f>IF(ABS(W422-F422)&lt;1,"ok","err")</f>
        <v>ok</v>
      </c>
    </row>
    <row r="423" spans="1:24">
      <c r="A423" s="28">
        <v>902</v>
      </c>
      <c r="B423" s="25" t="s">
        <v>140</v>
      </c>
      <c r="C423" s="117" t="s">
        <v>141</v>
      </c>
      <c r="D423" s="117" t="s">
        <v>49</v>
      </c>
      <c r="F423" s="27">
        <v>1982652.3</v>
      </c>
      <c r="G423" s="27">
        <f>(VLOOKUP($D423,$C$6:$AJ$992,5,)/VLOOKUP($D423,$C$6:$AJ$992,4,))*$F423</f>
        <v>0</v>
      </c>
      <c r="H423" s="27">
        <f>(VLOOKUP($D423,$C$6:$AJ$992,6,)/VLOOKUP($D423,$C$6:$AJ$992,4,))*$F423</f>
        <v>0</v>
      </c>
      <c r="I423" s="27">
        <f>(VLOOKUP($D423,$C$6:$AJ$992,7,)/VLOOKUP($D423,$C$6:$AJ$992,4,))*$F423</f>
        <v>0</v>
      </c>
      <c r="J423" s="27">
        <f>(VLOOKUP($D423,$C$6:$AJ$992,8,)/VLOOKUP($D423,$C$6:$AJ$992,4,))*$F423</f>
        <v>0</v>
      </c>
      <c r="K423" s="27">
        <f>(VLOOKUP($D423,$C$6:$AJ$992,9,)/VLOOKUP($D423,$C$6:$AJ$992,4,))*$F423</f>
        <v>0</v>
      </c>
      <c r="L423" s="27">
        <f>(VLOOKUP($D423,$C$6:$AJ$992,10,)/VLOOKUP($D423,$C$6:$AJ$992,4,))*$F423</f>
        <v>0</v>
      </c>
      <c r="M423" s="27">
        <f>(VLOOKUP($D423,$C$6:$AJ$992,11,)/VLOOKUP($D423,$C$6:$AJ$992,4,))*$F423</f>
        <v>0</v>
      </c>
      <c r="N423" s="27">
        <f>(VLOOKUP($D423,$C$6:$AJ$992,12,)/VLOOKUP($D423,$C$6:$AJ$992,4,))*$F423</f>
        <v>0</v>
      </c>
      <c r="O423" s="27">
        <f>(VLOOKUP($D423,$C$6:$AJ$992,13,)/VLOOKUP($D423,$C$6:$AJ$992,4,))*$F423</f>
        <v>0</v>
      </c>
      <c r="P423" s="27">
        <f>(VLOOKUP($D423,$C$6:$AJ$992,14,)/VLOOKUP($D423,$C$6:$AJ$992,4,))*$F423</f>
        <v>0</v>
      </c>
      <c r="Q423" s="27">
        <f>(VLOOKUP($D423,$C$6:$AJ$992,15,)/VLOOKUP($D423,$C$6:$AJ$992,4,))*$F423</f>
        <v>0</v>
      </c>
      <c r="R423" s="27">
        <f>(VLOOKUP($D423,$C$6:$AJ$992,16,)/VLOOKUP($D423,$C$6:$AJ$992,4,))*$F423</f>
        <v>0</v>
      </c>
      <c r="S423" s="27">
        <f>(VLOOKUP($D423,$C$6:$AJ$992,17,)/VLOOKUP($D423,$C$6:$AJ$992,4,))*$F423</f>
        <v>0</v>
      </c>
      <c r="T423" s="27">
        <f>(VLOOKUP($D423,$C$6:$AJ$992,18,)/VLOOKUP($D423,$C$6:$AJ$992,4,))*$F423</f>
        <v>0</v>
      </c>
      <c r="U423" s="27">
        <f>(VLOOKUP($D423,$C$6:$AJ$992,19,)/VLOOKUP($D423,$C$6:$AJ$992,4,))*$F423</f>
        <v>1982652.3</v>
      </c>
      <c r="V423" s="27">
        <f>(VLOOKUP($D423,$C$6:$AJ$992,20,)/VLOOKUP($D423,$C$6:$AJ$992,4,))*$F423</f>
        <v>0</v>
      </c>
      <c r="W423" s="27">
        <f>SUM(G423:V423)</f>
        <v>1982652.3</v>
      </c>
      <c r="X423" s="125" t="str">
        <f>IF(ABS(W423-F423)&lt;1,"ok","err")</f>
        <v>ok</v>
      </c>
    </row>
    <row r="424" spans="1:24">
      <c r="A424" s="28">
        <v>903</v>
      </c>
      <c r="B424" s="25" t="s">
        <v>440</v>
      </c>
      <c r="C424" s="117" t="s">
        <v>142</v>
      </c>
      <c r="D424" s="117" t="s">
        <v>49</v>
      </c>
      <c r="F424" s="27">
        <v>5048114.8499999996</v>
      </c>
      <c r="G424" s="27">
        <f>(VLOOKUP($D424,$C$6:$AJ$992,5,)/VLOOKUP($D424,$C$6:$AJ$992,4,))*$F424</f>
        <v>0</v>
      </c>
      <c r="H424" s="27">
        <f>(VLOOKUP($D424,$C$6:$AJ$992,6,)/VLOOKUP($D424,$C$6:$AJ$992,4,))*$F424</f>
        <v>0</v>
      </c>
      <c r="I424" s="27">
        <f>(VLOOKUP($D424,$C$6:$AJ$992,7,)/VLOOKUP($D424,$C$6:$AJ$992,4,))*$F424</f>
        <v>0</v>
      </c>
      <c r="J424" s="27">
        <f>(VLOOKUP($D424,$C$6:$AJ$992,8,)/VLOOKUP($D424,$C$6:$AJ$992,4,))*$F424</f>
        <v>0</v>
      </c>
      <c r="K424" s="27">
        <f>(VLOOKUP($D424,$C$6:$AJ$992,9,)/VLOOKUP($D424,$C$6:$AJ$992,4,))*$F424</f>
        <v>0</v>
      </c>
      <c r="L424" s="27">
        <f>(VLOOKUP($D424,$C$6:$AJ$992,10,)/VLOOKUP($D424,$C$6:$AJ$992,4,))*$F424</f>
        <v>0</v>
      </c>
      <c r="M424" s="27">
        <f>(VLOOKUP($D424,$C$6:$AJ$992,11,)/VLOOKUP($D424,$C$6:$AJ$992,4,))*$F424</f>
        <v>0</v>
      </c>
      <c r="N424" s="27">
        <f>(VLOOKUP($D424,$C$6:$AJ$992,12,)/VLOOKUP($D424,$C$6:$AJ$992,4,))*$F424</f>
        <v>0</v>
      </c>
      <c r="O424" s="27">
        <f>(VLOOKUP($D424,$C$6:$AJ$992,13,)/VLOOKUP($D424,$C$6:$AJ$992,4,))*$F424</f>
        <v>0</v>
      </c>
      <c r="P424" s="27">
        <f>(VLOOKUP($D424,$C$6:$AJ$992,14,)/VLOOKUP($D424,$C$6:$AJ$992,4,))*$F424</f>
        <v>0</v>
      </c>
      <c r="Q424" s="27">
        <f>(VLOOKUP($D424,$C$6:$AJ$992,15,)/VLOOKUP($D424,$C$6:$AJ$992,4,))*$F424</f>
        <v>0</v>
      </c>
      <c r="R424" s="27">
        <f>(VLOOKUP($D424,$C$6:$AJ$992,16,)/VLOOKUP($D424,$C$6:$AJ$992,4,))*$F424</f>
        <v>0</v>
      </c>
      <c r="S424" s="27">
        <f>(VLOOKUP($D424,$C$6:$AJ$992,17,)/VLOOKUP($D424,$C$6:$AJ$992,4,))*$F424</f>
        <v>0</v>
      </c>
      <c r="T424" s="27">
        <f>(VLOOKUP($D424,$C$6:$AJ$992,18,)/VLOOKUP($D424,$C$6:$AJ$992,4,))*$F424</f>
        <v>0</v>
      </c>
      <c r="U424" s="27">
        <f>(VLOOKUP($D424,$C$6:$AJ$992,19,)/VLOOKUP($D424,$C$6:$AJ$992,4,))*$F424</f>
        <v>5048114.8499999996</v>
      </c>
      <c r="V424" s="27">
        <f>(VLOOKUP($D424,$C$6:$AJ$992,20,)/VLOOKUP($D424,$C$6:$AJ$992,4,))*$F424</f>
        <v>0</v>
      </c>
      <c r="W424" s="27">
        <f>SUM(G424:V424)</f>
        <v>5048114.8499999996</v>
      </c>
      <c r="X424" s="125" t="str">
        <f>IF(ABS(W424-F424)&lt;1,"ok","err")</f>
        <v>ok</v>
      </c>
    </row>
    <row r="425" spans="1:24">
      <c r="A425" s="28">
        <v>904</v>
      </c>
      <c r="B425" s="25" t="s">
        <v>143</v>
      </c>
      <c r="C425" s="117" t="s">
        <v>144</v>
      </c>
      <c r="D425" s="117" t="s">
        <v>49</v>
      </c>
      <c r="F425" s="27">
        <v>309000</v>
      </c>
      <c r="G425" s="27">
        <f>(VLOOKUP($D425,$C$6:$AJ$992,5,)/VLOOKUP($D425,$C$6:$AJ$992,4,))*$F425</f>
        <v>0</v>
      </c>
      <c r="H425" s="27">
        <f>(VLOOKUP($D425,$C$6:$AJ$992,6,)/VLOOKUP($D425,$C$6:$AJ$992,4,))*$F425</f>
        <v>0</v>
      </c>
      <c r="I425" s="27">
        <f>(VLOOKUP($D425,$C$6:$AJ$992,7,)/VLOOKUP($D425,$C$6:$AJ$992,4,))*$F425</f>
        <v>0</v>
      </c>
      <c r="J425" s="27">
        <f>(VLOOKUP($D425,$C$6:$AJ$992,8,)/VLOOKUP($D425,$C$6:$AJ$992,4,))*$F425</f>
        <v>0</v>
      </c>
      <c r="K425" s="27">
        <f>(VLOOKUP($D425,$C$6:$AJ$992,9,)/VLOOKUP($D425,$C$6:$AJ$992,4,))*$F425</f>
        <v>0</v>
      </c>
      <c r="L425" s="27">
        <f>(VLOOKUP($D425,$C$6:$AJ$992,10,)/VLOOKUP($D425,$C$6:$AJ$992,4,))*$F425</f>
        <v>0</v>
      </c>
      <c r="M425" s="27">
        <f>(VLOOKUP($D425,$C$6:$AJ$992,11,)/VLOOKUP($D425,$C$6:$AJ$992,4,))*$F425</f>
        <v>0</v>
      </c>
      <c r="N425" s="27">
        <f>(VLOOKUP($D425,$C$6:$AJ$992,12,)/VLOOKUP($D425,$C$6:$AJ$992,4,))*$F425</f>
        <v>0</v>
      </c>
      <c r="O425" s="27">
        <f>(VLOOKUP($D425,$C$6:$AJ$992,13,)/VLOOKUP($D425,$C$6:$AJ$992,4,))*$F425</f>
        <v>0</v>
      </c>
      <c r="P425" s="27">
        <f>(VLOOKUP($D425,$C$6:$AJ$992,14,)/VLOOKUP($D425,$C$6:$AJ$992,4,))*$F425</f>
        <v>0</v>
      </c>
      <c r="Q425" s="27">
        <f>(VLOOKUP($D425,$C$6:$AJ$992,15,)/VLOOKUP($D425,$C$6:$AJ$992,4,))*$F425</f>
        <v>0</v>
      </c>
      <c r="R425" s="27">
        <f>(VLOOKUP($D425,$C$6:$AJ$992,16,)/VLOOKUP($D425,$C$6:$AJ$992,4,))*$F425</f>
        <v>0</v>
      </c>
      <c r="S425" s="27">
        <f>(VLOOKUP($D425,$C$6:$AJ$992,17,)/VLOOKUP($D425,$C$6:$AJ$992,4,))*$F425</f>
        <v>0</v>
      </c>
      <c r="T425" s="27">
        <f>(VLOOKUP($D425,$C$6:$AJ$992,18,)/VLOOKUP($D425,$C$6:$AJ$992,4,))*$F425</f>
        <v>0</v>
      </c>
      <c r="U425" s="27">
        <f>(VLOOKUP($D425,$C$6:$AJ$992,19,)/VLOOKUP($D425,$C$6:$AJ$992,4,))*$F425</f>
        <v>309000</v>
      </c>
      <c r="V425" s="27">
        <f>(VLOOKUP($D425,$C$6:$AJ$992,20,)/VLOOKUP($D425,$C$6:$AJ$992,4,))*$F425</f>
        <v>0</v>
      </c>
      <c r="W425" s="27">
        <f>SUM(G425:V425)</f>
        <v>309000</v>
      </c>
      <c r="X425" s="125" t="str">
        <f>IF(ABS(W425-F425)&lt;1,"ok","err")</f>
        <v>ok</v>
      </c>
    </row>
    <row r="426" spans="1:24">
      <c r="A426" s="28">
        <v>905</v>
      </c>
      <c r="B426" s="25" t="s">
        <v>441</v>
      </c>
      <c r="C426" s="117" t="s">
        <v>146</v>
      </c>
      <c r="D426" s="117" t="s">
        <v>49</v>
      </c>
      <c r="F426" s="27">
        <v>33577.199999999997</v>
      </c>
      <c r="G426" s="27">
        <f>(VLOOKUP($D426,$C$6:$AJ$992,5,)/VLOOKUP($D426,$C$6:$AJ$992,4,))*$F426</f>
        <v>0</v>
      </c>
      <c r="H426" s="27">
        <f>(VLOOKUP($D426,$C$6:$AJ$992,6,)/VLOOKUP($D426,$C$6:$AJ$992,4,))*$F426</f>
        <v>0</v>
      </c>
      <c r="I426" s="27">
        <f>(VLOOKUP($D426,$C$6:$AJ$992,7,)/VLOOKUP($D426,$C$6:$AJ$992,4,))*$F426</f>
        <v>0</v>
      </c>
      <c r="J426" s="27">
        <f>(VLOOKUP($D426,$C$6:$AJ$992,8,)/VLOOKUP($D426,$C$6:$AJ$992,4,))*$F426</f>
        <v>0</v>
      </c>
      <c r="K426" s="27">
        <f>(VLOOKUP($D426,$C$6:$AJ$992,9,)/VLOOKUP($D426,$C$6:$AJ$992,4,))*$F426</f>
        <v>0</v>
      </c>
      <c r="L426" s="27">
        <f>(VLOOKUP($D426,$C$6:$AJ$992,10,)/VLOOKUP($D426,$C$6:$AJ$992,4,))*$F426</f>
        <v>0</v>
      </c>
      <c r="M426" s="27">
        <f>(VLOOKUP($D426,$C$6:$AJ$992,11,)/VLOOKUP($D426,$C$6:$AJ$992,4,))*$F426</f>
        <v>0</v>
      </c>
      <c r="N426" s="27">
        <f>(VLOOKUP($D426,$C$6:$AJ$992,12,)/VLOOKUP($D426,$C$6:$AJ$992,4,))*$F426</f>
        <v>0</v>
      </c>
      <c r="O426" s="27">
        <f>(VLOOKUP($D426,$C$6:$AJ$992,13,)/VLOOKUP($D426,$C$6:$AJ$992,4,))*$F426</f>
        <v>0</v>
      </c>
      <c r="P426" s="27">
        <f>(VLOOKUP($D426,$C$6:$AJ$992,14,)/VLOOKUP($D426,$C$6:$AJ$992,4,))*$F426</f>
        <v>0</v>
      </c>
      <c r="Q426" s="27">
        <f>(VLOOKUP($D426,$C$6:$AJ$992,15,)/VLOOKUP($D426,$C$6:$AJ$992,4,))*$F426</f>
        <v>0</v>
      </c>
      <c r="R426" s="27">
        <f>(VLOOKUP($D426,$C$6:$AJ$992,16,)/VLOOKUP($D426,$C$6:$AJ$992,4,))*$F426</f>
        <v>0</v>
      </c>
      <c r="S426" s="27">
        <f>(VLOOKUP($D426,$C$6:$AJ$992,17,)/VLOOKUP($D426,$C$6:$AJ$992,4,))*$F426</f>
        <v>0</v>
      </c>
      <c r="T426" s="27">
        <f>(VLOOKUP($D426,$C$6:$AJ$992,18,)/VLOOKUP($D426,$C$6:$AJ$992,4,))*$F426</f>
        <v>0</v>
      </c>
      <c r="U426" s="27">
        <f>(VLOOKUP($D426,$C$6:$AJ$992,19,)/VLOOKUP($D426,$C$6:$AJ$992,4,))*$F426</f>
        <v>33577.199999999997</v>
      </c>
      <c r="V426" s="27">
        <f>(VLOOKUP($D426,$C$6:$AJ$992,20,)/VLOOKUP($D426,$C$6:$AJ$992,4,))*$F426</f>
        <v>0</v>
      </c>
      <c r="W426" s="27">
        <f>SUM(G426:V426)</f>
        <v>33577.199999999997</v>
      </c>
      <c r="X426" s="125" t="str">
        <f>IF(ABS(W426-F426)&lt;1,"ok","err")</f>
        <v>ok</v>
      </c>
    </row>
    <row r="427" spans="1:24">
      <c r="A427" s="28"/>
      <c r="F427" s="27"/>
    </row>
    <row r="428" spans="1:24">
      <c r="A428" s="28" t="s">
        <v>474</v>
      </c>
      <c r="C428" s="117" t="s">
        <v>147</v>
      </c>
      <c r="F428" s="32">
        <f>SUM(F422:F426)</f>
        <v>8211370.7999999998</v>
      </c>
      <c r="G428" s="32">
        <f t="shared" ref="G428:V428" si="243">SUM(G422:G426)</f>
        <v>0</v>
      </c>
      <c r="H428" s="32">
        <f t="shared" si="243"/>
        <v>0</v>
      </c>
      <c r="I428" s="32">
        <f t="shared" si="243"/>
        <v>0</v>
      </c>
      <c r="J428" s="32">
        <f t="shared" si="243"/>
        <v>0</v>
      </c>
      <c r="K428" s="32">
        <f t="shared" si="243"/>
        <v>0</v>
      </c>
      <c r="L428" s="32">
        <f t="shared" si="243"/>
        <v>0</v>
      </c>
      <c r="M428" s="32">
        <f t="shared" si="243"/>
        <v>0</v>
      </c>
      <c r="N428" s="32">
        <f t="shared" si="243"/>
        <v>0</v>
      </c>
      <c r="O428" s="32">
        <f t="shared" si="243"/>
        <v>0</v>
      </c>
      <c r="P428" s="32">
        <f t="shared" si="243"/>
        <v>0</v>
      </c>
      <c r="Q428" s="32">
        <f t="shared" si="243"/>
        <v>0</v>
      </c>
      <c r="R428" s="32">
        <f t="shared" si="243"/>
        <v>0</v>
      </c>
      <c r="S428" s="32">
        <f t="shared" si="243"/>
        <v>0</v>
      </c>
      <c r="T428" s="32">
        <f t="shared" si="243"/>
        <v>0</v>
      </c>
      <c r="U428" s="32">
        <f t="shared" si="243"/>
        <v>8211370.7999999998</v>
      </c>
      <c r="V428" s="32">
        <f t="shared" si="243"/>
        <v>0</v>
      </c>
      <c r="W428" s="27">
        <f>SUM(G428:V428)</f>
        <v>8211370.7999999998</v>
      </c>
      <c r="X428" s="125" t="str">
        <f>IF(ABS(W428-F428)&lt;1,"ok","err")</f>
        <v>ok</v>
      </c>
    </row>
    <row r="429" spans="1:24">
      <c r="A429" s="28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27"/>
      <c r="X429" s="125"/>
    </row>
    <row r="430" spans="1:24">
      <c r="A430" s="120" t="s">
        <v>149</v>
      </c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27"/>
      <c r="X430" s="125"/>
    </row>
    <row r="431" spans="1:24">
      <c r="A431" s="28" t="s">
        <v>148</v>
      </c>
      <c r="B431" s="25" t="s">
        <v>13</v>
      </c>
      <c r="C431" s="117" t="s">
        <v>150</v>
      </c>
      <c r="D431" s="117" t="s">
        <v>52</v>
      </c>
      <c r="F431" s="32">
        <v>350580.19252618233</v>
      </c>
      <c r="G431" s="27">
        <f>(VLOOKUP($D431,$C$6:$AJ$992,5,)/VLOOKUP($D431,$C$6:$AJ$992,4,))*$F431</f>
        <v>0</v>
      </c>
      <c r="H431" s="27">
        <f>(VLOOKUP($D431,$C$6:$AJ$992,6,)/VLOOKUP($D431,$C$6:$AJ$992,4,))*$F431</f>
        <v>0</v>
      </c>
      <c r="I431" s="27">
        <f>(VLOOKUP($D431,$C$6:$AJ$992,7,)/VLOOKUP($D431,$C$6:$AJ$992,4,))*$F431</f>
        <v>0</v>
      </c>
      <c r="J431" s="27">
        <f>(VLOOKUP($D431,$C$6:$AJ$992,8,)/VLOOKUP($D431,$C$6:$AJ$992,4,))*$F431</f>
        <v>0</v>
      </c>
      <c r="K431" s="27">
        <f>(VLOOKUP($D431,$C$6:$AJ$992,9,)/VLOOKUP($D431,$C$6:$AJ$992,4,))*$F431</f>
        <v>0</v>
      </c>
      <c r="L431" s="27">
        <f>(VLOOKUP($D431,$C$6:$AJ$992,10,)/VLOOKUP($D431,$C$6:$AJ$992,4,))*$F431</f>
        <v>0</v>
      </c>
      <c r="M431" s="27">
        <f>(VLOOKUP($D431,$C$6:$AJ$992,11,)/VLOOKUP($D431,$C$6:$AJ$992,4,))*$F431</f>
        <v>0</v>
      </c>
      <c r="N431" s="27">
        <f>(VLOOKUP($D431,$C$6:$AJ$992,12,)/VLOOKUP($D431,$C$6:$AJ$992,4,))*$F431</f>
        <v>0</v>
      </c>
      <c r="O431" s="27">
        <f>(VLOOKUP($D431,$C$6:$AJ$992,13,)/VLOOKUP($D431,$C$6:$AJ$992,4,))*$F431</f>
        <v>0</v>
      </c>
      <c r="P431" s="27">
        <f>(VLOOKUP($D431,$C$6:$AJ$992,14,)/VLOOKUP($D431,$C$6:$AJ$992,4,))*$F431</f>
        <v>0</v>
      </c>
      <c r="Q431" s="27">
        <f>(VLOOKUP($D431,$C$6:$AJ$992,15,)/VLOOKUP($D431,$C$6:$AJ$992,4,))*$F431</f>
        <v>0</v>
      </c>
      <c r="R431" s="27">
        <f>(VLOOKUP($D431,$C$6:$AJ$992,16,)/VLOOKUP($D431,$C$6:$AJ$992,4,))*$F431</f>
        <v>0</v>
      </c>
      <c r="S431" s="27">
        <f>(VLOOKUP($D431,$C$6:$AJ$992,17,)/VLOOKUP($D431,$C$6:$AJ$992,4,))*$F431</f>
        <v>0</v>
      </c>
      <c r="T431" s="27">
        <f>(VLOOKUP($D431,$C$6:$AJ$992,18,)/VLOOKUP($D431,$C$6:$AJ$992,4,))*$F431</f>
        <v>0</v>
      </c>
      <c r="U431" s="27">
        <f>(VLOOKUP($D431,$C$6:$AJ$992,19,)/VLOOKUP($D431,$C$6:$AJ$992,4,))*$F431</f>
        <v>0</v>
      </c>
      <c r="V431" s="27">
        <f>(VLOOKUP($D431,$C$6:$AJ$992,20,)/VLOOKUP($D431,$C$6:$AJ$992,4,))*$F431</f>
        <v>350580.19252618233</v>
      </c>
      <c r="W431" s="27">
        <f>SUM(G431:V431)</f>
        <v>350580.19252618233</v>
      </c>
      <c r="X431" s="125" t="str">
        <f>IF(ABS(W431-F431)&lt;1,"ok","err")</f>
        <v>ok</v>
      </c>
    </row>
    <row r="432" spans="1:24">
      <c r="A432" s="28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27"/>
      <c r="X432" s="125"/>
    </row>
    <row r="433" spans="1:24">
      <c r="A433" s="120" t="s">
        <v>152</v>
      </c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27"/>
      <c r="X433" s="125"/>
    </row>
    <row r="434" spans="1:24">
      <c r="A434" s="28" t="s">
        <v>151</v>
      </c>
      <c r="B434" s="25" t="s">
        <v>733</v>
      </c>
      <c r="C434" s="117" t="s">
        <v>153</v>
      </c>
      <c r="D434" s="117" t="s">
        <v>52</v>
      </c>
      <c r="F434" s="32">
        <v>60000</v>
      </c>
      <c r="G434" s="27">
        <f>(VLOOKUP($D434,$C$6:$AJ$992,5,)/VLOOKUP($D434,$C$6:$AJ$992,4,))*$F434</f>
        <v>0</v>
      </c>
      <c r="H434" s="27">
        <f>(VLOOKUP($D434,$C$6:$AJ$992,6,)/VLOOKUP($D434,$C$6:$AJ$992,4,))*$F434</f>
        <v>0</v>
      </c>
      <c r="I434" s="27">
        <f>(VLOOKUP($D434,$C$6:$AJ$992,7,)/VLOOKUP($D434,$C$6:$AJ$992,4,))*$F434</f>
        <v>0</v>
      </c>
      <c r="J434" s="27">
        <f>(VLOOKUP($D434,$C$6:$AJ$992,8,)/VLOOKUP($D434,$C$6:$AJ$992,4,))*$F434</f>
        <v>0</v>
      </c>
      <c r="K434" s="27">
        <f>(VLOOKUP($D434,$C$6:$AJ$992,9,)/VLOOKUP($D434,$C$6:$AJ$992,4,))*$F434</f>
        <v>0</v>
      </c>
      <c r="L434" s="27">
        <f>(VLOOKUP($D434,$C$6:$AJ$992,10,)/VLOOKUP($D434,$C$6:$AJ$992,4,))*$F434</f>
        <v>0</v>
      </c>
      <c r="M434" s="27">
        <f>(VLOOKUP($D434,$C$6:$AJ$992,11,)/VLOOKUP($D434,$C$6:$AJ$992,4,))*$F434</f>
        <v>0</v>
      </c>
      <c r="N434" s="27">
        <f>(VLOOKUP($D434,$C$6:$AJ$992,12,)/VLOOKUP($D434,$C$6:$AJ$992,4,))*$F434</f>
        <v>0</v>
      </c>
      <c r="O434" s="27">
        <f>(VLOOKUP($D434,$C$6:$AJ$992,13,)/VLOOKUP($D434,$C$6:$AJ$992,4,))*$F434</f>
        <v>0</v>
      </c>
      <c r="P434" s="27">
        <f>(VLOOKUP($D434,$C$6:$AJ$992,14,)/VLOOKUP($D434,$C$6:$AJ$992,4,))*$F434</f>
        <v>0</v>
      </c>
      <c r="Q434" s="27">
        <f>(VLOOKUP($D434,$C$6:$AJ$992,15,)/VLOOKUP($D434,$C$6:$AJ$992,4,))*$F434</f>
        <v>0</v>
      </c>
      <c r="R434" s="27">
        <f>(VLOOKUP($D434,$C$6:$AJ$992,16,)/VLOOKUP($D434,$C$6:$AJ$992,4,))*$F434</f>
        <v>0</v>
      </c>
      <c r="S434" s="27">
        <f>(VLOOKUP($D434,$C$6:$AJ$992,17,)/VLOOKUP($D434,$C$6:$AJ$992,4,))*$F434</f>
        <v>0</v>
      </c>
      <c r="T434" s="27">
        <f>(VLOOKUP($D434,$C$6:$AJ$992,18,)/VLOOKUP($D434,$C$6:$AJ$992,4,))*$F434</f>
        <v>0</v>
      </c>
      <c r="U434" s="27">
        <f>(VLOOKUP($D434,$C$6:$AJ$992,19,)/VLOOKUP($D434,$C$6:$AJ$992,4,))*$F434</f>
        <v>0</v>
      </c>
      <c r="V434" s="27">
        <f>(VLOOKUP($D434,$C$6:$AJ$992,20,)/VLOOKUP($D434,$C$6:$AJ$992,4,))*$F434</f>
        <v>60000</v>
      </c>
      <c r="W434" s="27">
        <f>SUM(G434:V434)</f>
        <v>60000</v>
      </c>
      <c r="X434" s="125" t="str">
        <f>IF(ABS(W434-F434)&lt;1,"ok","err")</f>
        <v>ok</v>
      </c>
    </row>
    <row r="435" spans="1:24">
      <c r="A435" s="28"/>
      <c r="F435" s="32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125"/>
    </row>
    <row r="436" spans="1:24">
      <c r="A436" s="28"/>
      <c r="F436" s="32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125"/>
    </row>
    <row r="437" spans="1:24">
      <c r="A437" s="28"/>
      <c r="F437" s="32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125"/>
    </row>
    <row r="438" spans="1:24">
      <c r="A438" s="14"/>
      <c r="F438" s="32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125"/>
    </row>
    <row r="439" spans="1:24">
      <c r="A439" s="28"/>
      <c r="F439" s="32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125"/>
    </row>
    <row r="440" spans="1:24">
      <c r="A440" s="28"/>
      <c r="F440" s="32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125"/>
    </row>
    <row r="441" spans="1:24">
      <c r="A441" s="28"/>
      <c r="F441" s="32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125"/>
    </row>
    <row r="442" spans="1:24">
      <c r="A442" s="28"/>
      <c r="F442" s="32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125"/>
    </row>
    <row r="443" spans="1:24">
      <c r="A443" s="30" t="s">
        <v>473</v>
      </c>
      <c r="F443" s="32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125"/>
    </row>
    <row r="444" spans="1:24">
      <c r="A444" s="28"/>
      <c r="F444" s="32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125"/>
    </row>
    <row r="445" spans="1:24">
      <c r="A445" s="28"/>
      <c r="F445" s="27"/>
    </row>
    <row r="446" spans="1:24">
      <c r="A446" s="120" t="s">
        <v>173</v>
      </c>
      <c r="F446" s="27"/>
    </row>
    <row r="447" spans="1:24">
      <c r="A447" s="28">
        <v>920</v>
      </c>
      <c r="B447" s="25" t="s">
        <v>442</v>
      </c>
      <c r="C447" s="117" t="s">
        <v>154</v>
      </c>
      <c r="D447" s="117" t="s">
        <v>155</v>
      </c>
      <c r="F447" s="32">
        <f>7033889.09107013</f>
        <v>7033889.0910701295</v>
      </c>
      <c r="G447" s="27">
        <f t="shared" ref="G447:G460" si="244">(VLOOKUP($D447,$C$6:$AJ$992,5,)/VLOOKUP($D447,$C$6:$AJ$992,4,))*$F447</f>
        <v>25593.706244398985</v>
      </c>
      <c r="H447" s="27">
        <f t="shared" ref="H447:H460" si="245">(VLOOKUP($D447,$C$6:$AJ$992,6,)/VLOOKUP($D447,$C$6:$AJ$992,4,))*$F447</f>
        <v>192410.60588847141</v>
      </c>
      <c r="I447" s="27">
        <f t="shared" ref="I447:I460" si="246">(VLOOKUP($D447,$C$6:$AJ$992,7,)/VLOOKUP($D447,$C$6:$AJ$992,4,))*$F447</f>
        <v>666187.01510007645</v>
      </c>
      <c r="J447" s="27">
        <f t="shared" ref="J447:J460" si="247">(VLOOKUP($D447,$C$6:$AJ$992,8,)/VLOOKUP($D447,$C$6:$AJ$992,4,))*$F447</f>
        <v>684131.26912243851</v>
      </c>
      <c r="K447" s="27">
        <f t="shared" ref="K447:K460" si="248">(VLOOKUP($D447,$C$6:$AJ$992,9,)/VLOOKUP($D447,$C$6:$AJ$992,4,))*$F447</f>
        <v>304798.37850834004</v>
      </c>
      <c r="L447" s="27">
        <f t="shared" ref="L447:L460" si="249">(VLOOKUP($D447,$C$6:$AJ$992,10,)/VLOOKUP($D447,$C$6:$AJ$992,4,))*$F447</f>
        <v>0</v>
      </c>
      <c r="M447" s="27">
        <f t="shared" ref="M447:M460" si="250">(VLOOKUP($D447,$C$6:$AJ$992,11,)/VLOOKUP($D447,$C$6:$AJ$992,4,))*$F447</f>
        <v>114717.2100143563</v>
      </c>
      <c r="N447" s="27">
        <f t="shared" ref="N447:N460" si="251">(VLOOKUP($D447,$C$6:$AJ$992,12,)/VLOOKUP($D447,$C$6:$AJ$992,4,))*$F447</f>
        <v>406438.66011298756</v>
      </c>
      <c r="O447" s="27">
        <f t="shared" ref="O447:O460" si="252">(VLOOKUP($D447,$C$6:$AJ$992,13,)/VLOOKUP($D447,$C$6:$AJ$992,4,))*$F447</f>
        <v>835296.91348591598</v>
      </c>
      <c r="P447" s="27">
        <f t="shared" ref="P447:P460" si="253">(VLOOKUP($D447,$C$6:$AJ$992,14,)/VLOOKUP($D447,$C$6:$AJ$992,4,))*$F447</f>
        <v>1398222.8140930329</v>
      </c>
      <c r="Q447" s="27">
        <f t="shared" ref="Q447:Q460" si="254">(VLOOKUP($D447,$C$6:$AJ$992,15,)/VLOOKUP($D447,$C$6:$AJ$992,4,))*$F447</f>
        <v>121550.97583192315</v>
      </c>
      <c r="R447" s="27">
        <f t="shared" ref="R447:R460" si="255">(VLOOKUP($D447,$C$6:$AJ$992,16,)/VLOOKUP($D447,$C$6:$AJ$992,4,))*$F447</f>
        <v>87598.934650543204</v>
      </c>
      <c r="S447" s="27">
        <f t="shared" ref="S447:S460" si="256">(VLOOKUP($D447,$C$6:$AJ$992,17,)/VLOOKUP($D447,$C$6:$AJ$992,4,))*$F447</f>
        <v>386426.74492818612</v>
      </c>
      <c r="T447" s="27">
        <f t="shared" ref="T447:T460" si="257">(VLOOKUP($D447,$C$6:$AJ$992,18,)/VLOOKUP($D447,$C$6:$AJ$992,4,))*$F447</f>
        <v>407968.27273592632</v>
      </c>
      <c r="U447" s="27">
        <f t="shared" ref="U447:U460" si="258">(VLOOKUP($D447,$C$6:$AJ$992,19,)/VLOOKUP($D447,$C$6:$AJ$992,4,))*$F447</f>
        <v>1291667.1986491752</v>
      </c>
      <c r="V447" s="27">
        <f t="shared" ref="V447:V460" si="259">(VLOOKUP($D447,$C$6:$AJ$992,20,)/VLOOKUP($D447,$C$6:$AJ$992,4,))*$F447</f>
        <v>110880.3917043585</v>
      </c>
      <c r="W447" s="27">
        <f t="shared" ref="W447:W454" si="260">SUM(G447:V447)</f>
        <v>7033889.0910701305</v>
      </c>
      <c r="X447" s="125" t="str">
        <f t="shared" ref="X447:X454" si="261">IF(ABS(W447-F447)&lt;1,"ok","err")</f>
        <v>ok</v>
      </c>
    </row>
    <row r="448" spans="1:24">
      <c r="A448" s="28">
        <v>921</v>
      </c>
      <c r="B448" s="25" t="s">
        <v>443</v>
      </c>
      <c r="C448" s="117" t="s">
        <v>156</v>
      </c>
      <c r="D448" s="117" t="s">
        <v>155</v>
      </c>
      <c r="F448" s="27">
        <v>1664726.2992386098</v>
      </c>
      <c r="G448" s="27">
        <f t="shared" si="244"/>
        <v>6057.3198309494965</v>
      </c>
      <c r="H448" s="27">
        <f t="shared" si="245"/>
        <v>45538.2494275641</v>
      </c>
      <c r="I448" s="27">
        <f t="shared" si="246"/>
        <v>157667.97427277049</v>
      </c>
      <c r="J448" s="27">
        <f t="shared" si="247"/>
        <v>161914.88109835132</v>
      </c>
      <c r="K448" s="27">
        <f t="shared" si="248"/>
        <v>72137.315516148083</v>
      </c>
      <c r="L448" s="27">
        <f t="shared" si="249"/>
        <v>0</v>
      </c>
      <c r="M448" s="27">
        <f t="shared" si="250"/>
        <v>27150.379258698737</v>
      </c>
      <c r="N448" s="27">
        <f t="shared" si="251"/>
        <v>96192.748813225073</v>
      </c>
      <c r="O448" s="27">
        <f t="shared" si="252"/>
        <v>197691.59302187499</v>
      </c>
      <c r="P448" s="27">
        <f t="shared" si="253"/>
        <v>330920.52784442774</v>
      </c>
      <c r="Q448" s="27">
        <f t="shared" si="254"/>
        <v>28767.741934175694</v>
      </c>
      <c r="R448" s="27">
        <f t="shared" si="255"/>
        <v>20732.236236590623</v>
      </c>
      <c r="S448" s="27">
        <f t="shared" si="256"/>
        <v>91456.483985199025</v>
      </c>
      <c r="T448" s="27">
        <f t="shared" si="257"/>
        <v>96554.765661669022</v>
      </c>
      <c r="U448" s="27">
        <f t="shared" si="258"/>
        <v>305701.77146879112</v>
      </c>
      <c r="V448" s="27">
        <f t="shared" si="259"/>
        <v>26242.310868174565</v>
      </c>
      <c r="W448" s="27">
        <f t="shared" si="260"/>
        <v>1664726.2992386101</v>
      </c>
      <c r="X448" s="125" t="str">
        <f t="shared" si="261"/>
        <v>ok</v>
      </c>
    </row>
    <row r="449" spans="1:24">
      <c r="A449" s="28">
        <v>922</v>
      </c>
      <c r="B449" s="25" t="s">
        <v>444</v>
      </c>
      <c r="C449" s="117" t="s">
        <v>157</v>
      </c>
      <c r="D449" s="117" t="s">
        <v>155</v>
      </c>
      <c r="F449" s="27">
        <v>-822889.59257094003</v>
      </c>
      <c r="G449" s="27">
        <f t="shared" si="244"/>
        <v>-2994.1891649345916</v>
      </c>
      <c r="H449" s="27">
        <f t="shared" si="245"/>
        <v>-22509.977486978452</v>
      </c>
      <c r="I449" s="27">
        <f t="shared" si="246"/>
        <v>-77936.736609583095</v>
      </c>
      <c r="J449" s="27">
        <f t="shared" si="247"/>
        <v>-80036.021896892707</v>
      </c>
      <c r="K449" s="27">
        <f t="shared" si="248"/>
        <v>-35658.141642499555</v>
      </c>
      <c r="L449" s="27">
        <f t="shared" si="249"/>
        <v>0</v>
      </c>
      <c r="M449" s="27">
        <f t="shared" si="250"/>
        <v>-13420.683349902913</v>
      </c>
      <c r="N449" s="27">
        <f t="shared" si="251"/>
        <v>-47548.964604810331</v>
      </c>
      <c r="O449" s="27">
        <f t="shared" si="252"/>
        <v>-97720.781194406823</v>
      </c>
      <c r="P449" s="27">
        <f t="shared" si="253"/>
        <v>-163577.07477547962</v>
      </c>
      <c r="Q449" s="27">
        <f t="shared" si="254"/>
        <v>-14220.160665586214</v>
      </c>
      <c r="R449" s="27">
        <f t="shared" si="255"/>
        <v>-10248.135947401905</v>
      </c>
      <c r="S449" s="27">
        <f t="shared" si="256"/>
        <v>-45207.785134992999</v>
      </c>
      <c r="T449" s="27">
        <f t="shared" si="257"/>
        <v>-47727.912878202842</v>
      </c>
      <c r="U449" s="27">
        <f t="shared" si="258"/>
        <v>-151111.21046578212</v>
      </c>
      <c r="V449" s="27">
        <f t="shared" si="259"/>
        <v>-12971.816753485982</v>
      </c>
      <c r="W449" s="27">
        <f t="shared" si="260"/>
        <v>-822889.59257094015</v>
      </c>
      <c r="X449" s="125" t="str">
        <f t="shared" si="261"/>
        <v>ok</v>
      </c>
    </row>
    <row r="450" spans="1:24">
      <c r="A450" s="28">
        <v>923</v>
      </c>
      <c r="B450" s="25" t="s">
        <v>158</v>
      </c>
      <c r="C450" s="117" t="s">
        <v>159</v>
      </c>
      <c r="D450" s="117" t="s">
        <v>155</v>
      </c>
      <c r="F450" s="27">
        <v>4322686.4099999899</v>
      </c>
      <c r="G450" s="27">
        <f t="shared" si="244"/>
        <v>15728.648082417189</v>
      </c>
      <c r="H450" s="27">
        <f t="shared" si="245"/>
        <v>118246.20781551457</v>
      </c>
      <c r="I450" s="27">
        <f t="shared" si="246"/>
        <v>409406.16484094161</v>
      </c>
      <c r="J450" s="27">
        <f t="shared" si="247"/>
        <v>420433.83132754121</v>
      </c>
      <c r="K450" s="27">
        <f t="shared" si="248"/>
        <v>187314.27116767122</v>
      </c>
      <c r="L450" s="27">
        <f t="shared" si="249"/>
        <v>0</v>
      </c>
      <c r="M450" s="27">
        <f t="shared" si="250"/>
        <v>70499.622371317339</v>
      </c>
      <c r="N450" s="27">
        <f t="shared" si="251"/>
        <v>249777.44883687413</v>
      </c>
      <c r="O450" s="27">
        <f t="shared" si="252"/>
        <v>513332.89016804413</v>
      </c>
      <c r="P450" s="27">
        <f t="shared" si="253"/>
        <v>859279.79221411841</v>
      </c>
      <c r="Q450" s="27">
        <f t="shared" si="254"/>
        <v>74699.322742797682</v>
      </c>
      <c r="R450" s="27">
        <f t="shared" si="255"/>
        <v>53834.048197477467</v>
      </c>
      <c r="S450" s="27">
        <f t="shared" si="256"/>
        <v>237479.09828181114</v>
      </c>
      <c r="T450" s="27">
        <f t="shared" si="257"/>
        <v>250717.47442046431</v>
      </c>
      <c r="U450" s="27">
        <f t="shared" si="258"/>
        <v>793795.88923744077</v>
      </c>
      <c r="V450" s="27">
        <f t="shared" si="259"/>
        <v>68141.70029555948</v>
      </c>
      <c r="W450" s="27">
        <f t="shared" si="260"/>
        <v>4322686.4099999908</v>
      </c>
      <c r="X450" s="125" t="str">
        <f t="shared" si="261"/>
        <v>ok</v>
      </c>
    </row>
    <row r="451" spans="1:24">
      <c r="A451" s="28">
        <v>924</v>
      </c>
      <c r="B451" s="25" t="s">
        <v>161</v>
      </c>
      <c r="C451" s="117" t="s">
        <v>162</v>
      </c>
      <c r="D451" s="117" t="s">
        <v>73</v>
      </c>
      <c r="F451" s="27">
        <v>1132869.57</v>
      </c>
      <c r="G451" s="27">
        <f t="shared" si="244"/>
        <v>0</v>
      </c>
      <c r="H451" s="27">
        <f t="shared" si="245"/>
        <v>0</v>
      </c>
      <c r="I451" s="27">
        <f t="shared" si="246"/>
        <v>195113.9182453051</v>
      </c>
      <c r="J451" s="27">
        <f t="shared" si="247"/>
        <v>0</v>
      </c>
      <c r="K451" s="27">
        <f t="shared" si="248"/>
        <v>67817.982189569084</v>
      </c>
      <c r="L451" s="27">
        <f t="shared" si="249"/>
        <v>0</v>
      </c>
      <c r="M451" s="27">
        <f t="shared" si="250"/>
        <v>0</v>
      </c>
      <c r="N451" s="27">
        <f t="shared" si="251"/>
        <v>34215.590243437917</v>
      </c>
      <c r="O451" s="27">
        <f t="shared" si="252"/>
        <v>156841.54206541571</v>
      </c>
      <c r="P451" s="27">
        <f t="shared" si="253"/>
        <v>262540.68316642224</v>
      </c>
      <c r="Q451" s="27">
        <f t="shared" si="254"/>
        <v>22823.312502706078</v>
      </c>
      <c r="R451" s="27">
        <f t="shared" si="255"/>
        <v>16448.225501686149</v>
      </c>
      <c r="S451" s="27">
        <f t="shared" si="256"/>
        <v>274080.50543828949</v>
      </c>
      <c r="T451" s="27">
        <f t="shared" si="257"/>
        <v>102987.81064716793</v>
      </c>
      <c r="U451" s="27">
        <f t="shared" si="258"/>
        <v>0</v>
      </c>
      <c r="V451" s="27">
        <f t="shared" si="259"/>
        <v>0</v>
      </c>
      <c r="W451" s="27">
        <f t="shared" si="260"/>
        <v>1132869.5699999996</v>
      </c>
      <c r="X451" s="125" t="str">
        <f t="shared" si="261"/>
        <v>ok</v>
      </c>
    </row>
    <row r="452" spans="1:24">
      <c r="A452" s="28">
        <v>925</v>
      </c>
      <c r="B452" s="25" t="s">
        <v>734</v>
      </c>
      <c r="C452" s="117" t="s">
        <v>164</v>
      </c>
      <c r="D452" s="117" t="s">
        <v>155</v>
      </c>
      <c r="F452" s="27">
        <v>859847.77115542896</v>
      </c>
      <c r="G452" s="27">
        <f t="shared" si="244"/>
        <v>3128.6662307189113</v>
      </c>
      <c r="H452" s="27">
        <f t="shared" si="245"/>
        <v>23520.960947466025</v>
      </c>
      <c r="I452" s="27">
        <f t="shared" si="246"/>
        <v>81437.084476312171</v>
      </c>
      <c r="J452" s="27">
        <f t="shared" si="247"/>
        <v>83630.654296138193</v>
      </c>
      <c r="K452" s="27">
        <f t="shared" si="248"/>
        <v>37259.64441846386</v>
      </c>
      <c r="L452" s="27">
        <f t="shared" si="249"/>
        <v>0</v>
      </c>
      <c r="M452" s="27">
        <f t="shared" si="250"/>
        <v>14023.442233293248</v>
      </c>
      <c r="N452" s="27">
        <f t="shared" si="251"/>
        <v>49684.516131087083</v>
      </c>
      <c r="O452" s="27">
        <f t="shared" si="252"/>
        <v>102109.68356406136</v>
      </c>
      <c r="P452" s="27">
        <f t="shared" si="253"/>
        <v>170923.75991581855</v>
      </c>
      <c r="Q452" s="27">
        <f t="shared" si="254"/>
        <v>14858.82621941451</v>
      </c>
      <c r="R452" s="27">
        <f t="shared" si="255"/>
        <v>10708.407218203702</v>
      </c>
      <c r="S452" s="27">
        <f t="shared" si="256"/>
        <v>47238.188012258986</v>
      </c>
      <c r="T452" s="27">
        <f t="shared" si="257"/>
        <v>49871.501451375232</v>
      </c>
      <c r="U452" s="27">
        <f t="shared" si="258"/>
        <v>157898.02020664199</v>
      </c>
      <c r="V452" s="27">
        <f t="shared" si="259"/>
        <v>13554.415834175255</v>
      </c>
      <c r="W452" s="27">
        <f t="shared" si="260"/>
        <v>859847.77115542896</v>
      </c>
      <c r="X452" s="125" t="str">
        <f t="shared" si="261"/>
        <v>ok</v>
      </c>
    </row>
    <row r="453" spans="1:24">
      <c r="A453" s="28">
        <v>926</v>
      </c>
      <c r="B453" s="25" t="s">
        <v>735</v>
      </c>
      <c r="C453" s="117" t="s">
        <v>165</v>
      </c>
      <c r="D453" s="117" t="s">
        <v>155</v>
      </c>
      <c r="F453" s="27">
        <v>10825869.191399898</v>
      </c>
      <c r="G453" s="27">
        <f t="shared" si="244"/>
        <v>39391.311454816299</v>
      </c>
      <c r="H453" s="27">
        <f t="shared" si="245"/>
        <v>296139.45051125094</v>
      </c>
      <c r="I453" s="27">
        <f t="shared" si="246"/>
        <v>1025329.4285857641</v>
      </c>
      <c r="J453" s="27">
        <f t="shared" si="247"/>
        <v>1052947.4567161722</v>
      </c>
      <c r="K453" s="27">
        <f t="shared" si="248"/>
        <v>469115.63898145984</v>
      </c>
      <c r="L453" s="27">
        <f t="shared" si="249"/>
        <v>0</v>
      </c>
      <c r="M453" s="27">
        <f t="shared" si="250"/>
        <v>176561.42903851619</v>
      </c>
      <c r="N453" s="27">
        <f t="shared" si="251"/>
        <v>625550.34799981851</v>
      </c>
      <c r="O453" s="27">
        <f t="shared" si="252"/>
        <v>1285606.7254257544</v>
      </c>
      <c r="P453" s="27">
        <f t="shared" si="253"/>
        <v>2152006.81867722</v>
      </c>
      <c r="Q453" s="27">
        <f t="shared" si="254"/>
        <v>187079.28820117511</v>
      </c>
      <c r="R453" s="27">
        <f t="shared" si="255"/>
        <v>134823.65097805229</v>
      </c>
      <c r="S453" s="27">
        <f t="shared" si="256"/>
        <v>594749.97949029889</v>
      </c>
      <c r="T453" s="27">
        <f t="shared" si="257"/>
        <v>627904.57706926344</v>
      </c>
      <c r="U453" s="27">
        <f t="shared" si="258"/>
        <v>1988006.9120155112</v>
      </c>
      <c r="V453" s="27">
        <f t="shared" si="259"/>
        <v>170656.1762548268</v>
      </c>
      <c r="W453" s="27">
        <f t="shared" si="260"/>
        <v>10825869.1913999</v>
      </c>
      <c r="X453" s="125" t="str">
        <f t="shared" si="261"/>
        <v>ok</v>
      </c>
    </row>
    <row r="454" spans="1:24">
      <c r="A454" s="28">
        <v>927</v>
      </c>
      <c r="B454" s="25" t="s">
        <v>699</v>
      </c>
      <c r="C454" s="117" t="s">
        <v>166</v>
      </c>
      <c r="D454" s="117" t="s">
        <v>73</v>
      </c>
      <c r="F454" s="27">
        <v>0</v>
      </c>
      <c r="G454" s="27">
        <f t="shared" si="244"/>
        <v>0</v>
      </c>
      <c r="H454" s="27">
        <f t="shared" si="245"/>
        <v>0</v>
      </c>
      <c r="I454" s="27">
        <f t="shared" si="246"/>
        <v>0</v>
      </c>
      <c r="J454" s="27">
        <f t="shared" si="247"/>
        <v>0</v>
      </c>
      <c r="K454" s="27">
        <f t="shared" si="248"/>
        <v>0</v>
      </c>
      <c r="L454" s="27">
        <f t="shared" si="249"/>
        <v>0</v>
      </c>
      <c r="M454" s="27">
        <f t="shared" si="250"/>
        <v>0</v>
      </c>
      <c r="N454" s="27">
        <f t="shared" si="251"/>
        <v>0</v>
      </c>
      <c r="O454" s="27">
        <f t="shared" si="252"/>
        <v>0</v>
      </c>
      <c r="P454" s="27">
        <f t="shared" si="253"/>
        <v>0</v>
      </c>
      <c r="Q454" s="27">
        <f t="shared" si="254"/>
        <v>0</v>
      </c>
      <c r="R454" s="27">
        <f t="shared" si="255"/>
        <v>0</v>
      </c>
      <c r="S454" s="27">
        <f t="shared" si="256"/>
        <v>0</v>
      </c>
      <c r="T454" s="27">
        <f t="shared" si="257"/>
        <v>0</v>
      </c>
      <c r="U454" s="27">
        <f t="shared" si="258"/>
        <v>0</v>
      </c>
      <c r="V454" s="27">
        <f t="shared" si="259"/>
        <v>0</v>
      </c>
      <c r="W454" s="27">
        <f t="shared" si="260"/>
        <v>0</v>
      </c>
      <c r="X454" s="125" t="str">
        <f t="shared" si="261"/>
        <v>ok</v>
      </c>
    </row>
    <row r="455" spans="1:24">
      <c r="A455" s="28">
        <v>928</v>
      </c>
      <c r="B455" s="25" t="s">
        <v>167</v>
      </c>
      <c r="C455" s="117" t="s">
        <v>168</v>
      </c>
      <c r="D455" s="117" t="s">
        <v>73</v>
      </c>
      <c r="F455" s="27">
        <v>196595.99999999939</v>
      </c>
      <c r="G455" s="27">
        <f t="shared" si="244"/>
        <v>0</v>
      </c>
      <c r="H455" s="27">
        <f t="shared" si="245"/>
        <v>0</v>
      </c>
      <c r="I455" s="27">
        <f t="shared" si="246"/>
        <v>33859.693019518461</v>
      </c>
      <c r="J455" s="27">
        <f t="shared" si="247"/>
        <v>0</v>
      </c>
      <c r="K455" s="27">
        <f t="shared" si="248"/>
        <v>11769.001815928803</v>
      </c>
      <c r="L455" s="27">
        <f t="shared" si="249"/>
        <v>0</v>
      </c>
      <c r="M455" s="27">
        <f t="shared" si="250"/>
        <v>0</v>
      </c>
      <c r="N455" s="27">
        <f t="shared" si="251"/>
        <v>5937.7075328264837</v>
      </c>
      <c r="O455" s="27">
        <f t="shared" si="252"/>
        <v>27217.978680363325</v>
      </c>
      <c r="P455" s="27">
        <f t="shared" si="253"/>
        <v>45560.803745294164</v>
      </c>
      <c r="Q455" s="27">
        <f t="shared" si="254"/>
        <v>3960.7136281204812</v>
      </c>
      <c r="R455" s="27">
        <f t="shared" si="255"/>
        <v>2854.3933267882549</v>
      </c>
      <c r="S455" s="27">
        <f t="shared" si="256"/>
        <v>47563.402243336619</v>
      </c>
      <c r="T455" s="27">
        <f t="shared" si="257"/>
        <v>17872.306007822739</v>
      </c>
      <c r="U455" s="27">
        <f t="shared" si="258"/>
        <v>0</v>
      </c>
      <c r="V455" s="27">
        <f t="shared" si="259"/>
        <v>0</v>
      </c>
      <c r="W455" s="27">
        <f t="shared" ref="W455:W460" si="262">SUM(G455:V455)</f>
        <v>196595.99999999936</v>
      </c>
      <c r="X455" s="125" t="str">
        <f t="shared" ref="X455:X460" si="263">IF(ABS(W455-F455)&lt;1,"ok","err")</f>
        <v>ok</v>
      </c>
    </row>
    <row r="456" spans="1:24">
      <c r="A456" s="28">
        <v>929</v>
      </c>
      <c r="B456" s="25" t="s">
        <v>698</v>
      </c>
      <c r="C456" s="117" t="s">
        <v>169</v>
      </c>
      <c r="D456" s="117" t="s">
        <v>155</v>
      </c>
      <c r="F456" s="27">
        <v>-597000</v>
      </c>
      <c r="G456" s="27">
        <f t="shared" si="244"/>
        <v>-2172.2609540864391</v>
      </c>
      <c r="H456" s="27">
        <f t="shared" si="245"/>
        <v>-16330.813612237573</v>
      </c>
      <c r="I456" s="27">
        <f t="shared" si="246"/>
        <v>-56542.496315397235</v>
      </c>
      <c r="J456" s="27">
        <f t="shared" si="247"/>
        <v>-58065.511465714371</v>
      </c>
      <c r="K456" s="27">
        <f t="shared" si="248"/>
        <v>-25869.704457025364</v>
      </c>
      <c r="L456" s="27">
        <f t="shared" si="249"/>
        <v>0</v>
      </c>
      <c r="M456" s="27">
        <f t="shared" si="250"/>
        <v>-9736.6014009969676</v>
      </c>
      <c r="N456" s="27">
        <f t="shared" si="251"/>
        <v>-34496.404044172661</v>
      </c>
      <c r="O456" s="27">
        <f t="shared" si="252"/>
        <v>-70895.666806032095</v>
      </c>
      <c r="P456" s="27">
        <f t="shared" si="253"/>
        <v>-118673.89565088297</v>
      </c>
      <c r="Q456" s="27">
        <f t="shared" si="254"/>
        <v>-10316.615976186511</v>
      </c>
      <c r="R456" s="27">
        <f t="shared" si="255"/>
        <v>-7434.9429326042928</v>
      </c>
      <c r="S456" s="27">
        <f t="shared" si="256"/>
        <v>-32797.896545597803</v>
      </c>
      <c r="T456" s="27">
        <f t="shared" si="257"/>
        <v>-34626.229624882166</v>
      </c>
      <c r="U456" s="27">
        <f t="shared" si="258"/>
        <v>-109630.0080381619</v>
      </c>
      <c r="V456" s="27">
        <f t="shared" si="259"/>
        <v>-9410.9521760217413</v>
      </c>
      <c r="W456" s="27">
        <f t="shared" si="262"/>
        <v>-597000.00000000012</v>
      </c>
      <c r="X456" s="125" t="str">
        <f t="shared" si="263"/>
        <v>ok</v>
      </c>
    </row>
    <row r="457" spans="1:24">
      <c r="A457" s="28">
        <v>930.1</v>
      </c>
      <c r="B457" s="25" t="s">
        <v>736</v>
      </c>
      <c r="C457" s="117" t="s">
        <v>588</v>
      </c>
      <c r="D457" s="117" t="s">
        <v>73</v>
      </c>
      <c r="F457" s="27">
        <v>130241.09999999999</v>
      </c>
      <c r="G457" s="27">
        <f t="shared" si="244"/>
        <v>0</v>
      </c>
      <c r="H457" s="27">
        <f t="shared" si="245"/>
        <v>0</v>
      </c>
      <c r="I457" s="27">
        <f t="shared" si="246"/>
        <v>22431.400763618887</v>
      </c>
      <c r="J457" s="27">
        <f t="shared" si="247"/>
        <v>0</v>
      </c>
      <c r="K457" s="27">
        <f t="shared" si="248"/>
        <v>7796.7392134558659</v>
      </c>
      <c r="L457" s="27">
        <f t="shared" si="249"/>
        <v>0</v>
      </c>
      <c r="M457" s="27">
        <f t="shared" si="250"/>
        <v>0</v>
      </c>
      <c r="N457" s="27">
        <f t="shared" si="251"/>
        <v>3933.6179808012866</v>
      </c>
      <c r="O457" s="27">
        <f t="shared" si="252"/>
        <v>18031.391702308687</v>
      </c>
      <c r="P457" s="27">
        <f t="shared" si="253"/>
        <v>30183.163424847149</v>
      </c>
      <c r="Q457" s="27">
        <f t="shared" si="254"/>
        <v>2623.8972294014325</v>
      </c>
      <c r="R457" s="27">
        <f t="shared" si="255"/>
        <v>1890.981132441977</v>
      </c>
      <c r="S457" s="27">
        <f t="shared" si="256"/>
        <v>31509.846730933732</v>
      </c>
      <c r="T457" s="27">
        <f t="shared" si="257"/>
        <v>11840.061822190935</v>
      </c>
      <c r="U457" s="27">
        <f t="shared" si="258"/>
        <v>0</v>
      </c>
      <c r="V457" s="27">
        <f t="shared" si="259"/>
        <v>0</v>
      </c>
      <c r="W457" s="27">
        <f t="shared" si="262"/>
        <v>130241.09999999996</v>
      </c>
      <c r="X457" s="125" t="str">
        <f t="shared" si="263"/>
        <v>ok</v>
      </c>
    </row>
    <row r="458" spans="1:24">
      <c r="A458" s="28">
        <v>930.2</v>
      </c>
      <c r="B458" s="25" t="s">
        <v>717</v>
      </c>
      <c r="C458" s="117" t="s">
        <v>589</v>
      </c>
      <c r="D458" s="117" t="s">
        <v>155</v>
      </c>
      <c r="F458" s="27">
        <v>404508.4851181641</v>
      </c>
      <c r="G458" s="27">
        <f t="shared" si="244"/>
        <v>1471.8559259947124</v>
      </c>
      <c r="H458" s="27">
        <f t="shared" si="245"/>
        <v>11065.247361864847</v>
      </c>
      <c r="I458" s="27">
        <f t="shared" si="246"/>
        <v>38311.422997220623</v>
      </c>
      <c r="J458" s="27">
        <f t="shared" si="247"/>
        <v>39343.370319275557</v>
      </c>
      <c r="K458" s="27">
        <f t="shared" si="248"/>
        <v>17528.500771132243</v>
      </c>
      <c r="L458" s="27">
        <f t="shared" si="249"/>
        <v>0</v>
      </c>
      <c r="M458" s="27">
        <f t="shared" si="250"/>
        <v>6597.215884282542</v>
      </c>
      <c r="N458" s="27">
        <f t="shared" si="251"/>
        <v>23373.681979786252</v>
      </c>
      <c r="O458" s="27">
        <f t="shared" si="252"/>
        <v>48036.681375460896</v>
      </c>
      <c r="P458" s="27">
        <f t="shared" si="253"/>
        <v>80409.711478743309</v>
      </c>
      <c r="Q458" s="27">
        <f t="shared" si="254"/>
        <v>6990.2155780118183</v>
      </c>
      <c r="R458" s="27">
        <f t="shared" si="255"/>
        <v>5037.6842589744774</v>
      </c>
      <c r="S458" s="27">
        <f t="shared" si="256"/>
        <v>22222.826543923009</v>
      </c>
      <c r="T458" s="27">
        <f t="shared" si="257"/>
        <v>23461.647723475344</v>
      </c>
      <c r="U458" s="27">
        <f t="shared" si="258"/>
        <v>74281.856742058662</v>
      </c>
      <c r="V458" s="27">
        <f t="shared" si="259"/>
        <v>6376.5661779598731</v>
      </c>
      <c r="W458" s="27">
        <f t="shared" si="262"/>
        <v>404508.48511816416</v>
      </c>
      <c r="X458" s="125" t="str">
        <f t="shared" si="263"/>
        <v>ok</v>
      </c>
    </row>
    <row r="459" spans="1:24">
      <c r="A459" s="28">
        <v>931</v>
      </c>
      <c r="B459" s="25" t="s">
        <v>109</v>
      </c>
      <c r="C459" s="117" t="s">
        <v>170</v>
      </c>
      <c r="D459" s="117" t="s">
        <v>73</v>
      </c>
      <c r="F459" s="27">
        <v>343798.77</v>
      </c>
      <c r="G459" s="27">
        <f t="shared" si="244"/>
        <v>0</v>
      </c>
      <c r="H459" s="27">
        <f t="shared" si="245"/>
        <v>0</v>
      </c>
      <c r="I459" s="27">
        <f t="shared" si="246"/>
        <v>59212.399096055204</v>
      </c>
      <c r="J459" s="27">
        <f t="shared" si="247"/>
        <v>0</v>
      </c>
      <c r="K459" s="27">
        <f t="shared" si="248"/>
        <v>20581.132619402742</v>
      </c>
      <c r="L459" s="27">
        <f t="shared" si="249"/>
        <v>0</v>
      </c>
      <c r="M459" s="27">
        <f t="shared" si="250"/>
        <v>0</v>
      </c>
      <c r="N459" s="27">
        <f t="shared" si="251"/>
        <v>10383.611804947639</v>
      </c>
      <c r="O459" s="27">
        <f t="shared" si="252"/>
        <v>47597.649963352073</v>
      </c>
      <c r="P459" s="27">
        <f t="shared" si="253"/>
        <v>79674.806648373196</v>
      </c>
      <c r="Q459" s="27">
        <f t="shared" si="254"/>
        <v>6926.3284790639855</v>
      </c>
      <c r="R459" s="27">
        <f t="shared" si="255"/>
        <v>4991.6423266292968</v>
      </c>
      <c r="S459" s="27">
        <f t="shared" si="256"/>
        <v>83176.866204167032</v>
      </c>
      <c r="T459" s="27">
        <f t="shared" si="257"/>
        <v>31254.332858008747</v>
      </c>
      <c r="U459" s="27">
        <f t="shared" si="258"/>
        <v>0</v>
      </c>
      <c r="V459" s="27">
        <f t="shared" si="259"/>
        <v>0</v>
      </c>
      <c r="W459" s="27">
        <f t="shared" si="262"/>
        <v>343798.7699999999</v>
      </c>
      <c r="X459" s="125" t="str">
        <f t="shared" si="263"/>
        <v>ok</v>
      </c>
    </row>
    <row r="460" spans="1:24">
      <c r="A460" s="28">
        <v>935</v>
      </c>
      <c r="B460" s="25" t="s">
        <v>189</v>
      </c>
      <c r="C460" s="117" t="s">
        <v>171</v>
      </c>
      <c r="D460" s="117" t="s">
        <v>63</v>
      </c>
      <c r="F460" s="27">
        <v>367294.18986940396</v>
      </c>
      <c r="G460" s="27">
        <f t="shared" si="244"/>
        <v>0</v>
      </c>
      <c r="H460" s="27">
        <f t="shared" si="245"/>
        <v>0</v>
      </c>
      <c r="I460" s="27">
        <f t="shared" si="246"/>
        <v>61383.27323966183</v>
      </c>
      <c r="J460" s="27">
        <f t="shared" si="247"/>
        <v>0</v>
      </c>
      <c r="K460" s="27">
        <f t="shared" si="248"/>
        <v>21654.528025081952</v>
      </c>
      <c r="L460" s="27">
        <f t="shared" si="249"/>
        <v>0</v>
      </c>
      <c r="M460" s="27">
        <f t="shared" si="250"/>
        <v>0</v>
      </c>
      <c r="N460" s="27">
        <f t="shared" si="251"/>
        <v>11233.845943637465</v>
      </c>
      <c r="O460" s="27">
        <f t="shared" si="252"/>
        <v>51027.865882873135</v>
      </c>
      <c r="P460" s="27">
        <f t="shared" si="253"/>
        <v>85416.724376673694</v>
      </c>
      <c r="Q460" s="27">
        <f t="shared" si="254"/>
        <v>7425.4876230765676</v>
      </c>
      <c r="R460" s="27">
        <f t="shared" si="255"/>
        <v>5351.3746030450939</v>
      </c>
      <c r="S460" s="27">
        <f t="shared" si="256"/>
        <v>89987.580291371443</v>
      </c>
      <c r="T460" s="27">
        <f t="shared" si="257"/>
        <v>33813.509883982726</v>
      </c>
      <c r="U460" s="27">
        <f t="shared" si="258"/>
        <v>0</v>
      </c>
      <c r="V460" s="27">
        <f t="shared" si="259"/>
        <v>0</v>
      </c>
      <c r="W460" s="27">
        <f t="shared" si="262"/>
        <v>367294.1898694039</v>
      </c>
      <c r="X460" s="125" t="str">
        <f t="shared" si="263"/>
        <v>ok</v>
      </c>
    </row>
    <row r="461" spans="1:24">
      <c r="A461" s="28"/>
      <c r="F461" s="27"/>
      <c r="G461" s="131"/>
    </row>
    <row r="462" spans="1:24">
      <c r="A462" s="28" t="s">
        <v>475</v>
      </c>
      <c r="C462" s="117" t="s">
        <v>590</v>
      </c>
      <c r="F462" s="32">
        <f>SUM(F447:F460)</f>
        <v>25862437.285280686</v>
      </c>
      <c r="G462" s="32">
        <f t="shared" ref="G462:V462" si="264">SUM(G447:G460)</f>
        <v>86205.057650274553</v>
      </c>
      <c r="H462" s="32">
        <f t="shared" si="264"/>
        <v>648079.93085291586</v>
      </c>
      <c r="I462" s="32">
        <f t="shared" si="264"/>
        <v>2615860.5417122645</v>
      </c>
      <c r="J462" s="32">
        <f t="shared" si="264"/>
        <v>2304299.9295173096</v>
      </c>
      <c r="K462" s="32">
        <f t="shared" si="264"/>
        <v>1156245.287127129</v>
      </c>
      <c r="L462" s="32">
        <f t="shared" si="264"/>
        <v>0</v>
      </c>
      <c r="M462" s="32">
        <f t="shared" si="264"/>
        <v>386392.01404956449</v>
      </c>
      <c r="N462" s="32">
        <f t="shared" si="264"/>
        <v>1434676.4087304464</v>
      </c>
      <c r="O462" s="32">
        <f t="shared" si="264"/>
        <v>3114174.4673349857</v>
      </c>
      <c r="P462" s="32">
        <f t="shared" si="264"/>
        <v>5212888.6351586087</v>
      </c>
      <c r="Q462" s="32">
        <f>SUM(Q447:Q460)</f>
        <v>453169.33332809387</v>
      </c>
      <c r="R462" s="32">
        <f>SUM(R447:R460)</f>
        <v>326588.49955042638</v>
      </c>
      <c r="S462" s="32">
        <f t="shared" si="264"/>
        <v>1827885.8404691848</v>
      </c>
      <c r="T462" s="32">
        <f t="shared" si="264"/>
        <v>1571892.1177782617</v>
      </c>
      <c r="U462" s="32">
        <f t="shared" si="264"/>
        <v>4350610.4298156742</v>
      </c>
      <c r="V462" s="32">
        <f t="shared" si="264"/>
        <v>373468.79220554669</v>
      </c>
      <c r="W462" s="27">
        <f>SUM(G462:V462)</f>
        <v>25862437.285280686</v>
      </c>
      <c r="X462" s="125" t="str">
        <f>IF(ABS(W462-F462)&lt;1,"ok","err")</f>
        <v>ok</v>
      </c>
    </row>
    <row r="463" spans="1:24">
      <c r="A463" s="28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</row>
    <row r="464" spans="1:24">
      <c r="A464" s="28" t="s">
        <v>476</v>
      </c>
      <c r="C464" s="117" t="s">
        <v>91</v>
      </c>
      <c r="F464" s="32">
        <f>F316+F351+F418+F428+F431+F434+F462</f>
        <v>69416767.277806848</v>
      </c>
      <c r="G464" s="32">
        <f t="shared" ref="G464:V464" si="265">G316+G351+G418+G428+G431+G434+G462</f>
        <v>82791.065650274119</v>
      </c>
      <c r="H464" s="32">
        <f t="shared" si="265"/>
        <v>622413.92285291257</v>
      </c>
      <c r="I464" s="32">
        <f t="shared" si="265"/>
        <v>5677840.4872658551</v>
      </c>
      <c r="J464" s="32">
        <f t="shared" si="265"/>
        <v>8686432.9839637205</v>
      </c>
      <c r="K464" s="32">
        <f t="shared" si="265"/>
        <v>3945538.2871271288</v>
      </c>
      <c r="L464" s="32">
        <f t="shared" si="265"/>
        <v>0</v>
      </c>
      <c r="M464" s="32">
        <f t="shared" si="265"/>
        <v>434122.34715362266</v>
      </c>
      <c r="N464" s="32">
        <f t="shared" si="265"/>
        <v>3816276.0128755323</v>
      </c>
      <c r="O464" s="32">
        <f t="shared" si="265"/>
        <v>7964929.4958779896</v>
      </c>
      <c r="P464" s="32">
        <f t="shared" si="265"/>
        <v>13332679.618439533</v>
      </c>
      <c r="Q464" s="32">
        <f t="shared" si="265"/>
        <v>1159042.8948385683</v>
      </c>
      <c r="R464" s="32">
        <f t="shared" si="265"/>
        <v>835295.00365783914</v>
      </c>
      <c r="S464" s="32">
        <f t="shared" si="265"/>
        <v>5466204.9186358228</v>
      </c>
      <c r="T464" s="32">
        <f t="shared" si="265"/>
        <v>4047170.0249206591</v>
      </c>
      <c r="U464" s="32">
        <f t="shared" si="265"/>
        <v>12561981.229815673</v>
      </c>
      <c r="V464" s="32">
        <f t="shared" si="265"/>
        <v>784048.98473172903</v>
      </c>
      <c r="W464" s="27">
        <f>SUM(G464:V464)</f>
        <v>69416767.277806863</v>
      </c>
      <c r="X464" s="125" t="str">
        <f>IF(ABS(W464-F464)&lt;1,"ok","err")</f>
        <v>ok</v>
      </c>
    </row>
    <row r="465" spans="1:20">
      <c r="A465" s="28"/>
      <c r="F465" s="33"/>
    </row>
    <row r="466" spans="1:20">
      <c r="A466" s="14"/>
      <c r="F466" s="33"/>
      <c r="T466" s="33">
        <f>T464+S464+R464+Q464+P464+O464+N464+M464</f>
        <v>37055720.316399559</v>
      </c>
    </row>
    <row r="467" spans="1:20">
      <c r="A467" s="14"/>
    </row>
    <row r="468" spans="1:20">
      <c r="A468" s="14"/>
      <c r="F468" s="31"/>
    </row>
    <row r="469" spans="1:20">
      <c r="A469" s="14"/>
      <c r="F469" s="133"/>
    </row>
    <row r="470" spans="1:20">
      <c r="F470" s="33"/>
    </row>
    <row r="486" spans="1:24">
      <c r="A486" s="30" t="s">
        <v>174</v>
      </c>
    </row>
    <row r="488" spans="1:24">
      <c r="A488" s="120"/>
    </row>
    <row r="489" spans="1:24">
      <c r="A489" s="13" t="s">
        <v>399</v>
      </c>
    </row>
    <row r="490" spans="1:24">
      <c r="A490" s="25" t="s">
        <v>22</v>
      </c>
      <c r="B490" s="25" t="s">
        <v>397</v>
      </c>
      <c r="C490" s="117" t="s">
        <v>601</v>
      </c>
      <c r="D490" s="117" t="s">
        <v>25</v>
      </c>
      <c r="F490" s="32">
        <f>2866267.77432267-5698.79</f>
        <v>2860568.9843226699</v>
      </c>
      <c r="G490" s="27">
        <f>(VLOOKUP($D490,$C$6:$AJ$992,5,)/VLOOKUP($D490,$C$6:$AJ$992,4,))*$F490</f>
        <v>0</v>
      </c>
      <c r="H490" s="27">
        <f>(VLOOKUP($D490,$C$6:$AJ$992,6,)/VLOOKUP($D490,$C$6:$AJ$992,4,))*$F490</f>
        <v>0</v>
      </c>
      <c r="I490" s="27">
        <f>(VLOOKUP($D490,$C$6:$AJ$992,7,)/VLOOKUP($D490,$C$6:$AJ$992,4,))*$F490</f>
        <v>2860568.9843226699</v>
      </c>
      <c r="J490" s="27">
        <f>(VLOOKUP($D490,$C$6:$AJ$992,8,)/VLOOKUP($D490,$C$6:$AJ$992,4,))*$F490</f>
        <v>0</v>
      </c>
      <c r="K490" s="27">
        <f>(VLOOKUP($D490,$C$6:$AJ$992,9,)/VLOOKUP($D490,$C$6:$AJ$992,4,))*$F490</f>
        <v>0</v>
      </c>
      <c r="L490" s="27">
        <f>(VLOOKUP($D490,$C$6:$AJ$992,10,)/VLOOKUP($D490,$C$6:$AJ$992,4,))*$F490</f>
        <v>0</v>
      </c>
      <c r="M490" s="27">
        <f>(VLOOKUP($D490,$C$6:$AJ$992,11,)/VLOOKUP($D490,$C$6:$AJ$992,4,))*$F490</f>
        <v>0</v>
      </c>
      <c r="N490" s="27">
        <f>(VLOOKUP($D490,$C$6:$AJ$992,12,)/VLOOKUP($D490,$C$6:$AJ$992,4,))*$F490</f>
        <v>0</v>
      </c>
      <c r="O490" s="27">
        <f>(VLOOKUP($D490,$C$6:$AJ$992,13,)/VLOOKUP($D490,$C$6:$AJ$992,4,))*$F490</f>
        <v>0</v>
      </c>
      <c r="P490" s="27">
        <f>(VLOOKUP($D490,$C$6:$AJ$992,14,)/VLOOKUP($D490,$C$6:$AJ$992,4,))*$F490</f>
        <v>0</v>
      </c>
      <c r="Q490" s="27">
        <f>(VLOOKUP($D490,$C$6:$AJ$992,15,)/VLOOKUP($D490,$C$6:$AJ$992,4,))*$F490</f>
        <v>0</v>
      </c>
      <c r="R490" s="27">
        <f>(VLOOKUP($D490,$C$6:$AJ$992,16,)/VLOOKUP($D490,$C$6:$AJ$992,4,))*$F490</f>
        <v>0</v>
      </c>
      <c r="S490" s="27">
        <f>(VLOOKUP($D490,$C$6:$AJ$992,17,)/VLOOKUP($D490,$C$6:$AJ$992,4,))*$F490</f>
        <v>0</v>
      </c>
      <c r="T490" s="27">
        <f>(VLOOKUP($D490,$C$6:$AJ$992,18,)/VLOOKUP($D490,$C$6:$AJ$992,4,))*$F490</f>
        <v>0</v>
      </c>
      <c r="U490" s="27">
        <f>(VLOOKUP($D490,$C$6:$AJ$992,19,)/VLOOKUP($D490,$C$6:$AJ$992,4,))*$F490</f>
        <v>0</v>
      </c>
      <c r="V490" s="27">
        <f>(VLOOKUP($D490,$C$6:$AJ$992,20,)/VLOOKUP($D490,$C$6:$AJ$992,4,))*$F490</f>
        <v>0</v>
      </c>
      <c r="W490" s="27">
        <f>SUM(G490:V490)</f>
        <v>2860568.9843226699</v>
      </c>
      <c r="X490" s="125" t="str">
        <f>IF(ABS(W490-F490)&lt;1,"ok","err")</f>
        <v>ok</v>
      </c>
    </row>
    <row r="491" spans="1:24">
      <c r="A491" s="28">
        <v>358</v>
      </c>
      <c r="B491" s="124" t="s">
        <v>716</v>
      </c>
      <c r="C491" s="117" t="s">
        <v>601</v>
      </c>
      <c r="D491" s="117" t="s">
        <v>25</v>
      </c>
      <c r="F491" s="32">
        <v>0</v>
      </c>
      <c r="G491" s="27">
        <f>(VLOOKUP($D491,$C$6:$AJ$992,5,)/VLOOKUP($D491,$C$6:$AJ$992,4,))*$F491</f>
        <v>0</v>
      </c>
      <c r="H491" s="27">
        <f>(VLOOKUP($D491,$C$6:$AJ$992,6,)/VLOOKUP($D491,$C$6:$AJ$992,4,))*$F491</f>
        <v>0</v>
      </c>
      <c r="I491" s="27">
        <f>(VLOOKUP($D491,$C$6:$AJ$992,7,)/VLOOKUP($D491,$C$6:$AJ$992,4,))*$F491</f>
        <v>0</v>
      </c>
      <c r="J491" s="27">
        <f>(VLOOKUP($D491,$C$6:$AJ$992,8,)/VLOOKUP($D491,$C$6:$AJ$992,4,))*$F491</f>
        <v>0</v>
      </c>
      <c r="K491" s="27">
        <f>(VLOOKUP($D491,$C$6:$AJ$992,9,)/VLOOKUP($D491,$C$6:$AJ$992,4,))*$F491</f>
        <v>0</v>
      </c>
      <c r="L491" s="27">
        <f>(VLOOKUP($D491,$C$6:$AJ$992,10,)/VLOOKUP($D491,$C$6:$AJ$992,4,))*$F491</f>
        <v>0</v>
      </c>
      <c r="M491" s="27">
        <f>(VLOOKUP($D491,$C$6:$AJ$992,11,)/VLOOKUP($D491,$C$6:$AJ$992,4,))*$F491</f>
        <v>0</v>
      </c>
      <c r="N491" s="27">
        <f>(VLOOKUP($D491,$C$6:$AJ$992,12,)/VLOOKUP($D491,$C$6:$AJ$992,4,))*$F491</f>
        <v>0</v>
      </c>
      <c r="O491" s="27">
        <f>(VLOOKUP($D491,$C$6:$AJ$992,13,)/VLOOKUP($D491,$C$6:$AJ$992,4,))*$F491</f>
        <v>0</v>
      </c>
      <c r="P491" s="27">
        <f>(VLOOKUP($D491,$C$6:$AJ$992,14,)/VLOOKUP($D491,$C$6:$AJ$992,4,))*$F491</f>
        <v>0</v>
      </c>
      <c r="Q491" s="27">
        <f>(VLOOKUP($D491,$C$6:$AJ$992,15,)/VLOOKUP($D491,$C$6:$AJ$992,4,))*$F491</f>
        <v>0</v>
      </c>
      <c r="R491" s="27">
        <f>(VLOOKUP($D491,$C$6:$AJ$992,16,)/VLOOKUP($D491,$C$6:$AJ$992,4,))*$F491</f>
        <v>0</v>
      </c>
      <c r="S491" s="27">
        <f>(VLOOKUP($D491,$C$6:$AJ$992,17,)/VLOOKUP($D491,$C$6:$AJ$992,4,))*$F491</f>
        <v>0</v>
      </c>
      <c r="T491" s="27">
        <f>(VLOOKUP($D491,$C$6:$AJ$992,18,)/VLOOKUP($D491,$C$6:$AJ$992,4,))*$F491</f>
        <v>0</v>
      </c>
      <c r="U491" s="27">
        <f>(VLOOKUP($D491,$C$6:$AJ$992,19,)/VLOOKUP($D491,$C$6:$AJ$992,4,))*$F491</f>
        <v>0</v>
      </c>
      <c r="V491" s="27">
        <f>(VLOOKUP($D491,$C$6:$AJ$992,20,)/VLOOKUP($D491,$C$6:$AJ$992,4,))*$F491</f>
        <v>0</v>
      </c>
      <c r="W491" s="27">
        <f>SUM(G491:V491)</f>
        <v>0</v>
      </c>
      <c r="X491" s="125" t="str">
        <f>IF(ABS(W491-F491)&lt;1,"ok","err")</f>
        <v>ok</v>
      </c>
    </row>
    <row r="492" spans="1:24">
      <c r="F492" s="32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125"/>
    </row>
    <row r="493" spans="1:24">
      <c r="A493" s="25" t="s">
        <v>725</v>
      </c>
      <c r="F493" s="32">
        <f>SUM(F490:F492)</f>
        <v>2860568.9843226699</v>
      </c>
      <c r="G493" s="27">
        <f>SUM(G490:G492)</f>
        <v>0</v>
      </c>
      <c r="H493" s="27">
        <f t="shared" ref="H493:V493" si="266">SUM(H490:H492)</f>
        <v>0</v>
      </c>
      <c r="I493" s="27">
        <f t="shared" si="266"/>
        <v>2860568.9843226699</v>
      </c>
      <c r="J493" s="27">
        <f t="shared" si="266"/>
        <v>0</v>
      </c>
      <c r="K493" s="27">
        <f t="shared" si="266"/>
        <v>0</v>
      </c>
      <c r="L493" s="27">
        <f t="shared" si="266"/>
        <v>0</v>
      </c>
      <c r="M493" s="27">
        <f t="shared" si="266"/>
        <v>0</v>
      </c>
      <c r="N493" s="27">
        <f t="shared" si="266"/>
        <v>0</v>
      </c>
      <c r="O493" s="27">
        <f t="shared" si="266"/>
        <v>0</v>
      </c>
      <c r="P493" s="27">
        <f t="shared" si="266"/>
        <v>0</v>
      </c>
      <c r="Q493" s="27">
        <f t="shared" si="266"/>
        <v>0</v>
      </c>
      <c r="R493" s="27">
        <f t="shared" si="266"/>
        <v>0</v>
      </c>
      <c r="S493" s="27">
        <f t="shared" si="266"/>
        <v>0</v>
      </c>
      <c r="T493" s="27">
        <f t="shared" si="266"/>
        <v>0</v>
      </c>
      <c r="U493" s="27">
        <f t="shared" si="266"/>
        <v>0</v>
      </c>
      <c r="V493" s="27">
        <f t="shared" si="266"/>
        <v>0</v>
      </c>
      <c r="W493" s="27">
        <f>SUM(G493:V493)</f>
        <v>2860568.9843226699</v>
      </c>
      <c r="X493" s="125" t="str">
        <f>IF(ABS(W493-F493)&lt;1,"ok","err")</f>
        <v>ok</v>
      </c>
    </row>
    <row r="494" spans="1:24">
      <c r="F494" s="32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125"/>
    </row>
    <row r="495" spans="1:24">
      <c r="A495" s="13" t="s">
        <v>4</v>
      </c>
      <c r="F495" s="32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125"/>
    </row>
    <row r="496" spans="1:24">
      <c r="A496" s="25" t="s">
        <v>396</v>
      </c>
      <c r="B496" s="25" t="s">
        <v>391</v>
      </c>
      <c r="C496" s="117" t="s">
        <v>602</v>
      </c>
      <c r="D496" s="117" t="s">
        <v>28</v>
      </c>
      <c r="F496" s="32">
        <f>392607.498463625-435.86</f>
        <v>392171.63846362499</v>
      </c>
      <c r="G496" s="27">
        <f>(VLOOKUP($D496,$C$6:$AJ$992,5,)/VLOOKUP($D496,$C$6:$AJ$992,4,))*$F496</f>
        <v>0</v>
      </c>
      <c r="H496" s="27">
        <f>(VLOOKUP($D496,$C$6:$AJ$992,6,)/VLOOKUP($D496,$C$6:$AJ$992,4,))*$F496</f>
        <v>0</v>
      </c>
      <c r="I496" s="27">
        <f>(VLOOKUP($D496,$C$6:$AJ$992,7,)/VLOOKUP($D496,$C$6:$AJ$992,4,))*$F496</f>
        <v>0</v>
      </c>
      <c r="J496" s="27">
        <f>(VLOOKUP($D496,$C$6:$AJ$992,8,)/VLOOKUP($D496,$C$6:$AJ$992,4,))*$F496</f>
        <v>0</v>
      </c>
      <c r="K496" s="27">
        <f>(VLOOKUP($D496,$C$6:$AJ$992,9,)/VLOOKUP($D496,$C$6:$AJ$992,4,))*$F496</f>
        <v>392171.63846362499</v>
      </c>
      <c r="L496" s="27">
        <f>(VLOOKUP($D496,$C$6:$AJ$992,10,)/VLOOKUP($D496,$C$6:$AJ$992,4,))*$F496</f>
        <v>0</v>
      </c>
      <c r="M496" s="27">
        <f>(VLOOKUP($D496,$C$6:$AJ$992,11,)/VLOOKUP($D496,$C$6:$AJ$992,4,))*$F496</f>
        <v>0</v>
      </c>
      <c r="N496" s="27">
        <f>(VLOOKUP($D496,$C$6:$AJ$992,12,)/VLOOKUP($D496,$C$6:$AJ$992,4,))*$F496</f>
        <v>0</v>
      </c>
      <c r="O496" s="27">
        <f>(VLOOKUP($D496,$C$6:$AJ$992,13,)/VLOOKUP($D496,$C$6:$AJ$992,4,))*$F496</f>
        <v>0</v>
      </c>
      <c r="P496" s="27">
        <f>(VLOOKUP($D496,$C$6:$AJ$992,14,)/VLOOKUP($D496,$C$6:$AJ$992,4,))*$F496</f>
        <v>0</v>
      </c>
      <c r="Q496" s="27">
        <f>(VLOOKUP($D496,$C$6:$AJ$992,15,)/VLOOKUP($D496,$C$6:$AJ$992,4,))*$F496</f>
        <v>0</v>
      </c>
      <c r="R496" s="27">
        <f>(VLOOKUP($D496,$C$6:$AJ$992,16,)/VLOOKUP($D496,$C$6:$AJ$992,4,))*$F496</f>
        <v>0</v>
      </c>
      <c r="S496" s="27">
        <f>(VLOOKUP($D496,$C$6:$AJ$992,17,)/VLOOKUP($D496,$C$6:$AJ$992,4,))*$F496</f>
        <v>0</v>
      </c>
      <c r="T496" s="27">
        <f>(VLOOKUP($D496,$C$6:$AJ$992,18,)/VLOOKUP($D496,$C$6:$AJ$992,4,))*$F496</f>
        <v>0</v>
      </c>
      <c r="U496" s="27">
        <f>(VLOOKUP($D496,$C$6:$AJ$992,19,)/VLOOKUP($D496,$C$6:$AJ$992,4,))*$F496</f>
        <v>0</v>
      </c>
      <c r="V496" s="27">
        <f>(VLOOKUP($D496,$C$6:$AJ$992,20,)/VLOOKUP($D496,$C$6:$AJ$992,4,))*$F496</f>
        <v>0</v>
      </c>
      <c r="W496" s="27">
        <f>SUM(G496:V496)</f>
        <v>392171.63846362499</v>
      </c>
      <c r="X496" s="125" t="str">
        <f>IF(ABS(W496-F496)&lt;1,"ok","err")</f>
        <v>ok</v>
      </c>
    </row>
    <row r="497" spans="1:24">
      <c r="F497" s="32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125"/>
    </row>
    <row r="498" spans="1:24">
      <c r="A498" s="13" t="s">
        <v>5</v>
      </c>
      <c r="F498" s="32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125"/>
    </row>
    <row r="499" spans="1:24">
      <c r="A499" s="28">
        <v>374</v>
      </c>
      <c r="B499" s="25" t="s">
        <v>603</v>
      </c>
      <c r="C499" s="117" t="s">
        <v>607</v>
      </c>
      <c r="D499" s="117" t="s">
        <v>39</v>
      </c>
      <c r="F499" s="32">
        <v>0</v>
      </c>
      <c r="G499" s="27">
        <f t="shared" ref="G499:G512" si="267">(VLOOKUP($D499,$C$6:$AJ$992,5,)/VLOOKUP($D499,$C$6:$AJ$992,4,))*$F499</f>
        <v>0</v>
      </c>
      <c r="H499" s="27">
        <f t="shared" ref="H499:H512" si="268">(VLOOKUP($D499,$C$6:$AJ$992,6,)/VLOOKUP($D499,$C$6:$AJ$992,4,))*$F499</f>
        <v>0</v>
      </c>
      <c r="I499" s="27">
        <f t="shared" ref="I499:I512" si="269">(VLOOKUP($D499,$C$6:$AJ$992,7,)/VLOOKUP($D499,$C$6:$AJ$992,4,))*$F499</f>
        <v>0</v>
      </c>
      <c r="J499" s="27">
        <f t="shared" ref="J499:J512" si="270">(VLOOKUP($D499,$C$6:$AJ$992,8,)/VLOOKUP($D499,$C$6:$AJ$992,4,))*$F499</f>
        <v>0</v>
      </c>
      <c r="K499" s="27">
        <f t="shared" ref="K499:K512" si="271">(VLOOKUP($D499,$C$6:$AJ$992,9,)/VLOOKUP($D499,$C$6:$AJ$992,4,))*$F499</f>
        <v>0</v>
      </c>
      <c r="L499" s="27">
        <f t="shared" ref="L499:L512" si="272">(VLOOKUP($D499,$C$6:$AJ$992,10,)/VLOOKUP($D499,$C$6:$AJ$992,4,))*$F499</f>
        <v>0</v>
      </c>
      <c r="M499" s="27">
        <f t="shared" ref="M499:M512" si="273">(VLOOKUP($D499,$C$6:$AJ$992,11,)/VLOOKUP($D499,$C$6:$AJ$992,4,))*$F499</f>
        <v>0</v>
      </c>
      <c r="N499" s="27">
        <f t="shared" ref="N499:N512" si="274">(VLOOKUP($D499,$C$6:$AJ$992,12,)/VLOOKUP($D499,$C$6:$AJ$992,4,))*$F499</f>
        <v>0</v>
      </c>
      <c r="O499" s="27">
        <f t="shared" ref="O499:O512" si="275">(VLOOKUP($D499,$C$6:$AJ$992,13,)/VLOOKUP($D499,$C$6:$AJ$992,4,))*$F499</f>
        <v>0</v>
      </c>
      <c r="P499" s="27">
        <f t="shared" ref="P499:P512" si="276">(VLOOKUP($D499,$C$6:$AJ$992,14,)/VLOOKUP($D499,$C$6:$AJ$992,4,))*$F499</f>
        <v>0</v>
      </c>
      <c r="Q499" s="27">
        <f t="shared" ref="Q499:Q512" si="277">(VLOOKUP($D499,$C$6:$AJ$992,15,)/VLOOKUP($D499,$C$6:$AJ$992,4,))*$F499</f>
        <v>0</v>
      </c>
      <c r="R499" s="27">
        <f t="shared" ref="R499:R512" si="278">(VLOOKUP($D499,$C$6:$AJ$992,16,)/VLOOKUP($D499,$C$6:$AJ$992,4,))*$F499</f>
        <v>0</v>
      </c>
      <c r="S499" s="27">
        <f t="shared" ref="S499:S512" si="279">(VLOOKUP($D499,$C$6:$AJ$992,17,)/VLOOKUP($D499,$C$6:$AJ$992,4,))*$F499</f>
        <v>0</v>
      </c>
      <c r="T499" s="27">
        <f t="shared" ref="T499:T512" si="280">(VLOOKUP($D499,$C$6:$AJ$992,18,)/VLOOKUP($D499,$C$6:$AJ$992,4,))*$F499</f>
        <v>0</v>
      </c>
      <c r="U499" s="27">
        <f t="shared" ref="U499:U512" si="281">(VLOOKUP($D499,$C$6:$AJ$992,19,)/VLOOKUP($D499,$C$6:$AJ$992,4,))*$F499</f>
        <v>0</v>
      </c>
      <c r="V499" s="27">
        <f t="shared" ref="V499:V512" si="282">(VLOOKUP($D499,$C$6:$AJ$992,20,)/VLOOKUP($D499,$C$6:$AJ$992,4,))*$F499</f>
        <v>0</v>
      </c>
      <c r="W499" s="27">
        <f>SUM(G499:V499)</f>
        <v>0</v>
      </c>
      <c r="X499" s="125" t="str">
        <f>IF(ABS(W499-F499)&lt;1,"ok","err")</f>
        <v>ok</v>
      </c>
    </row>
    <row r="500" spans="1:24">
      <c r="A500" s="28">
        <v>375</v>
      </c>
      <c r="B500" s="25" t="s">
        <v>29</v>
      </c>
      <c r="C500" s="117" t="s">
        <v>608</v>
      </c>
      <c r="D500" s="117" t="s">
        <v>39</v>
      </c>
      <c r="F500" s="27">
        <f>34066.781972-30.12</f>
        <v>34036.661971999994</v>
      </c>
      <c r="G500" s="27">
        <f t="shared" si="267"/>
        <v>0</v>
      </c>
      <c r="H500" s="27">
        <f t="shared" si="268"/>
        <v>0</v>
      </c>
      <c r="I500" s="27">
        <f t="shared" si="269"/>
        <v>0</v>
      </c>
      <c r="J500" s="27">
        <f t="shared" si="270"/>
        <v>0</v>
      </c>
      <c r="K500" s="27">
        <f t="shared" si="271"/>
        <v>0</v>
      </c>
      <c r="L500" s="27">
        <f t="shared" si="272"/>
        <v>0</v>
      </c>
      <c r="M500" s="27">
        <f t="shared" si="273"/>
        <v>0</v>
      </c>
      <c r="N500" s="27">
        <f t="shared" si="274"/>
        <v>34036.661971999994</v>
      </c>
      <c r="O500" s="27">
        <f t="shared" si="275"/>
        <v>0</v>
      </c>
      <c r="P500" s="27">
        <f t="shared" si="276"/>
        <v>0</v>
      </c>
      <c r="Q500" s="27">
        <f t="shared" si="277"/>
        <v>0</v>
      </c>
      <c r="R500" s="27">
        <f t="shared" si="278"/>
        <v>0</v>
      </c>
      <c r="S500" s="27">
        <f t="shared" si="279"/>
        <v>0</v>
      </c>
      <c r="T500" s="27">
        <f t="shared" si="280"/>
        <v>0</v>
      </c>
      <c r="U500" s="27">
        <f t="shared" si="281"/>
        <v>0</v>
      </c>
      <c r="V500" s="27">
        <f t="shared" si="282"/>
        <v>0</v>
      </c>
      <c r="W500" s="27">
        <f t="shared" ref="W500:W510" si="283">SUM(G500:V500)</f>
        <v>34036.661971999994</v>
      </c>
      <c r="X500" s="125" t="str">
        <f t="shared" ref="X500:X514" si="284">IF(ABS(W500-F500)&lt;1,"ok","err")</f>
        <v>ok</v>
      </c>
    </row>
    <row r="501" spans="1:24">
      <c r="A501" s="28">
        <v>376</v>
      </c>
      <c r="B501" s="25" t="s">
        <v>31</v>
      </c>
      <c r="C501" s="117" t="s">
        <v>609</v>
      </c>
      <c r="D501" s="117" t="s">
        <v>41</v>
      </c>
      <c r="F501" s="27">
        <f>6490638.13900175-2765.84</f>
        <v>6487872.2990017505</v>
      </c>
      <c r="G501" s="27">
        <f t="shared" si="267"/>
        <v>0</v>
      </c>
      <c r="H501" s="27">
        <f t="shared" si="268"/>
        <v>0</v>
      </c>
      <c r="I501" s="27">
        <f t="shared" si="269"/>
        <v>0</v>
      </c>
      <c r="J501" s="27">
        <f t="shared" si="270"/>
        <v>0</v>
      </c>
      <c r="K501" s="27">
        <f t="shared" si="271"/>
        <v>0</v>
      </c>
      <c r="L501" s="27">
        <f t="shared" si="272"/>
        <v>0</v>
      </c>
      <c r="M501" s="27">
        <f t="shared" si="273"/>
        <v>0</v>
      </c>
      <c r="N501" s="27">
        <f t="shared" si="274"/>
        <v>0</v>
      </c>
      <c r="O501" s="27">
        <f t="shared" si="275"/>
        <v>2218597.071828295</v>
      </c>
      <c r="P501" s="27">
        <f t="shared" si="276"/>
        <v>3713760.9286313076</v>
      </c>
      <c r="Q501" s="27">
        <f t="shared" si="277"/>
        <v>322846.44502415421</v>
      </c>
      <c r="R501" s="27">
        <f t="shared" si="278"/>
        <v>232667.85351799359</v>
      </c>
      <c r="S501" s="27">
        <f t="shared" si="279"/>
        <v>0</v>
      </c>
      <c r="T501" s="27">
        <f t="shared" si="280"/>
        <v>0</v>
      </c>
      <c r="U501" s="27">
        <f t="shared" si="281"/>
        <v>0</v>
      </c>
      <c r="V501" s="27">
        <f t="shared" si="282"/>
        <v>0</v>
      </c>
      <c r="W501" s="27">
        <f t="shared" si="283"/>
        <v>6487872.2990017496</v>
      </c>
      <c r="X501" s="125" t="str">
        <f t="shared" si="284"/>
        <v>ok</v>
      </c>
    </row>
    <row r="502" spans="1:24">
      <c r="A502" s="28">
        <v>378</v>
      </c>
      <c r="B502" s="25" t="s">
        <v>605</v>
      </c>
      <c r="C502" s="117" t="s">
        <v>610</v>
      </c>
      <c r="D502" s="117" t="s">
        <v>39</v>
      </c>
      <c r="F502" s="27">
        <f>438849.51858325-1081.17</f>
        <v>437768.34858325002</v>
      </c>
      <c r="G502" s="27">
        <f t="shared" si="267"/>
        <v>0</v>
      </c>
      <c r="H502" s="27">
        <f t="shared" si="268"/>
        <v>0</v>
      </c>
      <c r="I502" s="27">
        <f t="shared" si="269"/>
        <v>0</v>
      </c>
      <c r="J502" s="27">
        <f t="shared" si="270"/>
        <v>0</v>
      </c>
      <c r="K502" s="27">
        <f t="shared" si="271"/>
        <v>0</v>
      </c>
      <c r="L502" s="27">
        <f t="shared" si="272"/>
        <v>0</v>
      </c>
      <c r="M502" s="27">
        <f t="shared" si="273"/>
        <v>0</v>
      </c>
      <c r="N502" s="27">
        <f t="shared" si="274"/>
        <v>437768.34858325002</v>
      </c>
      <c r="O502" s="27">
        <f t="shared" si="275"/>
        <v>0</v>
      </c>
      <c r="P502" s="27">
        <f t="shared" si="276"/>
        <v>0</v>
      </c>
      <c r="Q502" s="27">
        <f t="shared" si="277"/>
        <v>0</v>
      </c>
      <c r="R502" s="27">
        <f t="shared" si="278"/>
        <v>0</v>
      </c>
      <c r="S502" s="27">
        <f t="shared" si="279"/>
        <v>0</v>
      </c>
      <c r="T502" s="27">
        <f t="shared" si="280"/>
        <v>0</v>
      </c>
      <c r="U502" s="27">
        <f t="shared" si="281"/>
        <v>0</v>
      </c>
      <c r="V502" s="27">
        <f t="shared" si="282"/>
        <v>0</v>
      </c>
      <c r="W502" s="27">
        <f t="shared" si="283"/>
        <v>437768.34858325002</v>
      </c>
      <c r="X502" s="125" t="str">
        <f t="shared" si="284"/>
        <v>ok</v>
      </c>
    </row>
    <row r="503" spans="1:24">
      <c r="A503" s="28">
        <v>379</v>
      </c>
      <c r="B503" s="25" t="s">
        <v>604</v>
      </c>
      <c r="C503" s="117" t="s">
        <v>611</v>
      </c>
      <c r="D503" s="117" t="s">
        <v>39</v>
      </c>
      <c r="F503" s="27">
        <f>165689.903588-225.21</f>
        <v>165464.69358799999</v>
      </c>
      <c r="G503" s="27">
        <f t="shared" si="267"/>
        <v>0</v>
      </c>
      <c r="H503" s="27">
        <f t="shared" si="268"/>
        <v>0</v>
      </c>
      <c r="I503" s="27">
        <f t="shared" si="269"/>
        <v>0</v>
      </c>
      <c r="J503" s="27">
        <f t="shared" si="270"/>
        <v>0</v>
      </c>
      <c r="K503" s="27">
        <f t="shared" si="271"/>
        <v>0</v>
      </c>
      <c r="L503" s="27">
        <f t="shared" si="272"/>
        <v>0</v>
      </c>
      <c r="M503" s="27">
        <f t="shared" si="273"/>
        <v>0</v>
      </c>
      <c r="N503" s="27">
        <f t="shared" si="274"/>
        <v>165464.69358799999</v>
      </c>
      <c r="O503" s="27">
        <f t="shared" si="275"/>
        <v>0</v>
      </c>
      <c r="P503" s="27">
        <f t="shared" si="276"/>
        <v>0</v>
      </c>
      <c r="Q503" s="27">
        <f t="shared" si="277"/>
        <v>0</v>
      </c>
      <c r="R503" s="27">
        <f t="shared" si="278"/>
        <v>0</v>
      </c>
      <c r="S503" s="27">
        <f t="shared" si="279"/>
        <v>0</v>
      </c>
      <c r="T503" s="27">
        <f t="shared" si="280"/>
        <v>0</v>
      </c>
      <c r="U503" s="27">
        <f t="shared" si="281"/>
        <v>0</v>
      </c>
      <c r="V503" s="27">
        <f t="shared" si="282"/>
        <v>0</v>
      </c>
      <c r="W503" s="27">
        <f t="shared" si="283"/>
        <v>165464.69358799999</v>
      </c>
      <c r="X503" s="125" t="str">
        <f t="shared" si="284"/>
        <v>ok</v>
      </c>
    </row>
    <row r="504" spans="1:24">
      <c r="A504" s="28">
        <v>380</v>
      </c>
      <c r="B504" s="25" t="s">
        <v>10</v>
      </c>
      <c r="C504" s="117" t="s">
        <v>612</v>
      </c>
      <c r="D504" s="117" t="s">
        <v>43</v>
      </c>
      <c r="F504" s="27">
        <f>7848158.67846775-4001.4</f>
        <v>7844157.2784677492</v>
      </c>
      <c r="G504" s="27">
        <f t="shared" si="267"/>
        <v>0</v>
      </c>
      <c r="H504" s="27">
        <f t="shared" si="268"/>
        <v>0</v>
      </c>
      <c r="I504" s="27">
        <f t="shared" si="269"/>
        <v>0</v>
      </c>
      <c r="J504" s="27">
        <f t="shared" si="270"/>
        <v>0</v>
      </c>
      <c r="K504" s="27">
        <f t="shared" si="271"/>
        <v>0</v>
      </c>
      <c r="L504" s="27">
        <f t="shared" si="272"/>
        <v>0</v>
      </c>
      <c r="M504" s="27">
        <f t="shared" si="273"/>
        <v>0</v>
      </c>
      <c r="N504" s="27">
        <f t="shared" si="274"/>
        <v>0</v>
      </c>
      <c r="O504" s="27">
        <f t="shared" si="275"/>
        <v>0</v>
      </c>
      <c r="P504" s="27">
        <f t="shared" si="276"/>
        <v>0</v>
      </c>
      <c r="Q504" s="27">
        <f t="shared" si="277"/>
        <v>0</v>
      </c>
      <c r="R504" s="27">
        <f t="shared" si="278"/>
        <v>0</v>
      </c>
      <c r="S504" s="27">
        <f t="shared" si="279"/>
        <v>7844157.2784677492</v>
      </c>
      <c r="T504" s="27">
        <f t="shared" si="280"/>
        <v>0</v>
      </c>
      <c r="U504" s="27">
        <f t="shared" si="281"/>
        <v>0</v>
      </c>
      <c r="V504" s="27">
        <f t="shared" si="282"/>
        <v>0</v>
      </c>
      <c r="W504" s="27">
        <f t="shared" si="283"/>
        <v>7844157.2784677492</v>
      </c>
      <c r="X504" s="125" t="str">
        <f t="shared" si="284"/>
        <v>ok</v>
      </c>
    </row>
    <row r="505" spans="1:24">
      <c r="A505" s="28">
        <v>381</v>
      </c>
      <c r="B505" s="25" t="s">
        <v>11</v>
      </c>
      <c r="C505" s="117" t="s">
        <v>613</v>
      </c>
      <c r="D505" s="117" t="s">
        <v>46</v>
      </c>
      <c r="F505" s="27">
        <f>1989293.66769142-2816.63</f>
        <v>1986477.0376914202</v>
      </c>
      <c r="G505" s="27">
        <f t="shared" si="267"/>
        <v>0</v>
      </c>
      <c r="H505" s="27">
        <f t="shared" si="268"/>
        <v>0</v>
      </c>
      <c r="I505" s="27">
        <f t="shared" si="269"/>
        <v>0</v>
      </c>
      <c r="J505" s="27">
        <f t="shared" si="270"/>
        <v>0</v>
      </c>
      <c r="K505" s="27">
        <f t="shared" si="271"/>
        <v>0</v>
      </c>
      <c r="L505" s="27">
        <f t="shared" si="272"/>
        <v>0</v>
      </c>
      <c r="M505" s="27">
        <f t="shared" si="273"/>
        <v>0</v>
      </c>
      <c r="N505" s="27">
        <f t="shared" si="274"/>
        <v>0</v>
      </c>
      <c r="O505" s="27">
        <f t="shared" si="275"/>
        <v>0</v>
      </c>
      <c r="P505" s="27">
        <f t="shared" si="276"/>
        <v>0</v>
      </c>
      <c r="Q505" s="27">
        <f t="shared" si="277"/>
        <v>0</v>
      </c>
      <c r="R505" s="27">
        <f t="shared" si="278"/>
        <v>0</v>
      </c>
      <c r="S505" s="27">
        <f t="shared" si="279"/>
        <v>0</v>
      </c>
      <c r="T505" s="27">
        <f t="shared" si="280"/>
        <v>1986477.0376914202</v>
      </c>
      <c r="U505" s="27">
        <f t="shared" si="281"/>
        <v>0</v>
      </c>
      <c r="V505" s="27">
        <f t="shared" si="282"/>
        <v>0</v>
      </c>
      <c r="W505" s="27">
        <f t="shared" si="283"/>
        <v>1986477.0376914202</v>
      </c>
      <c r="X505" s="125" t="str">
        <f t="shared" si="284"/>
        <v>ok</v>
      </c>
    </row>
    <row r="506" spans="1:24">
      <c r="A506" s="28">
        <v>382</v>
      </c>
      <c r="B506" s="25" t="s">
        <v>44</v>
      </c>
      <c r="C506" s="117" t="s">
        <v>614</v>
      </c>
      <c r="D506" s="117" t="s">
        <v>46</v>
      </c>
      <c r="F506" s="27">
        <v>0</v>
      </c>
      <c r="G506" s="27">
        <f t="shared" si="267"/>
        <v>0</v>
      </c>
      <c r="H506" s="27">
        <f t="shared" si="268"/>
        <v>0</v>
      </c>
      <c r="I506" s="27">
        <f t="shared" si="269"/>
        <v>0</v>
      </c>
      <c r="J506" s="27">
        <f t="shared" si="270"/>
        <v>0</v>
      </c>
      <c r="K506" s="27">
        <f t="shared" si="271"/>
        <v>0</v>
      </c>
      <c r="L506" s="27">
        <f t="shared" si="272"/>
        <v>0</v>
      </c>
      <c r="M506" s="27">
        <f t="shared" si="273"/>
        <v>0</v>
      </c>
      <c r="N506" s="27">
        <f t="shared" si="274"/>
        <v>0</v>
      </c>
      <c r="O506" s="27">
        <f t="shared" si="275"/>
        <v>0</v>
      </c>
      <c r="P506" s="27">
        <f t="shared" si="276"/>
        <v>0</v>
      </c>
      <c r="Q506" s="27">
        <f t="shared" si="277"/>
        <v>0</v>
      </c>
      <c r="R506" s="27">
        <f t="shared" si="278"/>
        <v>0</v>
      </c>
      <c r="S506" s="27">
        <f t="shared" si="279"/>
        <v>0</v>
      </c>
      <c r="T506" s="27">
        <f t="shared" si="280"/>
        <v>0</v>
      </c>
      <c r="U506" s="27">
        <f t="shared" si="281"/>
        <v>0</v>
      </c>
      <c r="V506" s="27">
        <f t="shared" si="282"/>
        <v>0</v>
      </c>
      <c r="W506" s="27">
        <f t="shared" si="283"/>
        <v>0</v>
      </c>
      <c r="X506" s="125" t="str">
        <f t="shared" si="284"/>
        <v>ok</v>
      </c>
    </row>
    <row r="507" spans="1:24">
      <c r="A507" s="28">
        <v>383</v>
      </c>
      <c r="B507" s="25" t="s">
        <v>47</v>
      </c>
      <c r="C507" s="117" t="s">
        <v>615</v>
      </c>
      <c r="D507" s="117" t="s">
        <v>46</v>
      </c>
      <c r="F507" s="27">
        <f>1031491.44519833-70.35</f>
        <v>1031421.09519833</v>
      </c>
      <c r="G507" s="27">
        <f t="shared" si="267"/>
        <v>0</v>
      </c>
      <c r="H507" s="27">
        <f t="shared" si="268"/>
        <v>0</v>
      </c>
      <c r="I507" s="27">
        <f t="shared" si="269"/>
        <v>0</v>
      </c>
      <c r="J507" s="27">
        <f t="shared" si="270"/>
        <v>0</v>
      </c>
      <c r="K507" s="27">
        <f t="shared" si="271"/>
        <v>0</v>
      </c>
      <c r="L507" s="27">
        <f t="shared" si="272"/>
        <v>0</v>
      </c>
      <c r="M507" s="27">
        <f t="shared" si="273"/>
        <v>0</v>
      </c>
      <c r="N507" s="27">
        <f t="shared" si="274"/>
        <v>0</v>
      </c>
      <c r="O507" s="27">
        <f t="shared" si="275"/>
        <v>0</v>
      </c>
      <c r="P507" s="27">
        <f t="shared" si="276"/>
        <v>0</v>
      </c>
      <c r="Q507" s="27">
        <f t="shared" si="277"/>
        <v>0</v>
      </c>
      <c r="R507" s="27">
        <f t="shared" si="278"/>
        <v>0</v>
      </c>
      <c r="S507" s="27">
        <f t="shared" si="279"/>
        <v>0</v>
      </c>
      <c r="T507" s="27">
        <f t="shared" si="280"/>
        <v>1031421.09519833</v>
      </c>
      <c r="U507" s="27">
        <f t="shared" si="281"/>
        <v>0</v>
      </c>
      <c r="V507" s="27">
        <f t="shared" si="282"/>
        <v>0</v>
      </c>
      <c r="W507" s="27">
        <f t="shared" si="283"/>
        <v>1031421.09519833</v>
      </c>
      <c r="X507" s="125" t="str">
        <f t="shared" si="284"/>
        <v>ok</v>
      </c>
    </row>
    <row r="508" spans="1:24">
      <c r="A508" s="28">
        <v>384</v>
      </c>
      <c r="B508" s="25" t="s">
        <v>50</v>
      </c>
      <c r="C508" s="117" t="s">
        <v>616</v>
      </c>
      <c r="D508" s="117" t="s">
        <v>46</v>
      </c>
      <c r="F508" s="27">
        <v>0</v>
      </c>
      <c r="G508" s="27">
        <f t="shared" si="267"/>
        <v>0</v>
      </c>
      <c r="H508" s="27">
        <f t="shared" si="268"/>
        <v>0</v>
      </c>
      <c r="I508" s="27">
        <f t="shared" si="269"/>
        <v>0</v>
      </c>
      <c r="J508" s="27">
        <f t="shared" si="270"/>
        <v>0</v>
      </c>
      <c r="K508" s="27">
        <f t="shared" si="271"/>
        <v>0</v>
      </c>
      <c r="L508" s="27">
        <f t="shared" si="272"/>
        <v>0</v>
      </c>
      <c r="M508" s="27">
        <f t="shared" si="273"/>
        <v>0</v>
      </c>
      <c r="N508" s="27">
        <f t="shared" si="274"/>
        <v>0</v>
      </c>
      <c r="O508" s="27">
        <f t="shared" si="275"/>
        <v>0</v>
      </c>
      <c r="P508" s="27">
        <f t="shared" si="276"/>
        <v>0</v>
      </c>
      <c r="Q508" s="27">
        <f t="shared" si="277"/>
        <v>0</v>
      </c>
      <c r="R508" s="27">
        <f t="shared" si="278"/>
        <v>0</v>
      </c>
      <c r="S508" s="27">
        <f t="shared" si="279"/>
        <v>0</v>
      </c>
      <c r="T508" s="27">
        <f t="shared" si="280"/>
        <v>0</v>
      </c>
      <c r="U508" s="27">
        <f t="shared" si="281"/>
        <v>0</v>
      </c>
      <c r="V508" s="27">
        <f t="shared" si="282"/>
        <v>0</v>
      </c>
      <c r="W508" s="27">
        <f t="shared" si="283"/>
        <v>0</v>
      </c>
      <c r="X508" s="125" t="str">
        <f t="shared" si="284"/>
        <v>ok</v>
      </c>
    </row>
    <row r="509" spans="1:24">
      <c r="A509" s="28">
        <v>385</v>
      </c>
      <c r="B509" s="25" t="s">
        <v>606</v>
      </c>
      <c r="C509" s="117" t="s">
        <v>617</v>
      </c>
      <c r="D509" s="117" t="s">
        <v>46</v>
      </c>
      <c r="F509" s="27">
        <f>71003.980720625-541.92</f>
        <v>70462.060720624999</v>
      </c>
      <c r="G509" s="27">
        <f t="shared" si="267"/>
        <v>0</v>
      </c>
      <c r="H509" s="27">
        <f t="shared" si="268"/>
        <v>0</v>
      </c>
      <c r="I509" s="27">
        <f t="shared" si="269"/>
        <v>0</v>
      </c>
      <c r="J509" s="27">
        <f t="shared" si="270"/>
        <v>0</v>
      </c>
      <c r="K509" s="27">
        <f t="shared" si="271"/>
        <v>0</v>
      </c>
      <c r="L509" s="27">
        <f t="shared" si="272"/>
        <v>0</v>
      </c>
      <c r="M509" s="27">
        <f t="shared" si="273"/>
        <v>0</v>
      </c>
      <c r="N509" s="27">
        <f t="shared" si="274"/>
        <v>0</v>
      </c>
      <c r="O509" s="27">
        <f t="shared" si="275"/>
        <v>0</v>
      </c>
      <c r="P509" s="27">
        <f t="shared" si="276"/>
        <v>0</v>
      </c>
      <c r="Q509" s="27">
        <f t="shared" si="277"/>
        <v>0</v>
      </c>
      <c r="R509" s="27">
        <f t="shared" si="278"/>
        <v>0</v>
      </c>
      <c r="S509" s="27">
        <f t="shared" si="279"/>
        <v>0</v>
      </c>
      <c r="T509" s="27">
        <f t="shared" si="280"/>
        <v>70462.060720624999</v>
      </c>
      <c r="U509" s="27">
        <f t="shared" si="281"/>
        <v>0</v>
      </c>
      <c r="V509" s="27">
        <f t="shared" si="282"/>
        <v>0</v>
      </c>
      <c r="W509" s="27">
        <f t="shared" si="283"/>
        <v>70462.060720624999</v>
      </c>
      <c r="X509" s="125" t="str">
        <f t="shared" si="284"/>
        <v>ok</v>
      </c>
    </row>
    <row r="510" spans="1:24">
      <c r="A510" s="28">
        <v>387</v>
      </c>
      <c r="B510" s="25" t="s">
        <v>55</v>
      </c>
      <c r="C510" s="117" t="s">
        <v>618</v>
      </c>
      <c r="D510" s="117" t="s">
        <v>46</v>
      </c>
      <c r="F510" s="27">
        <f>24645.6389218333-498.01</f>
        <v>24147.6289218333</v>
      </c>
      <c r="G510" s="27">
        <f t="shared" si="267"/>
        <v>0</v>
      </c>
      <c r="H510" s="27">
        <f t="shared" si="268"/>
        <v>0</v>
      </c>
      <c r="I510" s="27">
        <f t="shared" si="269"/>
        <v>0</v>
      </c>
      <c r="J510" s="27">
        <f t="shared" si="270"/>
        <v>0</v>
      </c>
      <c r="K510" s="27">
        <f t="shared" si="271"/>
        <v>0</v>
      </c>
      <c r="L510" s="27">
        <f t="shared" si="272"/>
        <v>0</v>
      </c>
      <c r="M510" s="27">
        <f t="shared" si="273"/>
        <v>0</v>
      </c>
      <c r="N510" s="27">
        <f t="shared" si="274"/>
        <v>0</v>
      </c>
      <c r="O510" s="27">
        <f t="shared" si="275"/>
        <v>0</v>
      </c>
      <c r="P510" s="27">
        <f t="shared" si="276"/>
        <v>0</v>
      </c>
      <c r="Q510" s="27">
        <f t="shared" si="277"/>
        <v>0</v>
      </c>
      <c r="R510" s="27">
        <f t="shared" si="278"/>
        <v>0</v>
      </c>
      <c r="S510" s="27">
        <f t="shared" si="279"/>
        <v>0</v>
      </c>
      <c r="T510" s="27">
        <f t="shared" si="280"/>
        <v>24147.6289218333</v>
      </c>
      <c r="U510" s="27">
        <f t="shared" si="281"/>
        <v>0</v>
      </c>
      <c r="V510" s="27">
        <f t="shared" si="282"/>
        <v>0</v>
      </c>
      <c r="W510" s="27">
        <f t="shared" si="283"/>
        <v>24147.6289218333</v>
      </c>
      <c r="X510" s="125" t="str">
        <f t="shared" si="284"/>
        <v>ok</v>
      </c>
    </row>
    <row r="511" spans="1:24">
      <c r="A511" s="28">
        <v>388</v>
      </c>
      <c r="B511" s="25" t="s">
        <v>722</v>
      </c>
      <c r="C511" s="117" t="s">
        <v>724</v>
      </c>
      <c r="D511" s="117" t="s">
        <v>39</v>
      </c>
      <c r="F511" s="27">
        <v>0</v>
      </c>
      <c r="G511" s="27">
        <f t="shared" si="267"/>
        <v>0</v>
      </c>
      <c r="H511" s="27">
        <f t="shared" si="268"/>
        <v>0</v>
      </c>
      <c r="I511" s="27">
        <f t="shared" si="269"/>
        <v>0</v>
      </c>
      <c r="J511" s="27">
        <f t="shared" si="270"/>
        <v>0</v>
      </c>
      <c r="K511" s="27">
        <f t="shared" si="271"/>
        <v>0</v>
      </c>
      <c r="L511" s="27">
        <f t="shared" si="272"/>
        <v>0</v>
      </c>
      <c r="M511" s="27">
        <f t="shared" si="273"/>
        <v>0</v>
      </c>
      <c r="N511" s="27">
        <f t="shared" si="274"/>
        <v>0</v>
      </c>
      <c r="O511" s="27">
        <f t="shared" si="275"/>
        <v>0</v>
      </c>
      <c r="P511" s="27">
        <f t="shared" si="276"/>
        <v>0</v>
      </c>
      <c r="Q511" s="27">
        <f t="shared" si="277"/>
        <v>0</v>
      </c>
      <c r="R511" s="27">
        <f t="shared" si="278"/>
        <v>0</v>
      </c>
      <c r="S511" s="27">
        <f t="shared" si="279"/>
        <v>0</v>
      </c>
      <c r="T511" s="27">
        <f t="shared" si="280"/>
        <v>0</v>
      </c>
      <c r="U511" s="27">
        <f t="shared" si="281"/>
        <v>0</v>
      </c>
      <c r="V511" s="27">
        <f t="shared" si="282"/>
        <v>0</v>
      </c>
      <c r="W511" s="27">
        <f>SUM(G511:V511)</f>
        <v>0</v>
      </c>
      <c r="X511" s="125" t="str">
        <f>IF(ABS(W511-F511)&lt;1,"ok","err")</f>
        <v>ok</v>
      </c>
    </row>
    <row r="512" spans="1:24">
      <c r="A512" s="28">
        <v>388</v>
      </c>
      <c r="B512" s="25" t="s">
        <v>721</v>
      </c>
      <c r="C512" s="117" t="s">
        <v>724</v>
      </c>
      <c r="D512" s="117" t="s">
        <v>41</v>
      </c>
      <c r="F512" s="27">
        <v>0</v>
      </c>
      <c r="G512" s="27">
        <f t="shared" si="267"/>
        <v>0</v>
      </c>
      <c r="H512" s="27">
        <f t="shared" si="268"/>
        <v>0</v>
      </c>
      <c r="I512" s="27">
        <f t="shared" si="269"/>
        <v>0</v>
      </c>
      <c r="J512" s="27">
        <f t="shared" si="270"/>
        <v>0</v>
      </c>
      <c r="K512" s="27">
        <f t="shared" si="271"/>
        <v>0</v>
      </c>
      <c r="L512" s="27">
        <f t="shared" si="272"/>
        <v>0</v>
      </c>
      <c r="M512" s="27">
        <f t="shared" si="273"/>
        <v>0</v>
      </c>
      <c r="N512" s="27">
        <f t="shared" si="274"/>
        <v>0</v>
      </c>
      <c r="O512" s="27">
        <f t="shared" si="275"/>
        <v>0</v>
      </c>
      <c r="P512" s="27">
        <f t="shared" si="276"/>
        <v>0</v>
      </c>
      <c r="Q512" s="27">
        <f t="shared" si="277"/>
        <v>0</v>
      </c>
      <c r="R512" s="27">
        <f t="shared" si="278"/>
        <v>0</v>
      </c>
      <c r="S512" s="27">
        <f t="shared" si="279"/>
        <v>0</v>
      </c>
      <c r="T512" s="27">
        <f t="shared" si="280"/>
        <v>0</v>
      </c>
      <c r="U512" s="27">
        <f t="shared" si="281"/>
        <v>0</v>
      </c>
      <c r="V512" s="27">
        <f t="shared" si="282"/>
        <v>0</v>
      </c>
      <c r="W512" s="27">
        <f>SUM(G512:V512)</f>
        <v>0</v>
      </c>
      <c r="X512" s="125" t="str">
        <f>IF(ABS(W512-F512)&lt;1,"ok","err")</f>
        <v>ok</v>
      </c>
    </row>
    <row r="514" spans="1:24">
      <c r="A514" s="25" t="s">
        <v>619</v>
      </c>
      <c r="F514" s="33">
        <f>SUM(F499:F513)</f>
        <v>18081807.104144961</v>
      </c>
      <c r="G514" s="33">
        <f t="shared" ref="G514:W514" si="285">SUM(G499:G513)</f>
        <v>0</v>
      </c>
      <c r="H514" s="33">
        <f t="shared" si="285"/>
        <v>0</v>
      </c>
      <c r="I514" s="33">
        <f t="shared" si="285"/>
        <v>0</v>
      </c>
      <c r="J514" s="33">
        <f t="shared" si="285"/>
        <v>0</v>
      </c>
      <c r="K514" s="33">
        <f t="shared" si="285"/>
        <v>0</v>
      </c>
      <c r="L514" s="33">
        <f t="shared" si="285"/>
        <v>0</v>
      </c>
      <c r="M514" s="33">
        <f t="shared" si="285"/>
        <v>0</v>
      </c>
      <c r="N514" s="33">
        <f t="shared" si="285"/>
        <v>637269.70414325001</v>
      </c>
      <c r="O514" s="33">
        <f t="shared" si="285"/>
        <v>2218597.071828295</v>
      </c>
      <c r="P514" s="33">
        <f t="shared" si="285"/>
        <v>3713760.9286313076</v>
      </c>
      <c r="Q514" s="33">
        <f>SUM(Q499:Q513)</f>
        <v>322846.44502415421</v>
      </c>
      <c r="R514" s="33">
        <f>SUM(R499:R513)</f>
        <v>232667.85351799359</v>
      </c>
      <c r="S514" s="33">
        <f t="shared" si="285"/>
        <v>7844157.2784677492</v>
      </c>
      <c r="T514" s="33">
        <f t="shared" si="285"/>
        <v>3112507.8225322086</v>
      </c>
      <c r="U514" s="33">
        <f t="shared" si="285"/>
        <v>0</v>
      </c>
      <c r="V514" s="33">
        <f t="shared" si="285"/>
        <v>0</v>
      </c>
      <c r="W514" s="33">
        <f t="shared" si="285"/>
        <v>18081807.104144961</v>
      </c>
      <c r="X514" s="125" t="str">
        <f t="shared" si="284"/>
        <v>ok</v>
      </c>
    </row>
    <row r="515" spans="1:24">
      <c r="F515" s="33"/>
    </row>
    <row r="516" spans="1:24">
      <c r="A516" s="28">
        <v>117</v>
      </c>
      <c r="B516" s="25" t="s">
        <v>87</v>
      </c>
      <c r="C516" s="117" t="s">
        <v>620</v>
      </c>
      <c r="D516" s="117" t="s">
        <v>25</v>
      </c>
      <c r="F516" s="32">
        <v>0</v>
      </c>
      <c r="G516" s="27">
        <f>(VLOOKUP($D516,$C$6:$AJ$992,5,)/VLOOKUP($D516,$C$6:$AJ$992,4,))*$F516</f>
        <v>0</v>
      </c>
      <c r="H516" s="27">
        <f>(VLOOKUP($D516,$C$6:$AJ$992,6,)/VLOOKUP($D516,$C$6:$AJ$992,4,))*$F516</f>
        <v>0</v>
      </c>
      <c r="I516" s="27">
        <f>(VLOOKUP($D516,$C$6:$AJ$992,7,)/VLOOKUP($D516,$C$6:$AJ$992,4,))*$F516</f>
        <v>0</v>
      </c>
      <c r="J516" s="27">
        <f>(VLOOKUP($D516,$C$6:$AJ$992,8,)/VLOOKUP($D516,$C$6:$AJ$992,4,))*$F516</f>
        <v>0</v>
      </c>
      <c r="K516" s="27">
        <f>(VLOOKUP($D516,$C$6:$AJ$992,9,)/VLOOKUP($D516,$C$6:$AJ$992,4,))*$F516</f>
        <v>0</v>
      </c>
      <c r="L516" s="27">
        <f>(VLOOKUP($D516,$C$6:$AJ$992,10,)/VLOOKUP($D516,$C$6:$AJ$992,4,))*$F516</f>
        <v>0</v>
      </c>
      <c r="M516" s="27">
        <f>(VLOOKUP($D516,$C$6:$AJ$992,11,)/VLOOKUP($D516,$C$6:$AJ$992,4,))*$F516</f>
        <v>0</v>
      </c>
      <c r="N516" s="27">
        <f>(VLOOKUP($D516,$C$6:$AJ$992,12,)/VLOOKUP($D516,$C$6:$AJ$992,4,))*$F516</f>
        <v>0</v>
      </c>
      <c r="O516" s="27">
        <f>(VLOOKUP($D516,$C$6:$AJ$992,13,)/VLOOKUP($D516,$C$6:$AJ$992,4,))*$F516</f>
        <v>0</v>
      </c>
      <c r="P516" s="27">
        <f>(VLOOKUP($D516,$C$6:$AJ$992,14,)/VLOOKUP($D516,$C$6:$AJ$992,4,))*$F516</f>
        <v>0</v>
      </c>
      <c r="Q516" s="27">
        <f>(VLOOKUP($D516,$C$6:$AJ$992,15,)/VLOOKUP($D516,$C$6:$AJ$992,4,))*$F516</f>
        <v>0</v>
      </c>
      <c r="R516" s="27">
        <f>(VLOOKUP($D516,$C$6:$AJ$992,16,)/VLOOKUP($D516,$C$6:$AJ$992,4,))*$F516</f>
        <v>0</v>
      </c>
      <c r="S516" s="27">
        <f>(VLOOKUP($D516,$C$6:$AJ$992,17,)/VLOOKUP($D516,$C$6:$AJ$992,4,))*$F516</f>
        <v>0</v>
      </c>
      <c r="T516" s="27">
        <f>(VLOOKUP($D516,$C$6:$AJ$992,18,)/VLOOKUP($D516,$C$6:$AJ$992,4,))*$F516</f>
        <v>0</v>
      </c>
      <c r="U516" s="27">
        <f>(VLOOKUP($D516,$C$6:$AJ$992,19,)/VLOOKUP($D516,$C$6:$AJ$992,4,))*$F516</f>
        <v>0</v>
      </c>
      <c r="V516" s="27">
        <f>(VLOOKUP($D516,$C$6:$AJ$992,20,)/VLOOKUP($D516,$C$6:$AJ$992,4,))*$F516</f>
        <v>0</v>
      </c>
      <c r="W516" s="27">
        <f>SUM(G516:V516)</f>
        <v>0</v>
      </c>
      <c r="X516" s="125" t="str">
        <f>IF(ABS(W516-F516)&lt;1,"ok","err")</f>
        <v>ok</v>
      </c>
    </row>
    <row r="517" spans="1:24">
      <c r="A517" s="28" t="s">
        <v>58</v>
      </c>
      <c r="B517" s="25" t="s">
        <v>59</v>
      </c>
      <c r="C517" s="117" t="s">
        <v>621</v>
      </c>
      <c r="D517" s="117" t="s">
        <v>57</v>
      </c>
      <c r="F517" s="27">
        <f>3639057.8398129+41</f>
        <v>3639098.8398128999</v>
      </c>
      <c r="G517" s="27">
        <f>(VLOOKUP($D517,$C$6:$AJ$992,5,)/VLOOKUP($D517,$C$6:$AJ$992,4,))*$F517</f>
        <v>0</v>
      </c>
      <c r="H517" s="27">
        <f>(VLOOKUP($D517,$C$6:$AJ$992,6,)/VLOOKUP($D517,$C$6:$AJ$992,4,))*$F517</f>
        <v>0</v>
      </c>
      <c r="I517" s="27">
        <f>(VLOOKUP($D517,$C$6:$AJ$992,7,)/VLOOKUP($D517,$C$6:$AJ$992,4,))*$F517</f>
        <v>608176.7819681468</v>
      </c>
      <c r="J517" s="27">
        <f>(VLOOKUP($D517,$C$6:$AJ$992,8,)/VLOOKUP($D517,$C$6:$AJ$992,4,))*$F517</f>
        <v>0</v>
      </c>
      <c r="K517" s="27">
        <f>(VLOOKUP($D517,$C$6:$AJ$992,9,)/VLOOKUP($D517,$C$6:$AJ$992,4,))*$F517</f>
        <v>214549.99830188174</v>
      </c>
      <c r="L517" s="27">
        <f>(VLOOKUP($D517,$C$6:$AJ$992,10,)/VLOOKUP($D517,$C$6:$AJ$992,4,))*$F517</f>
        <v>0</v>
      </c>
      <c r="M517" s="27">
        <f>(VLOOKUP($D517,$C$6:$AJ$992,11,)/VLOOKUP($D517,$C$6:$AJ$992,4,))*$F517</f>
        <v>0</v>
      </c>
      <c r="N517" s="27">
        <f>(VLOOKUP($D517,$C$6:$AJ$992,12,)/VLOOKUP($D517,$C$6:$AJ$992,4,))*$F517</f>
        <v>111303.35536933958</v>
      </c>
      <c r="O517" s="27">
        <f>(VLOOKUP($D517,$C$6:$AJ$992,13,)/VLOOKUP($D517,$C$6:$AJ$992,4,))*$F517</f>
        <v>505576.8717673379</v>
      </c>
      <c r="P517" s="27">
        <f>(VLOOKUP($D517,$C$6:$AJ$992,14,)/VLOOKUP($D517,$C$6:$AJ$992,4,))*$F517</f>
        <v>846296.81370754726</v>
      </c>
      <c r="Q517" s="27">
        <f>(VLOOKUP($D517,$C$6:$AJ$992,15,)/VLOOKUP($D517,$C$6:$AJ$992,4,))*$F517</f>
        <v>73570.680232625033</v>
      </c>
      <c r="R517" s="27">
        <f>(VLOOKUP($D517,$C$6:$AJ$992,16,)/VLOOKUP($D517,$C$6:$AJ$992,4,))*$F517</f>
        <v>53020.662037343711</v>
      </c>
      <c r="S517" s="27">
        <f>(VLOOKUP($D517,$C$6:$AJ$992,17,)/VLOOKUP($D517,$C$6:$AJ$992,4,))*$F517</f>
        <v>891584.20706937229</v>
      </c>
      <c r="T517" s="27">
        <f>(VLOOKUP($D517,$C$6:$AJ$992,18,)/VLOOKUP($D517,$C$6:$AJ$992,4,))*$F517</f>
        <v>335019.46935930511</v>
      </c>
      <c r="U517" s="27">
        <f>(VLOOKUP($D517,$C$6:$AJ$992,19,)/VLOOKUP($D517,$C$6:$AJ$992,4,))*$F517</f>
        <v>0</v>
      </c>
      <c r="V517" s="27">
        <f>(VLOOKUP($D517,$C$6:$AJ$992,20,)/VLOOKUP($D517,$C$6:$AJ$992,4,))*$F517</f>
        <v>0</v>
      </c>
      <c r="W517" s="27">
        <f>SUM(G517:V517)</f>
        <v>3639098.8398128995</v>
      </c>
      <c r="X517" s="125" t="str">
        <f>IF(ABS(W517-F517)&lt;1,"ok","err")</f>
        <v>ok</v>
      </c>
    </row>
    <row r="518" spans="1:24">
      <c r="A518" s="28" t="s">
        <v>61</v>
      </c>
      <c r="B518" s="25" t="s">
        <v>62</v>
      </c>
      <c r="C518" s="117" t="s">
        <v>622</v>
      </c>
      <c r="D518" s="117" t="s">
        <v>57</v>
      </c>
      <c r="F518" s="27">
        <f>3858857.177524+338062.46-13746.27</f>
        <v>4183173.3675240004</v>
      </c>
      <c r="G518" s="27">
        <f>(VLOOKUP($D518,$C$6:$AJ$992,5,)/VLOOKUP($D518,$C$6:$AJ$992,4,))*$F518</f>
        <v>0</v>
      </c>
      <c r="H518" s="27">
        <f>(VLOOKUP($D518,$C$6:$AJ$992,6,)/VLOOKUP($D518,$C$6:$AJ$992,4,))*$F518</f>
        <v>0</v>
      </c>
      <c r="I518" s="27">
        <f>(VLOOKUP($D518,$C$6:$AJ$992,7,)/VLOOKUP($D518,$C$6:$AJ$992,4,))*$F518</f>
        <v>699104.09941116208</v>
      </c>
      <c r="J518" s="27">
        <f>(VLOOKUP($D518,$C$6:$AJ$992,8,)/VLOOKUP($D518,$C$6:$AJ$992,4,))*$F518</f>
        <v>0</v>
      </c>
      <c r="K518" s="27">
        <f>(VLOOKUP($D518,$C$6:$AJ$992,9,)/VLOOKUP($D518,$C$6:$AJ$992,4,))*$F518</f>
        <v>246626.94760576912</v>
      </c>
      <c r="L518" s="27">
        <f>(VLOOKUP($D518,$C$6:$AJ$992,10,)/VLOOKUP($D518,$C$6:$AJ$992,4,))*$F518</f>
        <v>0</v>
      </c>
      <c r="M518" s="27">
        <f>(VLOOKUP($D518,$C$6:$AJ$992,11,)/VLOOKUP($D518,$C$6:$AJ$992,4,))*$F518</f>
        <v>0</v>
      </c>
      <c r="N518" s="27">
        <f>(VLOOKUP($D518,$C$6:$AJ$992,12,)/VLOOKUP($D518,$C$6:$AJ$992,4,))*$F518</f>
        <v>127944.10165595257</v>
      </c>
      <c r="O518" s="27">
        <f>(VLOOKUP($D518,$C$6:$AJ$992,13,)/VLOOKUP($D518,$C$6:$AJ$992,4,))*$F518</f>
        <v>581164.6779349253</v>
      </c>
      <c r="P518" s="27">
        <f>(VLOOKUP($D518,$C$6:$AJ$992,14,)/VLOOKUP($D518,$C$6:$AJ$992,4,))*$F518</f>
        <v>972824.9899098227</v>
      </c>
      <c r="Q518" s="27">
        <f>(VLOOKUP($D518,$C$6:$AJ$992,15,)/VLOOKUP($D518,$C$6:$AJ$992,4,))*$F518</f>
        <v>84570.088290200045</v>
      </c>
      <c r="R518" s="27">
        <f>(VLOOKUP($D518,$C$6:$AJ$992,16,)/VLOOKUP($D518,$C$6:$AJ$992,4,))*$F518</f>
        <v>60947.677193211479</v>
      </c>
      <c r="S518" s="27">
        <f>(VLOOKUP($D518,$C$6:$AJ$992,17,)/VLOOKUP($D518,$C$6:$AJ$992,4,))*$F518</f>
        <v>1024883.2126003364</v>
      </c>
      <c r="T518" s="27">
        <f>(VLOOKUP($D518,$C$6:$AJ$992,18,)/VLOOKUP($D518,$C$6:$AJ$992,4,))*$F518</f>
        <v>385107.57292261993</v>
      </c>
      <c r="U518" s="27">
        <f>(VLOOKUP($D518,$C$6:$AJ$992,19,)/VLOOKUP($D518,$C$6:$AJ$992,4,))*$F518</f>
        <v>0</v>
      </c>
      <c r="V518" s="27">
        <f>(VLOOKUP($D518,$C$6:$AJ$992,20,)/VLOOKUP($D518,$C$6:$AJ$992,4,))*$F518</f>
        <v>0</v>
      </c>
      <c r="W518" s="27">
        <f>SUM(G518:V518)</f>
        <v>4183173.3675239999</v>
      </c>
      <c r="X518" s="125" t="str">
        <f>IF(ABS(W518-F518)&lt;1,"ok","err")</f>
        <v>ok</v>
      </c>
    </row>
    <row r="519" spans="1:24">
      <c r="A519" s="28" t="s">
        <v>594</v>
      </c>
      <c r="C519" s="117" t="s">
        <v>623</v>
      </c>
      <c r="D519" s="117" t="s">
        <v>57</v>
      </c>
      <c r="F519" s="27">
        <v>0</v>
      </c>
      <c r="G519" s="27">
        <f>(VLOOKUP($D519,$C$6:$AJ$992,5,)/VLOOKUP($D519,$C$6:$AJ$992,4,))*$F519</f>
        <v>0</v>
      </c>
      <c r="H519" s="27">
        <f>(VLOOKUP($D519,$C$6:$AJ$992,6,)/VLOOKUP($D519,$C$6:$AJ$992,4,))*$F519</f>
        <v>0</v>
      </c>
      <c r="I519" s="27">
        <f>(VLOOKUP($D519,$C$6:$AJ$992,7,)/VLOOKUP($D519,$C$6:$AJ$992,4,))*$F519</f>
        <v>0</v>
      </c>
      <c r="J519" s="27">
        <f>(VLOOKUP($D519,$C$6:$AJ$992,8,)/VLOOKUP($D519,$C$6:$AJ$992,4,))*$F519</f>
        <v>0</v>
      </c>
      <c r="K519" s="27">
        <f>(VLOOKUP($D519,$C$6:$AJ$992,9,)/VLOOKUP($D519,$C$6:$AJ$992,4,))*$F519</f>
        <v>0</v>
      </c>
      <c r="L519" s="27">
        <f>(VLOOKUP($D519,$C$6:$AJ$992,10,)/VLOOKUP($D519,$C$6:$AJ$992,4,))*$F519</f>
        <v>0</v>
      </c>
      <c r="M519" s="27">
        <f>(VLOOKUP($D519,$C$6:$AJ$992,11,)/VLOOKUP($D519,$C$6:$AJ$992,4,))*$F519</f>
        <v>0</v>
      </c>
      <c r="N519" s="27">
        <f>(VLOOKUP($D519,$C$6:$AJ$992,12,)/VLOOKUP($D519,$C$6:$AJ$992,4,))*$F519</f>
        <v>0</v>
      </c>
      <c r="O519" s="27">
        <f>(VLOOKUP($D519,$C$6:$AJ$992,13,)/VLOOKUP($D519,$C$6:$AJ$992,4,))*$F519</f>
        <v>0</v>
      </c>
      <c r="P519" s="27">
        <f>(VLOOKUP($D519,$C$6:$AJ$992,14,)/VLOOKUP($D519,$C$6:$AJ$992,4,))*$F519</f>
        <v>0</v>
      </c>
      <c r="Q519" s="27">
        <f>(VLOOKUP($D519,$C$6:$AJ$992,15,)/VLOOKUP($D519,$C$6:$AJ$992,4,))*$F519</f>
        <v>0</v>
      </c>
      <c r="R519" s="27">
        <f>(VLOOKUP($D519,$C$6:$AJ$992,16,)/VLOOKUP($D519,$C$6:$AJ$992,4,))*$F519</f>
        <v>0</v>
      </c>
      <c r="S519" s="27">
        <f>(VLOOKUP($D519,$C$6:$AJ$992,17,)/VLOOKUP($D519,$C$6:$AJ$992,4,))*$F519</f>
        <v>0</v>
      </c>
      <c r="T519" s="27">
        <f>(VLOOKUP($D519,$C$6:$AJ$992,18,)/VLOOKUP($D519,$C$6:$AJ$992,4,))*$F519</f>
        <v>0</v>
      </c>
      <c r="U519" s="27">
        <f>(VLOOKUP($D519,$C$6:$AJ$992,19,)/VLOOKUP($D519,$C$6:$AJ$992,4,))*$F519</f>
        <v>0</v>
      </c>
      <c r="V519" s="27">
        <f>(VLOOKUP($D519,$C$6:$AJ$992,20,)/VLOOKUP($D519,$C$6:$AJ$992,4,))*$F519</f>
        <v>0</v>
      </c>
      <c r="W519" s="27">
        <f>SUM(G519:V519)</f>
        <v>0</v>
      </c>
      <c r="X519" s="125" t="str">
        <f>IF(ABS(W519-F519)&lt;1,"ok","err")</f>
        <v>ok</v>
      </c>
    </row>
    <row r="520" spans="1:24">
      <c r="A520" s="28" t="s">
        <v>839</v>
      </c>
      <c r="C520" s="117" t="s">
        <v>623</v>
      </c>
      <c r="D520" s="117" t="s">
        <v>57</v>
      </c>
      <c r="F520" s="27">
        <v>0</v>
      </c>
      <c r="G520" s="27">
        <f>(VLOOKUP($D520,$C$6:$AJ$992,5,)/VLOOKUP($D520,$C$6:$AJ$992,4,))*$F520</f>
        <v>0</v>
      </c>
      <c r="H520" s="27">
        <f>(VLOOKUP($D520,$C$6:$AJ$992,6,)/VLOOKUP($D520,$C$6:$AJ$992,4,))*$F520</f>
        <v>0</v>
      </c>
      <c r="I520" s="27">
        <f>(VLOOKUP($D520,$C$6:$AJ$992,7,)/VLOOKUP($D520,$C$6:$AJ$992,4,))*$F520</f>
        <v>0</v>
      </c>
      <c r="J520" s="27">
        <f>(VLOOKUP($D520,$C$6:$AJ$992,8,)/VLOOKUP($D520,$C$6:$AJ$992,4,))*$F520</f>
        <v>0</v>
      </c>
      <c r="K520" s="27">
        <f>(VLOOKUP($D520,$C$6:$AJ$992,9,)/VLOOKUP($D520,$C$6:$AJ$992,4,))*$F520</f>
        <v>0</v>
      </c>
      <c r="L520" s="27">
        <f>(VLOOKUP($D520,$C$6:$AJ$992,10,)/VLOOKUP($D520,$C$6:$AJ$992,4,))*$F520</f>
        <v>0</v>
      </c>
      <c r="M520" s="27">
        <f>(VLOOKUP($D520,$C$6:$AJ$992,11,)/VLOOKUP($D520,$C$6:$AJ$992,4,))*$F520</f>
        <v>0</v>
      </c>
      <c r="N520" s="27">
        <f>(VLOOKUP($D520,$C$6:$AJ$992,12,)/VLOOKUP($D520,$C$6:$AJ$992,4,))*$F520</f>
        <v>0</v>
      </c>
      <c r="O520" s="27">
        <f>(VLOOKUP($D520,$C$6:$AJ$992,13,)/VLOOKUP($D520,$C$6:$AJ$992,4,))*$F520</f>
        <v>0</v>
      </c>
      <c r="P520" s="27">
        <f>(VLOOKUP($D520,$C$6:$AJ$992,14,)/VLOOKUP($D520,$C$6:$AJ$992,4,))*$F520</f>
        <v>0</v>
      </c>
      <c r="Q520" s="27">
        <f>(VLOOKUP($D520,$C$6:$AJ$992,15,)/VLOOKUP($D520,$C$6:$AJ$992,4,))*$F520</f>
        <v>0</v>
      </c>
      <c r="R520" s="27">
        <f>(VLOOKUP($D520,$C$6:$AJ$992,16,)/VLOOKUP($D520,$C$6:$AJ$992,4,))*$F520</f>
        <v>0</v>
      </c>
      <c r="S520" s="27">
        <f>(VLOOKUP($D520,$C$6:$AJ$992,17,)/VLOOKUP($D520,$C$6:$AJ$992,4,))*$F520</f>
        <v>0</v>
      </c>
      <c r="T520" s="27">
        <f>(VLOOKUP($D520,$C$6:$AJ$992,18,)/VLOOKUP($D520,$C$6:$AJ$992,4,))*$F520</f>
        <v>0</v>
      </c>
      <c r="U520" s="27">
        <f>(VLOOKUP($D520,$C$6:$AJ$992,19,)/VLOOKUP($D520,$C$6:$AJ$992,4,))*$F520</f>
        <v>0</v>
      </c>
      <c r="V520" s="27">
        <f>(VLOOKUP($D520,$C$6:$AJ$992,20,)/VLOOKUP($D520,$C$6:$AJ$992,4,))*$F520</f>
        <v>0</v>
      </c>
      <c r="W520" s="27">
        <f>SUM(G520:V520)</f>
        <v>0</v>
      </c>
      <c r="X520" s="125" t="str">
        <f>IF(ABS(W520-F520)&lt;1,"ok","err")</f>
        <v>ok</v>
      </c>
    </row>
    <row r="521" spans="1:24">
      <c r="A521" s="28"/>
      <c r="F521" s="33"/>
    </row>
    <row r="522" spans="1:24">
      <c r="A522" s="28" t="s">
        <v>624</v>
      </c>
      <c r="C522" s="117" t="s">
        <v>205</v>
      </c>
      <c r="F522" s="33">
        <f>F493+F496+F514+F516+F517+F518+F519+F520</f>
        <v>29156819.934268158</v>
      </c>
      <c r="G522" s="33">
        <f t="shared" ref="G522:V522" si="286">G493+G496+G514+G516+G517+G518+G519+G520</f>
        <v>0</v>
      </c>
      <c r="H522" s="33">
        <f t="shared" si="286"/>
        <v>0</v>
      </c>
      <c r="I522" s="33">
        <f t="shared" si="286"/>
        <v>4167849.8657019786</v>
      </c>
      <c r="J522" s="33">
        <f t="shared" si="286"/>
        <v>0</v>
      </c>
      <c r="K522" s="33">
        <f t="shared" si="286"/>
        <v>853348.58437127585</v>
      </c>
      <c r="L522" s="33">
        <f t="shared" si="286"/>
        <v>0</v>
      </c>
      <c r="M522" s="33">
        <f t="shared" si="286"/>
        <v>0</v>
      </c>
      <c r="N522" s="33">
        <f t="shared" si="286"/>
        <v>876517.16116854222</v>
      </c>
      <c r="O522" s="33">
        <f t="shared" si="286"/>
        <v>3305338.621530558</v>
      </c>
      <c r="P522" s="33">
        <f t="shared" si="286"/>
        <v>5532882.7322486779</v>
      </c>
      <c r="Q522" s="33">
        <f t="shared" si="286"/>
        <v>480987.2135469793</v>
      </c>
      <c r="R522" s="33">
        <f t="shared" si="286"/>
        <v>346636.19274854881</v>
      </c>
      <c r="S522" s="33">
        <f t="shared" si="286"/>
        <v>9760624.6981374584</v>
      </c>
      <c r="T522" s="33">
        <f t="shared" si="286"/>
        <v>3832634.8648141338</v>
      </c>
      <c r="U522" s="33">
        <f t="shared" si="286"/>
        <v>0</v>
      </c>
      <c r="V522" s="33">
        <f t="shared" si="286"/>
        <v>0</v>
      </c>
      <c r="W522" s="32">
        <f>SUM(G522:V522)</f>
        <v>29156819.934268154</v>
      </c>
      <c r="X522" s="125" t="str">
        <f>IF(ABS(W522-F522)&lt;1,"ok","err")</f>
        <v>ok</v>
      </c>
    </row>
    <row r="523" spans="1:24">
      <c r="F523" s="28"/>
    </row>
    <row r="524" spans="1:24">
      <c r="A524" s="28"/>
      <c r="F524" s="33"/>
    </row>
    <row r="525" spans="1:24">
      <c r="A525" s="194" t="s">
        <v>738</v>
      </c>
      <c r="F525" s="33"/>
    </row>
    <row r="526" spans="1:24">
      <c r="F526" s="33"/>
    </row>
    <row r="527" spans="1:24">
      <c r="B527" s="25" t="s">
        <v>737</v>
      </c>
      <c r="C527" s="117" t="s">
        <v>741</v>
      </c>
      <c r="D527" s="117" t="s">
        <v>57</v>
      </c>
      <c r="F527" s="33">
        <v>0</v>
      </c>
      <c r="G527" s="27">
        <f>(VLOOKUP($D527,$C$6:$AJ$992,5,)/VLOOKUP($D527,$C$6:$AJ$992,4,))*$F527</f>
        <v>0</v>
      </c>
      <c r="H527" s="27">
        <f>(VLOOKUP($D527,$C$6:$AJ$992,6,)/VLOOKUP($D527,$C$6:$AJ$992,4,))*$F527</f>
        <v>0</v>
      </c>
      <c r="I527" s="27">
        <f>(VLOOKUP($D527,$C$6:$AJ$992,7,)/VLOOKUP($D527,$C$6:$AJ$992,4,))*$F527</f>
        <v>0</v>
      </c>
      <c r="J527" s="27">
        <f>(VLOOKUP($D527,$C$6:$AJ$992,8,)/VLOOKUP($D527,$C$6:$AJ$992,4,))*$F527</f>
        <v>0</v>
      </c>
      <c r="K527" s="27">
        <f>(VLOOKUP($D527,$C$6:$AJ$992,9,)/VLOOKUP($D527,$C$6:$AJ$992,4,))*$F527</f>
        <v>0</v>
      </c>
      <c r="L527" s="27">
        <f>(VLOOKUP($D527,$C$6:$AJ$992,10,)/VLOOKUP($D527,$C$6:$AJ$992,4,))*$F527</f>
        <v>0</v>
      </c>
      <c r="M527" s="27">
        <f>(VLOOKUP($D527,$C$6:$AJ$992,11,)/VLOOKUP($D527,$C$6:$AJ$992,4,))*$F527</f>
        <v>0</v>
      </c>
      <c r="N527" s="27">
        <f>(VLOOKUP($D527,$C$6:$AJ$992,12,)/VLOOKUP($D527,$C$6:$AJ$992,4,))*$F527</f>
        <v>0</v>
      </c>
      <c r="O527" s="27">
        <f>(VLOOKUP($D527,$C$6:$AJ$992,13,)/VLOOKUP($D527,$C$6:$AJ$992,4,))*$F527</f>
        <v>0</v>
      </c>
      <c r="P527" s="27">
        <f>(VLOOKUP($D527,$C$6:$AJ$992,14,)/VLOOKUP($D527,$C$6:$AJ$992,4,))*$F527</f>
        <v>0</v>
      </c>
      <c r="Q527" s="27">
        <f>(VLOOKUP($D527,$C$6:$AJ$992,15,)/VLOOKUP($D527,$C$6:$AJ$992,4,))*$F527</f>
        <v>0</v>
      </c>
      <c r="R527" s="27">
        <f>(VLOOKUP($D527,$C$6:$AJ$992,16,)/VLOOKUP($D527,$C$6:$AJ$992,4,))*$F527</f>
        <v>0</v>
      </c>
      <c r="S527" s="27">
        <f>(VLOOKUP($D527,$C$6:$AJ$992,17,)/VLOOKUP($D527,$C$6:$AJ$992,4,))*$F527</f>
        <v>0</v>
      </c>
      <c r="T527" s="27">
        <f>(VLOOKUP($D527,$C$6:$AJ$992,18,)/VLOOKUP($D527,$C$6:$AJ$992,4,))*$F527</f>
        <v>0</v>
      </c>
      <c r="U527" s="27">
        <f>(VLOOKUP($D527,$C$6:$AJ$992,19,)/VLOOKUP($D527,$C$6:$AJ$992,4,))*$F527</f>
        <v>0</v>
      </c>
      <c r="V527" s="27">
        <f>(VLOOKUP($D527,$C$6:$AJ$992,20,)/VLOOKUP($D527,$C$6:$AJ$992,4,))*$F527</f>
        <v>0</v>
      </c>
      <c r="W527" s="27">
        <f>SUM(G527:V527)</f>
        <v>0</v>
      </c>
      <c r="X527" s="125" t="str">
        <f>IF(ABS(W527-F527)&lt;1,"ok","err")</f>
        <v>ok</v>
      </c>
    </row>
    <row r="529" spans="1:24">
      <c r="B529" s="25" t="s">
        <v>739</v>
      </c>
      <c r="C529" s="117" t="s">
        <v>742</v>
      </c>
      <c r="D529" s="117" t="s">
        <v>57</v>
      </c>
      <c r="F529" s="33">
        <v>0</v>
      </c>
      <c r="G529" s="27">
        <f>(VLOOKUP($D529,$C$6:$AJ$992,5,)/VLOOKUP($D529,$C$6:$AJ$992,4,))*$F529</f>
        <v>0</v>
      </c>
      <c r="H529" s="27">
        <f>(VLOOKUP($D529,$C$6:$AJ$992,6,)/VLOOKUP($D529,$C$6:$AJ$992,4,))*$F529</f>
        <v>0</v>
      </c>
      <c r="I529" s="27">
        <f>(VLOOKUP($D529,$C$6:$AJ$992,7,)/VLOOKUP($D529,$C$6:$AJ$992,4,))*$F529</f>
        <v>0</v>
      </c>
      <c r="J529" s="27">
        <f>(VLOOKUP($D529,$C$6:$AJ$992,8,)/VLOOKUP($D529,$C$6:$AJ$992,4,))*$F529</f>
        <v>0</v>
      </c>
      <c r="K529" s="27">
        <f>(VLOOKUP($D529,$C$6:$AJ$992,9,)/VLOOKUP($D529,$C$6:$AJ$992,4,))*$F529</f>
        <v>0</v>
      </c>
      <c r="L529" s="27">
        <f>(VLOOKUP($D529,$C$6:$AJ$992,10,)/VLOOKUP($D529,$C$6:$AJ$992,4,))*$F529</f>
        <v>0</v>
      </c>
      <c r="M529" s="27">
        <f>(VLOOKUP($D529,$C$6:$AJ$992,11,)/VLOOKUP($D529,$C$6:$AJ$992,4,))*$F529</f>
        <v>0</v>
      </c>
      <c r="N529" s="27">
        <f>(VLOOKUP($D529,$C$6:$AJ$992,12,)/VLOOKUP($D529,$C$6:$AJ$992,4,))*$F529</f>
        <v>0</v>
      </c>
      <c r="O529" s="27">
        <f>(VLOOKUP($D529,$C$6:$AJ$992,13,)/VLOOKUP($D529,$C$6:$AJ$992,4,))*$F529</f>
        <v>0</v>
      </c>
      <c r="P529" s="27">
        <f>(VLOOKUP($D529,$C$6:$AJ$992,14,)/VLOOKUP($D529,$C$6:$AJ$992,4,))*$F529</f>
        <v>0</v>
      </c>
      <c r="Q529" s="27">
        <f>(VLOOKUP($D529,$C$6:$AJ$992,15,)/VLOOKUP($D529,$C$6:$AJ$992,4,))*$F529</f>
        <v>0</v>
      </c>
      <c r="R529" s="27">
        <f>(VLOOKUP($D529,$C$6:$AJ$992,16,)/VLOOKUP($D529,$C$6:$AJ$992,4,))*$F529</f>
        <v>0</v>
      </c>
      <c r="S529" s="27">
        <f>(VLOOKUP($D529,$C$6:$AJ$992,17,)/VLOOKUP($D529,$C$6:$AJ$992,4,))*$F529</f>
        <v>0</v>
      </c>
      <c r="T529" s="27">
        <f>(VLOOKUP($D529,$C$6:$AJ$992,18,)/VLOOKUP($D529,$C$6:$AJ$992,4,))*$F529</f>
        <v>0</v>
      </c>
      <c r="U529" s="27">
        <f>(VLOOKUP($D529,$C$6:$AJ$992,19,)/VLOOKUP($D529,$C$6:$AJ$992,4,))*$F529</f>
        <v>0</v>
      </c>
      <c r="V529" s="27">
        <f>(VLOOKUP($D529,$C$6:$AJ$992,20,)/VLOOKUP($D529,$C$6:$AJ$992,4,))*$F529</f>
        <v>0</v>
      </c>
      <c r="W529" s="27">
        <f>SUM(G529:V529)</f>
        <v>0</v>
      </c>
      <c r="X529" s="125" t="str">
        <f>IF(ABS(W529-F529)&lt;1,"ok","err")</f>
        <v>ok</v>
      </c>
    </row>
    <row r="531" spans="1:24">
      <c r="A531" s="13" t="s">
        <v>740</v>
      </c>
      <c r="C531" s="117" t="s">
        <v>743</v>
      </c>
      <c r="D531" s="117" t="s">
        <v>57</v>
      </c>
      <c r="F531" s="33">
        <v>-69070</v>
      </c>
      <c r="G531" s="27">
        <f>(VLOOKUP($D531,$C$6:$AJ$992,5,)/VLOOKUP($D531,$C$6:$AJ$992,4,))*$F531</f>
        <v>0</v>
      </c>
      <c r="H531" s="27">
        <f>(VLOOKUP($D531,$C$6:$AJ$992,6,)/VLOOKUP($D531,$C$6:$AJ$992,4,))*$F531</f>
        <v>0</v>
      </c>
      <c r="I531" s="27">
        <f>(VLOOKUP($D531,$C$6:$AJ$992,7,)/VLOOKUP($D531,$C$6:$AJ$992,4,))*$F531</f>
        <v>-11543.179281357367</v>
      </c>
      <c r="J531" s="27">
        <f>(VLOOKUP($D531,$C$6:$AJ$992,8,)/VLOOKUP($D531,$C$6:$AJ$992,4,))*$F531</f>
        <v>0</v>
      </c>
      <c r="K531" s="27">
        <f>(VLOOKUP($D531,$C$6:$AJ$992,9,)/VLOOKUP($D531,$C$6:$AJ$992,4,))*$F531</f>
        <v>-4072.1533091068427</v>
      </c>
      <c r="L531" s="27">
        <f>(VLOOKUP($D531,$C$6:$AJ$992,10,)/VLOOKUP($D531,$C$6:$AJ$992,4,))*$F531</f>
        <v>0</v>
      </c>
      <c r="M531" s="27">
        <f>(VLOOKUP($D531,$C$6:$AJ$992,11,)/VLOOKUP($D531,$C$6:$AJ$992,4,))*$F531</f>
        <v>0</v>
      </c>
      <c r="N531" s="27">
        <f>(VLOOKUP($D531,$C$6:$AJ$992,12,)/VLOOKUP($D531,$C$6:$AJ$992,4,))*$F531</f>
        <v>-2112.5347493324857</v>
      </c>
      <c r="O531" s="27">
        <f>(VLOOKUP($D531,$C$6:$AJ$992,13,)/VLOOKUP($D531,$C$6:$AJ$992,4,))*$F531</f>
        <v>-9595.835691774013</v>
      </c>
      <c r="P531" s="27">
        <f>(VLOOKUP($D531,$C$6:$AJ$992,14,)/VLOOKUP($D531,$C$6:$AJ$992,4,))*$F531</f>
        <v>-16062.691203458935</v>
      </c>
      <c r="Q531" s="27">
        <f>(VLOOKUP($D531,$C$6:$AJ$992,15,)/VLOOKUP($D531,$C$6:$AJ$992,4,))*$F531</f>
        <v>-1396.3695704205363</v>
      </c>
      <c r="R531" s="27">
        <f>(VLOOKUP($D531,$C$6:$AJ$992,16,)/VLOOKUP($D531,$C$6:$AJ$992,4,))*$F531</f>
        <v>-1006.3307670718872</v>
      </c>
      <c r="S531" s="27">
        <f>(VLOOKUP($D531,$C$6:$AJ$992,17,)/VLOOKUP($D531,$C$6:$AJ$992,4,))*$F531</f>
        <v>-16922.244735031076</v>
      </c>
      <c r="T531" s="27">
        <f>(VLOOKUP($D531,$C$6:$AJ$992,18,)/VLOOKUP($D531,$C$6:$AJ$992,4,))*$F531</f>
        <v>-6358.6606924468442</v>
      </c>
      <c r="U531" s="27">
        <f>(VLOOKUP($D531,$C$6:$AJ$992,19,)/VLOOKUP($D531,$C$6:$AJ$992,4,))*$F531</f>
        <v>0</v>
      </c>
      <c r="V531" s="27">
        <f>(VLOOKUP($D531,$C$6:$AJ$992,20,)/VLOOKUP($D531,$C$6:$AJ$992,4,))*$F531</f>
        <v>0</v>
      </c>
      <c r="W531" s="27">
        <f>SUM(G531:V531)</f>
        <v>-69069.999999999985</v>
      </c>
      <c r="X531" s="125" t="str">
        <f>IF(ABS(W531-F531)&lt;1,"ok","err")</f>
        <v>ok</v>
      </c>
    </row>
    <row r="533" spans="1:24">
      <c r="A533" s="128"/>
      <c r="F533" s="32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125"/>
    </row>
    <row r="535" spans="1:24">
      <c r="A535" s="119" t="s">
        <v>179</v>
      </c>
    </row>
    <row r="536" spans="1:24">
      <c r="A536" s="119"/>
    </row>
    <row r="537" spans="1:24">
      <c r="C537" s="117" t="s">
        <v>175</v>
      </c>
      <c r="D537" s="117" t="s">
        <v>73</v>
      </c>
      <c r="F537" s="32"/>
      <c r="G537" s="27">
        <f t="shared" ref="G537:G542" si="287">(VLOOKUP($D537,$C$6:$AJ$992,5,)/VLOOKUP($D537,$C$6:$AJ$992,4,))*$F537</f>
        <v>0</v>
      </c>
      <c r="H537" s="27">
        <f t="shared" ref="H537:H542" si="288">(VLOOKUP($D537,$C$6:$AJ$992,6,)/VLOOKUP($D537,$C$6:$AJ$992,4,))*$F537</f>
        <v>0</v>
      </c>
      <c r="I537" s="27">
        <f t="shared" ref="I537:I542" si="289">(VLOOKUP($D537,$C$6:$AJ$992,7,)/VLOOKUP($D537,$C$6:$AJ$992,4,))*$F537</f>
        <v>0</v>
      </c>
      <c r="J537" s="27">
        <f t="shared" ref="J537:J542" si="290">(VLOOKUP($D537,$C$6:$AJ$992,8,)/VLOOKUP($D537,$C$6:$AJ$992,4,))*$F537</f>
        <v>0</v>
      </c>
      <c r="K537" s="27">
        <f t="shared" ref="K537:K542" si="291">(VLOOKUP($D537,$C$6:$AJ$992,9,)/VLOOKUP($D537,$C$6:$AJ$992,4,))*$F537</f>
        <v>0</v>
      </c>
      <c r="L537" s="27">
        <f t="shared" ref="L537:L542" si="292">(VLOOKUP($D537,$C$6:$AJ$992,10,)/VLOOKUP($D537,$C$6:$AJ$992,4,))*$F537</f>
        <v>0</v>
      </c>
      <c r="M537" s="27">
        <f t="shared" ref="M537:M542" si="293">(VLOOKUP($D537,$C$6:$AJ$992,11,)/VLOOKUP($D537,$C$6:$AJ$992,4,))*$F537</f>
        <v>0</v>
      </c>
      <c r="N537" s="27">
        <f t="shared" ref="N537:N542" si="294">(VLOOKUP($D537,$C$6:$AJ$992,12,)/VLOOKUP($D537,$C$6:$AJ$992,4,))*$F537</f>
        <v>0</v>
      </c>
      <c r="O537" s="27">
        <f t="shared" ref="O537:O542" si="295">(VLOOKUP($D537,$C$6:$AJ$992,13,)/VLOOKUP($D537,$C$6:$AJ$992,4,))*$F537</f>
        <v>0</v>
      </c>
      <c r="P537" s="27">
        <f t="shared" ref="P537:P542" si="296">(VLOOKUP($D537,$C$6:$AJ$992,14,)/VLOOKUP($D537,$C$6:$AJ$992,4,))*$F537</f>
        <v>0</v>
      </c>
      <c r="Q537" s="27"/>
      <c r="R537" s="27"/>
      <c r="S537" s="27">
        <f>(VLOOKUP($D537,$C$6:$AJ$992,15,)/VLOOKUP($D537,$C$6:$AJ$992,4,))*$F537</f>
        <v>0</v>
      </c>
      <c r="T537" s="27">
        <f>(VLOOKUP($D537,$C$6:$AJ$992,16,)/VLOOKUP($D537,$C$6:$AJ$992,4,))*$F537</f>
        <v>0</v>
      </c>
      <c r="U537" s="27">
        <f>(VLOOKUP($D537,$C$6:$AJ$992,17,)/VLOOKUP($D537,$C$6:$AJ$992,4,))*$F537</f>
        <v>0</v>
      </c>
      <c r="V537" s="27">
        <f>(VLOOKUP($D537,$C$6:$AJ$992,18,)/VLOOKUP($D537,$C$6:$AJ$992,4,))*$F537</f>
        <v>0</v>
      </c>
      <c r="W537" s="27">
        <f t="shared" ref="W537:W542" si="297">SUM(G537:V537)</f>
        <v>0</v>
      </c>
      <c r="X537" s="125" t="str">
        <f t="shared" ref="X537:X542" si="298">IF(ABS(W537-F537)&lt;1,"ok","err")</f>
        <v>ok</v>
      </c>
    </row>
    <row r="538" spans="1:24">
      <c r="A538" s="25" t="s">
        <v>179</v>
      </c>
      <c r="C538" s="117" t="s">
        <v>176</v>
      </c>
      <c r="D538" s="117" t="s">
        <v>73</v>
      </c>
      <c r="F538" s="27">
        <v>8165306.4400000004</v>
      </c>
      <c r="G538" s="27">
        <f t="shared" si="287"/>
        <v>0</v>
      </c>
      <c r="H538" s="27">
        <f t="shared" si="288"/>
        <v>0</v>
      </c>
      <c r="I538" s="27">
        <f t="shared" si="289"/>
        <v>1406309.2304456753</v>
      </c>
      <c r="J538" s="27">
        <f t="shared" si="290"/>
        <v>0</v>
      </c>
      <c r="K538" s="27">
        <f t="shared" si="291"/>
        <v>488807.02720287011</v>
      </c>
      <c r="L538" s="27">
        <f t="shared" si="292"/>
        <v>0</v>
      </c>
      <c r="M538" s="27">
        <f t="shared" si="293"/>
        <v>0</v>
      </c>
      <c r="N538" s="27">
        <f t="shared" si="294"/>
        <v>246613.36729447573</v>
      </c>
      <c r="O538" s="27">
        <f t="shared" si="295"/>
        <v>1130456.0448969158</v>
      </c>
      <c r="P538" s="27">
        <f t="shared" si="296"/>
        <v>1892296.5077266463</v>
      </c>
      <c r="Q538" s="27">
        <f>(VLOOKUP($D538,$C$6:$AJ$992,15,)/VLOOKUP($D538,$C$6:$AJ$992,4,))*$F538</f>
        <v>164502.02697251234</v>
      </c>
      <c r="R538" s="27">
        <f>(VLOOKUP($D538,$C$6:$AJ$992,16,)/VLOOKUP($D538,$C$6:$AJ$992,4,))*$F538</f>
        <v>118552.74885306535</v>
      </c>
      <c r="S538" s="27">
        <f>(VLOOKUP($D538,$C$6:$AJ$992,17,)/VLOOKUP($D538,$C$6:$AJ$992,4,))*$F538</f>
        <v>1975471.2946643278</v>
      </c>
      <c r="T538" s="27">
        <f>(VLOOKUP($D538,$C$6:$AJ$992,18,)/VLOOKUP($D538,$C$6:$AJ$992,4,))*$F538</f>
        <v>742298.19194350939</v>
      </c>
      <c r="U538" s="27">
        <f>(VLOOKUP($D538,$C$6:$AJ$992,19,)/VLOOKUP($D538,$C$6:$AJ$992,4,))*$F538</f>
        <v>0</v>
      </c>
      <c r="V538" s="27">
        <f>(VLOOKUP($D538,$C$6:$AJ$992,20,)/VLOOKUP($D538,$C$6:$AJ$992,4,))*$F538</f>
        <v>0</v>
      </c>
      <c r="W538" s="27">
        <f t="shared" si="297"/>
        <v>8165306.4399999985</v>
      </c>
      <c r="X538" s="125" t="str">
        <f t="shared" si="298"/>
        <v>ok</v>
      </c>
    </row>
    <row r="539" spans="1:24">
      <c r="A539" s="25" t="s">
        <v>625</v>
      </c>
      <c r="C539" s="117" t="s">
        <v>177</v>
      </c>
      <c r="D539" s="117" t="s">
        <v>347</v>
      </c>
      <c r="F539" s="27">
        <v>0</v>
      </c>
      <c r="G539" s="27">
        <f t="shared" si="287"/>
        <v>0</v>
      </c>
      <c r="H539" s="27">
        <f t="shared" si="288"/>
        <v>0</v>
      </c>
      <c r="I539" s="27">
        <f t="shared" si="289"/>
        <v>0</v>
      </c>
      <c r="J539" s="27">
        <f t="shared" si="290"/>
        <v>0</v>
      </c>
      <c r="K539" s="27">
        <f t="shared" si="291"/>
        <v>0</v>
      </c>
      <c r="L539" s="27">
        <f t="shared" si="292"/>
        <v>0</v>
      </c>
      <c r="M539" s="27">
        <f t="shared" si="293"/>
        <v>0</v>
      </c>
      <c r="N539" s="27">
        <f t="shared" si="294"/>
        <v>0</v>
      </c>
      <c r="O539" s="27">
        <f t="shared" si="295"/>
        <v>0</v>
      </c>
      <c r="P539" s="27">
        <f t="shared" si="296"/>
        <v>0</v>
      </c>
      <c r="Q539" s="27">
        <f>(VLOOKUP($D539,$C$6:$AJ$992,15,)/VLOOKUP($D539,$C$6:$AJ$992,4,))*$F539</f>
        <v>0</v>
      </c>
      <c r="R539" s="27">
        <f>(VLOOKUP($D539,$C$6:$AJ$992,16,)/VLOOKUP($D539,$C$6:$AJ$992,4,))*$F539</f>
        <v>0</v>
      </c>
      <c r="S539" s="27">
        <f>(VLOOKUP($D539,$C$6:$AJ$992,17,)/VLOOKUP($D539,$C$6:$AJ$992,4,))*$F539</f>
        <v>0</v>
      </c>
      <c r="T539" s="27">
        <f>(VLOOKUP($D539,$C$6:$AJ$992,18,)/VLOOKUP($D539,$C$6:$AJ$992,4,))*$F539</f>
        <v>0</v>
      </c>
      <c r="U539" s="27">
        <f>(VLOOKUP($D539,$C$6:$AJ$992,19,)/VLOOKUP($D539,$C$6:$AJ$992,4,))*$F539</f>
        <v>0</v>
      </c>
      <c r="V539" s="27">
        <f>(VLOOKUP($D539,$C$6:$AJ$992,20,)/VLOOKUP($D539,$C$6:$AJ$992,4,))*$F539</f>
        <v>0</v>
      </c>
      <c r="W539" s="27">
        <f t="shared" si="297"/>
        <v>0</v>
      </c>
      <c r="X539" s="125" t="str">
        <f t="shared" si="298"/>
        <v>ok</v>
      </c>
    </row>
    <row r="540" spans="1:24">
      <c r="A540" s="25" t="s">
        <v>626</v>
      </c>
      <c r="C540" s="117" t="s">
        <v>628</v>
      </c>
      <c r="D540" s="117" t="s">
        <v>347</v>
      </c>
      <c r="F540" s="27">
        <v>0</v>
      </c>
      <c r="G540" s="27">
        <f t="shared" si="287"/>
        <v>0</v>
      </c>
      <c r="H540" s="27">
        <f t="shared" si="288"/>
        <v>0</v>
      </c>
      <c r="I540" s="27">
        <f t="shared" si="289"/>
        <v>0</v>
      </c>
      <c r="J540" s="27">
        <f t="shared" si="290"/>
        <v>0</v>
      </c>
      <c r="K540" s="27">
        <f t="shared" si="291"/>
        <v>0</v>
      </c>
      <c r="L540" s="27">
        <f t="shared" si="292"/>
        <v>0</v>
      </c>
      <c r="M540" s="27">
        <f t="shared" si="293"/>
        <v>0</v>
      </c>
      <c r="N540" s="27">
        <f t="shared" si="294"/>
        <v>0</v>
      </c>
      <c r="O540" s="27">
        <f t="shared" si="295"/>
        <v>0</v>
      </c>
      <c r="P540" s="27">
        <f t="shared" si="296"/>
        <v>0</v>
      </c>
      <c r="Q540" s="27">
        <f>(VLOOKUP($D540,$C$6:$AJ$992,15,)/VLOOKUP($D540,$C$6:$AJ$992,4,))*$F540</f>
        <v>0</v>
      </c>
      <c r="R540" s="27">
        <f>(VLOOKUP($D540,$C$6:$AJ$992,16,)/VLOOKUP($D540,$C$6:$AJ$992,4,))*$F540</f>
        <v>0</v>
      </c>
      <c r="S540" s="27">
        <f>(VLOOKUP($D540,$C$6:$AJ$992,17,)/VLOOKUP($D540,$C$6:$AJ$992,4,))*$F540</f>
        <v>0</v>
      </c>
      <c r="T540" s="27">
        <f>(VLOOKUP($D540,$C$6:$AJ$992,18,)/VLOOKUP($D540,$C$6:$AJ$992,4,))*$F540</f>
        <v>0</v>
      </c>
      <c r="U540" s="27">
        <f>(VLOOKUP($D540,$C$6:$AJ$992,19,)/VLOOKUP($D540,$C$6:$AJ$992,4,))*$F540</f>
        <v>0</v>
      </c>
      <c r="V540" s="27">
        <f>(VLOOKUP($D540,$C$6:$AJ$992,20,)/VLOOKUP($D540,$C$6:$AJ$992,4,))*$F540</f>
        <v>0</v>
      </c>
      <c r="W540" s="27">
        <f t="shared" si="297"/>
        <v>0</v>
      </c>
      <c r="X540" s="125" t="str">
        <f t="shared" si="298"/>
        <v>ok</v>
      </c>
    </row>
    <row r="541" spans="1:24">
      <c r="A541" s="25" t="s">
        <v>627</v>
      </c>
      <c r="C541" s="117" t="s">
        <v>629</v>
      </c>
      <c r="D541" s="117" t="s">
        <v>73</v>
      </c>
      <c r="F541" s="27">
        <v>0</v>
      </c>
      <c r="G541" s="27">
        <f t="shared" si="287"/>
        <v>0</v>
      </c>
      <c r="H541" s="27">
        <f t="shared" si="288"/>
        <v>0</v>
      </c>
      <c r="I541" s="27">
        <f t="shared" si="289"/>
        <v>0</v>
      </c>
      <c r="J541" s="27">
        <f t="shared" si="290"/>
        <v>0</v>
      </c>
      <c r="K541" s="27">
        <f t="shared" si="291"/>
        <v>0</v>
      </c>
      <c r="L541" s="27">
        <f t="shared" si="292"/>
        <v>0</v>
      </c>
      <c r="M541" s="27">
        <f t="shared" si="293"/>
        <v>0</v>
      </c>
      <c r="N541" s="27">
        <f t="shared" si="294"/>
        <v>0</v>
      </c>
      <c r="O541" s="27">
        <f t="shared" si="295"/>
        <v>0</v>
      </c>
      <c r="P541" s="27">
        <f t="shared" si="296"/>
        <v>0</v>
      </c>
      <c r="Q541" s="27">
        <f>(VLOOKUP($D541,$C$6:$AJ$992,15,)/VLOOKUP($D541,$C$6:$AJ$992,4,))*$F541</f>
        <v>0</v>
      </c>
      <c r="R541" s="27">
        <f>(VLOOKUP($D541,$C$6:$AJ$992,16,)/VLOOKUP($D541,$C$6:$AJ$992,4,))*$F541</f>
        <v>0</v>
      </c>
      <c r="S541" s="27">
        <f>(VLOOKUP($D541,$C$6:$AJ$992,17,)/VLOOKUP($D541,$C$6:$AJ$992,4,))*$F541</f>
        <v>0</v>
      </c>
      <c r="T541" s="27">
        <f>(VLOOKUP($D541,$C$6:$AJ$992,18,)/VLOOKUP($D541,$C$6:$AJ$992,4,))*$F541</f>
        <v>0</v>
      </c>
      <c r="U541" s="27">
        <f>(VLOOKUP($D541,$C$6:$AJ$992,19,)/VLOOKUP($D541,$C$6:$AJ$992,4,))*$F541</f>
        <v>0</v>
      </c>
      <c r="V541" s="27">
        <f>(VLOOKUP($D541,$C$6:$AJ$992,20,)/VLOOKUP($D541,$C$6:$AJ$992,4,))*$F541</f>
        <v>0</v>
      </c>
      <c r="W541" s="27">
        <f t="shared" si="297"/>
        <v>0</v>
      </c>
      <c r="X541" s="125" t="str">
        <f t="shared" si="298"/>
        <v>ok</v>
      </c>
    </row>
    <row r="542" spans="1:24">
      <c r="A542" s="25" t="s">
        <v>145</v>
      </c>
      <c r="C542" s="117" t="s">
        <v>630</v>
      </c>
      <c r="D542" s="117" t="s">
        <v>73</v>
      </c>
      <c r="F542" s="27">
        <v>0</v>
      </c>
      <c r="G542" s="27">
        <f t="shared" si="287"/>
        <v>0</v>
      </c>
      <c r="H542" s="27">
        <f t="shared" si="288"/>
        <v>0</v>
      </c>
      <c r="I542" s="27">
        <f t="shared" si="289"/>
        <v>0</v>
      </c>
      <c r="J542" s="27">
        <f t="shared" si="290"/>
        <v>0</v>
      </c>
      <c r="K542" s="27">
        <f t="shared" si="291"/>
        <v>0</v>
      </c>
      <c r="L542" s="27">
        <f t="shared" si="292"/>
        <v>0</v>
      </c>
      <c r="M542" s="27">
        <f t="shared" si="293"/>
        <v>0</v>
      </c>
      <c r="N542" s="27">
        <f t="shared" si="294"/>
        <v>0</v>
      </c>
      <c r="O542" s="27">
        <f t="shared" si="295"/>
        <v>0</v>
      </c>
      <c r="P542" s="27">
        <f t="shared" si="296"/>
        <v>0</v>
      </c>
      <c r="Q542" s="27">
        <f>(VLOOKUP($D542,$C$6:$AJ$992,15,)/VLOOKUP($D542,$C$6:$AJ$992,4,))*$F542</f>
        <v>0</v>
      </c>
      <c r="R542" s="27">
        <f>(VLOOKUP($D542,$C$6:$AJ$992,16,)/VLOOKUP($D542,$C$6:$AJ$992,4,))*$F542</f>
        <v>0</v>
      </c>
      <c r="S542" s="27">
        <f>(VLOOKUP($D542,$C$6:$AJ$992,17,)/VLOOKUP($D542,$C$6:$AJ$992,4,))*$F542</f>
        <v>0</v>
      </c>
      <c r="T542" s="27">
        <f>(VLOOKUP($D542,$C$6:$AJ$992,18,)/VLOOKUP($D542,$C$6:$AJ$992,4,))*$F542</f>
        <v>0</v>
      </c>
      <c r="U542" s="27">
        <f>(VLOOKUP($D542,$C$6:$AJ$992,19,)/VLOOKUP($D542,$C$6:$AJ$992,4,))*$F542</f>
        <v>0</v>
      </c>
      <c r="V542" s="27">
        <f>(VLOOKUP($D542,$C$6:$AJ$992,20,)/VLOOKUP($D542,$C$6:$AJ$992,4,))*$F542</f>
        <v>0</v>
      </c>
      <c r="W542" s="27">
        <f t="shared" si="297"/>
        <v>0</v>
      </c>
      <c r="X542" s="125" t="str">
        <f t="shared" si="298"/>
        <v>ok</v>
      </c>
    </row>
    <row r="543" spans="1:24">
      <c r="A543" s="117"/>
    </row>
    <row r="544" spans="1:24">
      <c r="A544" s="28" t="s">
        <v>180</v>
      </c>
      <c r="B544" s="120"/>
      <c r="C544" s="117" t="s">
        <v>178</v>
      </c>
      <c r="F544" s="32">
        <f>SUM(F537:F543)</f>
        <v>8165306.4400000004</v>
      </c>
      <c r="G544" s="32">
        <f>SUM(G537:G543)</f>
        <v>0</v>
      </c>
      <c r="H544" s="32">
        <f t="shared" ref="H544:V544" si="299">SUM(H537:H543)</f>
        <v>0</v>
      </c>
      <c r="I544" s="32">
        <f t="shared" si="299"/>
        <v>1406309.2304456753</v>
      </c>
      <c r="J544" s="32">
        <f t="shared" si="299"/>
        <v>0</v>
      </c>
      <c r="K544" s="32">
        <f t="shared" si="299"/>
        <v>488807.02720287011</v>
      </c>
      <c r="L544" s="32">
        <f t="shared" si="299"/>
        <v>0</v>
      </c>
      <c r="M544" s="32">
        <f t="shared" si="299"/>
        <v>0</v>
      </c>
      <c r="N544" s="32">
        <f t="shared" si="299"/>
        <v>246613.36729447573</v>
      </c>
      <c r="O544" s="32">
        <f t="shared" si="299"/>
        <v>1130456.0448969158</v>
      </c>
      <c r="P544" s="32">
        <f t="shared" si="299"/>
        <v>1892296.5077266463</v>
      </c>
      <c r="Q544" s="32">
        <f>SUM(Q537:Q543)</f>
        <v>164502.02697251234</v>
      </c>
      <c r="R544" s="32">
        <f>SUM(R537:R543)</f>
        <v>118552.74885306535</v>
      </c>
      <c r="S544" s="32">
        <f t="shared" si="299"/>
        <v>1975471.2946643278</v>
      </c>
      <c r="T544" s="32">
        <f t="shared" si="299"/>
        <v>742298.19194350939</v>
      </c>
      <c r="U544" s="32">
        <f t="shared" si="299"/>
        <v>0</v>
      </c>
      <c r="V544" s="32">
        <f t="shared" si="299"/>
        <v>0</v>
      </c>
      <c r="W544" s="27">
        <f>SUM(G544:V544)</f>
        <v>8165306.4399999985</v>
      </c>
      <c r="X544" s="125" t="str">
        <f>IF(ABS(W544-F544)&lt;1,"ok","err")</f>
        <v>ok</v>
      </c>
    </row>
    <row r="545" spans="1:24">
      <c r="A545" s="195" t="s">
        <v>181</v>
      </c>
    </row>
    <row r="546" spans="1:24">
      <c r="F546" s="33"/>
    </row>
    <row r="547" spans="1:24">
      <c r="A547" s="13" t="s">
        <v>372</v>
      </c>
      <c r="C547" s="117" t="s">
        <v>310</v>
      </c>
      <c r="D547" s="117" t="s">
        <v>73</v>
      </c>
      <c r="F547" s="32">
        <f>12821.0105911845*1000</f>
        <v>12821010.591184501</v>
      </c>
      <c r="G547" s="27">
        <f>(VLOOKUP($D547,$C$6:$AJ$992,5,)/VLOOKUP($D547,$C$6:$AJ$992,4,))*$F547</f>
        <v>0</v>
      </c>
      <c r="H547" s="27">
        <f>(VLOOKUP($D547,$C$6:$AJ$992,6,)/VLOOKUP($D547,$C$6:$AJ$992,4,))*$F547</f>
        <v>0</v>
      </c>
      <c r="I547" s="27">
        <f>(VLOOKUP($D547,$C$6:$AJ$992,7,)/VLOOKUP($D547,$C$6:$AJ$992,4,))*$F547</f>
        <v>2208160.3024349599</v>
      </c>
      <c r="J547" s="27">
        <f>(VLOOKUP($D547,$C$6:$AJ$992,8,)/VLOOKUP($D547,$C$6:$AJ$992,4,))*$F547</f>
        <v>0</v>
      </c>
      <c r="K547" s="27">
        <f>(VLOOKUP($D547,$C$6:$AJ$992,9,)/VLOOKUP($D547,$C$6:$AJ$992,4,))*$F547</f>
        <v>767515.60016324476</v>
      </c>
      <c r="L547" s="27">
        <f>(VLOOKUP($D547,$C$6:$AJ$992,10,)/VLOOKUP($D547,$C$6:$AJ$992,4,))*$F547</f>
        <v>0</v>
      </c>
      <c r="M547" s="27">
        <f>(VLOOKUP($D547,$C$6:$AJ$992,11,)/VLOOKUP($D547,$C$6:$AJ$992,4,))*$F547</f>
        <v>0</v>
      </c>
      <c r="N547" s="27">
        <f>(VLOOKUP($D547,$C$6:$AJ$992,12,)/VLOOKUP($D547,$C$6:$AJ$992,4,))*$F547</f>
        <v>387227.67078539025</v>
      </c>
      <c r="O547" s="27">
        <f>(VLOOKUP($D547,$C$6:$AJ$992,13,)/VLOOKUP($D547,$C$6:$AJ$992,4,))*$F547</f>
        <v>1775020.8189971985</v>
      </c>
      <c r="P547" s="27">
        <f>(VLOOKUP($D547,$C$6:$AJ$992,14,)/VLOOKUP($D547,$C$6:$AJ$992,4,))*$F547</f>
        <v>2971248.3843073957</v>
      </c>
      <c r="Q547" s="27">
        <f>(VLOOKUP($D547,$C$6:$AJ$992,15,)/VLOOKUP($D547,$C$6:$AJ$992,4,))*$F547</f>
        <v>258297.98864057072</v>
      </c>
      <c r="R547" s="27">
        <f>(VLOOKUP($D547,$C$6:$AJ$992,16,)/VLOOKUP($D547,$C$6:$AJ$992,4,))*$F547</f>
        <v>186149.2963954439</v>
      </c>
      <c r="S547" s="27">
        <f>(VLOOKUP($D547,$C$6:$AJ$992,17,)/VLOOKUP($D547,$C$6:$AJ$992,4,))*$F547</f>
        <v>3101847.8703258932</v>
      </c>
      <c r="T547" s="27">
        <f>(VLOOKUP($D547,$C$6:$AJ$992,18,)/VLOOKUP($D547,$C$6:$AJ$992,4,))*$F547</f>
        <v>1165542.6591343996</v>
      </c>
      <c r="U547" s="27">
        <f>(VLOOKUP($D547,$C$6:$AJ$992,19,)/VLOOKUP($D547,$C$6:$AJ$992,4,))*$F547</f>
        <v>0</v>
      </c>
      <c r="V547" s="27">
        <f>(VLOOKUP($D547,$C$6:$AJ$992,20,)/VLOOKUP($D547,$C$6:$AJ$992,4,))*$F547</f>
        <v>0</v>
      </c>
      <c r="W547" s="27">
        <f>SUM(G547:V547)</f>
        <v>12821010.591184497</v>
      </c>
      <c r="X547" s="125" t="str">
        <f>IF(ABS(W547-F547)&lt;1,"ok","err")</f>
        <v>ok</v>
      </c>
    </row>
    <row r="576" spans="1:24">
      <c r="A576" s="128"/>
      <c r="F576" s="32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125"/>
    </row>
    <row r="578" spans="1:24">
      <c r="A578" s="119" t="s">
        <v>192</v>
      </c>
    </row>
    <row r="580" spans="1:24">
      <c r="A580" s="25" t="s">
        <v>193</v>
      </c>
      <c r="C580" s="117" t="s">
        <v>23</v>
      </c>
      <c r="F580" s="134">
        <v>1</v>
      </c>
      <c r="G580" s="135">
        <v>1</v>
      </c>
      <c r="H580" s="135">
        <v>0</v>
      </c>
      <c r="I580" s="135">
        <v>0</v>
      </c>
      <c r="J580" s="135">
        <v>0</v>
      </c>
      <c r="K580" s="135">
        <v>0</v>
      </c>
      <c r="L580" s="135">
        <v>0</v>
      </c>
      <c r="M580" s="135">
        <v>0</v>
      </c>
      <c r="N580" s="135">
        <v>0</v>
      </c>
      <c r="O580" s="135">
        <v>0</v>
      </c>
      <c r="P580" s="135">
        <v>0</v>
      </c>
      <c r="Q580" s="135">
        <v>0</v>
      </c>
      <c r="R580" s="135">
        <v>0</v>
      </c>
      <c r="S580" s="135">
        <v>0</v>
      </c>
      <c r="T580" s="135">
        <v>0</v>
      </c>
      <c r="U580" s="135">
        <v>0</v>
      </c>
      <c r="V580" s="135">
        <v>0</v>
      </c>
      <c r="W580" s="136">
        <f>SUM(G559:V559)</f>
        <v>0</v>
      </c>
      <c r="X580" s="125" t="str">
        <f>IF(ABS(W559-F559)&lt;0.000001,"ok","err")</f>
        <v>ok</v>
      </c>
    </row>
    <row r="581" spans="1:24">
      <c r="A581" s="25" t="s">
        <v>194</v>
      </c>
      <c r="C581" s="117" t="s">
        <v>101</v>
      </c>
      <c r="F581" s="134">
        <v>1</v>
      </c>
      <c r="G581" s="135">
        <v>0</v>
      </c>
      <c r="H581" s="135">
        <v>1</v>
      </c>
      <c r="I581" s="135">
        <v>0</v>
      </c>
      <c r="J581" s="135">
        <v>0</v>
      </c>
      <c r="K581" s="135">
        <v>0</v>
      </c>
      <c r="L581" s="135">
        <v>0</v>
      </c>
      <c r="M581" s="135">
        <v>0</v>
      </c>
      <c r="N581" s="135">
        <v>0</v>
      </c>
      <c r="O581" s="135">
        <v>0</v>
      </c>
      <c r="P581" s="135">
        <v>0</v>
      </c>
      <c r="Q581" s="135">
        <v>0</v>
      </c>
      <c r="R581" s="135">
        <v>0</v>
      </c>
      <c r="S581" s="135">
        <v>0</v>
      </c>
      <c r="T581" s="135">
        <v>0</v>
      </c>
      <c r="U581" s="135">
        <v>0</v>
      </c>
      <c r="V581" s="135">
        <v>0</v>
      </c>
      <c r="W581" s="136">
        <f t="shared" ref="W581:W592" si="300">SUM(G581:V581)</f>
        <v>1</v>
      </c>
      <c r="X581" s="125" t="str">
        <f t="shared" ref="X581:X592" si="301">IF(ABS(W581-F581)&lt;0.000001,"ok","err")</f>
        <v>ok</v>
      </c>
    </row>
    <row r="582" spans="1:24">
      <c r="A582" s="25" t="s">
        <v>195</v>
      </c>
      <c r="C582" s="117" t="s">
        <v>25</v>
      </c>
      <c r="F582" s="134">
        <v>1</v>
      </c>
      <c r="G582" s="135">
        <v>0</v>
      </c>
      <c r="H582" s="135">
        <v>0</v>
      </c>
      <c r="I582" s="135">
        <v>1</v>
      </c>
      <c r="J582" s="135">
        <v>0</v>
      </c>
      <c r="K582" s="135">
        <v>0</v>
      </c>
      <c r="L582" s="135">
        <v>0</v>
      </c>
      <c r="M582" s="135">
        <v>0</v>
      </c>
      <c r="N582" s="135">
        <v>0</v>
      </c>
      <c r="O582" s="135">
        <v>0</v>
      </c>
      <c r="P582" s="135">
        <v>0</v>
      </c>
      <c r="Q582" s="135">
        <v>0</v>
      </c>
      <c r="R582" s="135">
        <v>0</v>
      </c>
      <c r="S582" s="135">
        <v>0</v>
      </c>
      <c r="T582" s="135">
        <v>0</v>
      </c>
      <c r="U582" s="135">
        <v>0</v>
      </c>
      <c r="V582" s="135">
        <v>0</v>
      </c>
      <c r="W582" s="136">
        <f t="shared" si="300"/>
        <v>1</v>
      </c>
      <c r="X582" s="125" t="str">
        <f t="shared" si="301"/>
        <v>ok</v>
      </c>
    </row>
    <row r="583" spans="1:24">
      <c r="A583" s="25" t="s">
        <v>196</v>
      </c>
      <c r="C583" s="117" t="s">
        <v>125</v>
      </c>
      <c r="F583" s="134">
        <v>1</v>
      </c>
      <c r="G583" s="135">
        <v>0</v>
      </c>
      <c r="H583" s="135">
        <v>0</v>
      </c>
      <c r="I583" s="135">
        <v>0</v>
      </c>
      <c r="J583" s="135">
        <v>1</v>
      </c>
      <c r="K583" s="135">
        <v>0</v>
      </c>
      <c r="L583" s="135">
        <v>0</v>
      </c>
      <c r="M583" s="135">
        <v>0</v>
      </c>
      <c r="N583" s="135">
        <v>0</v>
      </c>
      <c r="O583" s="135">
        <v>0</v>
      </c>
      <c r="P583" s="135">
        <v>0</v>
      </c>
      <c r="Q583" s="135">
        <v>0</v>
      </c>
      <c r="R583" s="135">
        <v>0</v>
      </c>
      <c r="S583" s="135">
        <v>0</v>
      </c>
      <c r="T583" s="135">
        <v>0</v>
      </c>
      <c r="U583" s="135">
        <v>0</v>
      </c>
      <c r="V583" s="135">
        <v>0</v>
      </c>
      <c r="W583" s="136">
        <f t="shared" si="300"/>
        <v>1</v>
      </c>
      <c r="X583" s="125" t="str">
        <f t="shared" si="301"/>
        <v>ok</v>
      </c>
    </row>
    <row r="584" spans="1:24">
      <c r="A584" s="25" t="s">
        <v>197</v>
      </c>
      <c r="C584" s="117" t="s">
        <v>28</v>
      </c>
      <c r="F584" s="134">
        <v>1</v>
      </c>
      <c r="G584" s="135">
        <v>0</v>
      </c>
      <c r="H584" s="135">
        <v>0</v>
      </c>
      <c r="I584" s="135">
        <v>0</v>
      </c>
      <c r="J584" s="135">
        <v>0</v>
      </c>
      <c r="K584" s="135">
        <v>1</v>
      </c>
      <c r="L584" s="135">
        <v>0</v>
      </c>
      <c r="M584" s="135">
        <v>0</v>
      </c>
      <c r="N584" s="135">
        <v>0</v>
      </c>
      <c r="O584" s="135">
        <v>0</v>
      </c>
      <c r="P584" s="135">
        <v>0</v>
      </c>
      <c r="Q584" s="135">
        <v>0</v>
      </c>
      <c r="R584" s="135">
        <v>0</v>
      </c>
      <c r="S584" s="135">
        <v>0</v>
      </c>
      <c r="T584" s="135">
        <v>0</v>
      </c>
      <c r="U584" s="135">
        <v>0</v>
      </c>
      <c r="V584" s="135">
        <v>0</v>
      </c>
      <c r="W584" s="136">
        <f t="shared" si="300"/>
        <v>1</v>
      </c>
      <c r="X584" s="125" t="str">
        <f t="shared" si="301"/>
        <v>ok</v>
      </c>
    </row>
    <row r="585" spans="1:24">
      <c r="A585" s="25" t="s">
        <v>198</v>
      </c>
      <c r="C585" s="117" t="s">
        <v>33</v>
      </c>
      <c r="F585" s="134">
        <v>1</v>
      </c>
      <c r="G585" s="135">
        <v>0</v>
      </c>
      <c r="H585" s="135">
        <v>0</v>
      </c>
      <c r="I585" s="135">
        <v>0</v>
      </c>
      <c r="J585" s="135">
        <v>0</v>
      </c>
      <c r="K585" s="135">
        <v>0</v>
      </c>
      <c r="L585" s="135">
        <v>1</v>
      </c>
      <c r="M585" s="135">
        <v>0</v>
      </c>
      <c r="N585" s="135">
        <v>0</v>
      </c>
      <c r="O585" s="135">
        <v>0</v>
      </c>
      <c r="P585" s="135">
        <v>0</v>
      </c>
      <c r="Q585" s="135">
        <v>0</v>
      </c>
      <c r="R585" s="135">
        <v>0</v>
      </c>
      <c r="S585" s="135">
        <v>0</v>
      </c>
      <c r="T585" s="135">
        <v>0</v>
      </c>
      <c r="U585" s="135">
        <v>0</v>
      </c>
      <c r="V585" s="135">
        <v>0</v>
      </c>
      <c r="W585" s="136">
        <f t="shared" si="300"/>
        <v>1</v>
      </c>
      <c r="X585" s="125" t="str">
        <f t="shared" si="301"/>
        <v>ok</v>
      </c>
    </row>
    <row r="586" spans="1:24">
      <c r="A586" s="25" t="s">
        <v>199</v>
      </c>
      <c r="C586" s="117" t="s">
        <v>36</v>
      </c>
      <c r="F586" s="134">
        <v>1</v>
      </c>
      <c r="G586" s="135">
        <v>0</v>
      </c>
      <c r="H586" s="135">
        <v>0</v>
      </c>
      <c r="I586" s="135">
        <v>0</v>
      </c>
      <c r="J586" s="135">
        <v>0</v>
      </c>
      <c r="K586" s="135">
        <v>0</v>
      </c>
      <c r="L586" s="135">
        <v>0</v>
      </c>
      <c r="M586" s="135">
        <v>1</v>
      </c>
      <c r="N586" s="135">
        <v>0</v>
      </c>
      <c r="O586" s="135">
        <v>0</v>
      </c>
      <c r="P586" s="135">
        <v>0</v>
      </c>
      <c r="Q586" s="135">
        <v>0</v>
      </c>
      <c r="R586" s="135">
        <v>0</v>
      </c>
      <c r="S586" s="135">
        <v>0</v>
      </c>
      <c r="T586" s="135">
        <v>0</v>
      </c>
      <c r="U586" s="135">
        <v>0</v>
      </c>
      <c r="V586" s="135">
        <v>0</v>
      </c>
      <c r="W586" s="136">
        <f t="shared" si="300"/>
        <v>1</v>
      </c>
      <c r="X586" s="125" t="str">
        <f t="shared" si="301"/>
        <v>ok</v>
      </c>
    </row>
    <row r="587" spans="1:24">
      <c r="A587" s="25" t="s">
        <v>7</v>
      </c>
      <c r="C587" s="117" t="s">
        <v>39</v>
      </c>
      <c r="F587" s="134">
        <v>1</v>
      </c>
      <c r="G587" s="135">
        <v>0</v>
      </c>
      <c r="H587" s="135">
        <v>0</v>
      </c>
      <c r="I587" s="135">
        <v>0</v>
      </c>
      <c r="J587" s="135">
        <v>0</v>
      </c>
      <c r="K587" s="135">
        <v>0</v>
      </c>
      <c r="L587" s="135">
        <v>0</v>
      </c>
      <c r="M587" s="135">
        <v>0</v>
      </c>
      <c r="N587" s="135">
        <v>1</v>
      </c>
      <c r="O587" s="135">
        <v>0</v>
      </c>
      <c r="P587" s="135">
        <v>0</v>
      </c>
      <c r="Q587" s="135">
        <v>0</v>
      </c>
      <c r="R587" s="135">
        <v>0</v>
      </c>
      <c r="S587" s="135">
        <v>0</v>
      </c>
      <c r="T587" s="135">
        <v>0</v>
      </c>
      <c r="U587" s="135">
        <v>0</v>
      </c>
      <c r="V587" s="135">
        <v>0</v>
      </c>
      <c r="W587" s="136">
        <f t="shared" si="300"/>
        <v>1</v>
      </c>
      <c r="X587" s="125" t="str">
        <f t="shared" si="301"/>
        <v>ok</v>
      </c>
    </row>
    <row r="588" spans="1:24">
      <c r="A588" s="25" t="s">
        <v>8</v>
      </c>
      <c r="C588" s="117" t="s">
        <v>41</v>
      </c>
      <c r="F588" s="134">
        <v>1</v>
      </c>
      <c r="G588" s="135">
        <v>0</v>
      </c>
      <c r="H588" s="135">
        <v>0</v>
      </c>
      <c r="I588" s="135">
        <v>0</v>
      </c>
      <c r="J588" s="135">
        <v>0</v>
      </c>
      <c r="K588" s="135">
        <v>0</v>
      </c>
      <c r="L588" s="135">
        <v>0</v>
      </c>
      <c r="M588" s="135">
        <v>0</v>
      </c>
      <c r="N588" s="135">
        <v>0</v>
      </c>
      <c r="O588" s="135">
        <v>0.34196065668087472</v>
      </c>
      <c r="P588" s="135">
        <v>0.57241584875255969</v>
      </c>
      <c r="Q588" s="135">
        <v>4.9761528918167618E-2</v>
      </c>
      <c r="R588" s="135">
        <v>3.5861965648397977E-2</v>
      </c>
      <c r="S588" s="135">
        <v>0</v>
      </c>
      <c r="T588" s="135">
        <v>0</v>
      </c>
      <c r="U588" s="135">
        <v>0</v>
      </c>
      <c r="V588" s="135">
        <v>0</v>
      </c>
      <c r="W588" s="136">
        <f t="shared" si="300"/>
        <v>1</v>
      </c>
      <c r="X588" s="125" t="str">
        <f t="shared" si="301"/>
        <v>ok</v>
      </c>
    </row>
    <row r="589" spans="1:24">
      <c r="A589" s="25" t="s">
        <v>10</v>
      </c>
      <c r="C589" s="117" t="s">
        <v>43</v>
      </c>
      <c r="F589" s="134">
        <v>1</v>
      </c>
      <c r="G589" s="135">
        <v>0</v>
      </c>
      <c r="H589" s="135">
        <v>0</v>
      </c>
      <c r="I589" s="135">
        <v>0</v>
      </c>
      <c r="J589" s="135">
        <v>0</v>
      </c>
      <c r="K589" s="135">
        <v>0</v>
      </c>
      <c r="L589" s="135">
        <v>0</v>
      </c>
      <c r="M589" s="135">
        <v>0</v>
      </c>
      <c r="N589" s="135">
        <v>0</v>
      </c>
      <c r="O589" s="135">
        <v>0</v>
      </c>
      <c r="P589" s="135">
        <v>0</v>
      </c>
      <c r="Q589" s="135">
        <v>0</v>
      </c>
      <c r="R589" s="135">
        <v>0</v>
      </c>
      <c r="S589" s="135">
        <v>1</v>
      </c>
      <c r="T589" s="135">
        <v>0</v>
      </c>
      <c r="U589" s="135">
        <v>0</v>
      </c>
      <c r="V589" s="135">
        <v>0</v>
      </c>
      <c r="W589" s="136">
        <f t="shared" si="300"/>
        <v>1</v>
      </c>
      <c r="X589" s="125" t="str">
        <f t="shared" si="301"/>
        <v>ok</v>
      </c>
    </row>
    <row r="590" spans="1:24">
      <c r="A590" s="25" t="s">
        <v>11</v>
      </c>
      <c r="C590" s="117" t="s">
        <v>46</v>
      </c>
      <c r="F590" s="134">
        <v>1</v>
      </c>
      <c r="G590" s="135">
        <v>0</v>
      </c>
      <c r="H590" s="135">
        <v>0</v>
      </c>
      <c r="I590" s="135">
        <v>0</v>
      </c>
      <c r="J590" s="135">
        <v>0</v>
      </c>
      <c r="K590" s="135">
        <v>0</v>
      </c>
      <c r="L590" s="135">
        <v>0</v>
      </c>
      <c r="M590" s="135">
        <v>0</v>
      </c>
      <c r="N590" s="135">
        <v>0</v>
      </c>
      <c r="O590" s="135">
        <v>0</v>
      </c>
      <c r="P590" s="135">
        <v>0</v>
      </c>
      <c r="Q590" s="135">
        <v>0</v>
      </c>
      <c r="R590" s="135">
        <v>0</v>
      </c>
      <c r="S590" s="135">
        <v>0</v>
      </c>
      <c r="T590" s="135">
        <v>1</v>
      </c>
      <c r="U590" s="135">
        <v>0</v>
      </c>
      <c r="V590" s="135">
        <v>0</v>
      </c>
      <c r="W590" s="136">
        <f t="shared" si="300"/>
        <v>1</v>
      </c>
      <c r="X590" s="125" t="str">
        <f t="shared" si="301"/>
        <v>ok</v>
      </c>
    </row>
    <row r="591" spans="1:24">
      <c r="A591" s="25" t="s">
        <v>12</v>
      </c>
      <c r="C591" s="117" t="s">
        <v>49</v>
      </c>
      <c r="F591" s="134">
        <v>1</v>
      </c>
      <c r="G591" s="135">
        <v>0</v>
      </c>
      <c r="H591" s="135">
        <v>0</v>
      </c>
      <c r="I591" s="135">
        <v>0</v>
      </c>
      <c r="J591" s="135">
        <v>0</v>
      </c>
      <c r="K591" s="135">
        <v>0</v>
      </c>
      <c r="L591" s="135">
        <v>0</v>
      </c>
      <c r="M591" s="135">
        <v>0</v>
      </c>
      <c r="N591" s="135">
        <v>0</v>
      </c>
      <c r="O591" s="135">
        <v>0</v>
      </c>
      <c r="P591" s="135">
        <v>0</v>
      </c>
      <c r="Q591" s="135">
        <v>0</v>
      </c>
      <c r="R591" s="135">
        <v>0</v>
      </c>
      <c r="S591" s="135">
        <v>0</v>
      </c>
      <c r="T591" s="135">
        <v>0</v>
      </c>
      <c r="U591" s="135">
        <v>1</v>
      </c>
      <c r="V591" s="135">
        <v>0</v>
      </c>
      <c r="W591" s="136">
        <f t="shared" si="300"/>
        <v>1</v>
      </c>
      <c r="X591" s="125" t="str">
        <f t="shared" si="301"/>
        <v>ok</v>
      </c>
    </row>
    <row r="592" spans="1:24">
      <c r="A592" s="25" t="s">
        <v>652</v>
      </c>
      <c r="C592" s="117" t="s">
        <v>52</v>
      </c>
      <c r="F592" s="134">
        <v>1</v>
      </c>
      <c r="G592" s="135">
        <v>0</v>
      </c>
      <c r="H592" s="135">
        <v>0</v>
      </c>
      <c r="I592" s="135">
        <v>0</v>
      </c>
      <c r="J592" s="135">
        <v>0</v>
      </c>
      <c r="K592" s="135">
        <v>0</v>
      </c>
      <c r="L592" s="135">
        <v>0</v>
      </c>
      <c r="M592" s="135">
        <v>0</v>
      </c>
      <c r="N592" s="135">
        <v>0</v>
      </c>
      <c r="O592" s="135">
        <v>0</v>
      </c>
      <c r="P592" s="135">
        <v>0</v>
      </c>
      <c r="Q592" s="135">
        <v>0</v>
      </c>
      <c r="R592" s="135">
        <v>0</v>
      </c>
      <c r="S592" s="135">
        <v>0</v>
      </c>
      <c r="T592" s="135">
        <v>0</v>
      </c>
      <c r="U592" s="135">
        <v>0</v>
      </c>
      <c r="V592" s="135">
        <v>1</v>
      </c>
      <c r="W592" s="136">
        <f t="shared" si="300"/>
        <v>1</v>
      </c>
      <c r="X592" s="125" t="str">
        <f t="shared" si="301"/>
        <v>ok</v>
      </c>
    </row>
    <row r="594" spans="1:25">
      <c r="A594" s="25" t="s">
        <v>301</v>
      </c>
      <c r="C594" s="117" t="s">
        <v>302</v>
      </c>
      <c r="F594" s="33">
        <f>F13+F18</f>
        <v>393075641.78999996</v>
      </c>
      <c r="G594" s="33">
        <f t="shared" ref="G594:V594" si="302">G13+G18</f>
        <v>0</v>
      </c>
      <c r="H594" s="33">
        <f t="shared" si="302"/>
        <v>0</v>
      </c>
      <c r="I594" s="33">
        <f t="shared" si="302"/>
        <v>0</v>
      </c>
      <c r="J594" s="33">
        <f t="shared" si="302"/>
        <v>0</v>
      </c>
      <c r="K594" s="33">
        <f t="shared" si="302"/>
        <v>49813130.409999996</v>
      </c>
      <c r="L594" s="33">
        <f t="shared" si="302"/>
        <v>0</v>
      </c>
      <c r="M594" s="33">
        <f t="shared" si="302"/>
        <v>0</v>
      </c>
      <c r="N594" s="33">
        <f t="shared" si="302"/>
        <v>0</v>
      </c>
      <c r="O594" s="33">
        <f t="shared" si="302"/>
        <v>117382273.80543102</v>
      </c>
      <c r="P594" s="33">
        <f t="shared" si="302"/>
        <v>196488901.79651788</v>
      </c>
      <c r="Q594" s="33">
        <f t="shared" si="302"/>
        <v>17081267.386558712</v>
      </c>
      <c r="R594" s="33">
        <f t="shared" si="302"/>
        <v>12310068.39149238</v>
      </c>
      <c r="S594" s="33">
        <f t="shared" si="302"/>
        <v>0</v>
      </c>
      <c r="T594" s="33">
        <f t="shared" si="302"/>
        <v>0</v>
      </c>
      <c r="U594" s="33">
        <f t="shared" si="302"/>
        <v>0</v>
      </c>
      <c r="V594" s="33">
        <f t="shared" si="302"/>
        <v>0</v>
      </c>
      <c r="W594" s="27">
        <f>SUM(G594:V594)</f>
        <v>393075641.79000002</v>
      </c>
      <c r="X594" s="125" t="str">
        <f>IF(ABS(W594-F594)&lt;1,"ok","err")</f>
        <v>ok</v>
      </c>
      <c r="Y594" s="130">
        <f>+W594-F594</f>
        <v>0</v>
      </c>
    </row>
    <row r="621" spans="1:24">
      <c r="A621" s="119" t="s">
        <v>395</v>
      </c>
    </row>
    <row r="623" spans="1:24">
      <c r="A623" s="25" t="s">
        <v>201</v>
      </c>
      <c r="D623" s="117" t="s">
        <v>202</v>
      </c>
      <c r="F623" s="136">
        <v>1</v>
      </c>
      <c r="G623" s="136">
        <f t="shared" ref="G623:G635" si="303">(VLOOKUP($D623,$C$6:$AJ$992,5,)/VLOOKUP($D623,$C$6:$AJ$992,4,))*$F623</f>
        <v>0</v>
      </c>
      <c r="H623" s="136">
        <f t="shared" ref="H623:H635" si="304">(VLOOKUP($D623,$C$6:$AJ$992,6,)/VLOOKUP($D623,$C$6:$AJ$992,4,))*$F623</f>
        <v>0</v>
      </c>
      <c r="I623" s="136">
        <f t="shared" ref="I623:I635" si="305">(VLOOKUP($D623,$C$6:$AJ$992,7,)/VLOOKUP($D623,$C$6:$AJ$992,4,))*$F623</f>
        <v>0</v>
      </c>
      <c r="J623" s="136">
        <f t="shared" ref="J623:J635" si="306">(VLOOKUP($D623,$C$6:$AJ$992,8,)/VLOOKUP($D623,$C$6:$AJ$992,4,))*$F623</f>
        <v>0</v>
      </c>
      <c r="K623" s="136">
        <f t="shared" ref="K623:K635" si="307">(VLOOKUP($D623,$C$6:$AJ$992,9,)/VLOOKUP($D623,$C$6:$AJ$992,4,))*$F623</f>
        <v>0</v>
      </c>
      <c r="L623" s="136">
        <f t="shared" ref="L623:L635" si="308">(VLOOKUP($D623,$C$6:$AJ$992,10,)/VLOOKUP($D623,$C$6:$AJ$992,4,))*$F623</f>
        <v>0</v>
      </c>
      <c r="M623" s="136">
        <f t="shared" ref="M623:M635" si="309">(VLOOKUP($D623,$C$6:$AJ$992,11,)/VLOOKUP($D623,$C$6:$AJ$992,4,))*$F623</f>
        <v>0</v>
      </c>
      <c r="N623" s="136">
        <f t="shared" ref="N623:N635" si="310">(VLOOKUP($D623,$C$6:$AJ$992,12,)/VLOOKUP($D623,$C$6:$AJ$992,4,))*$F623</f>
        <v>3.9520117731676886E-2</v>
      </c>
      <c r="O623" s="136">
        <f t="shared" ref="O623:O635" si="311">(VLOOKUP($D623,$C$6:$AJ$992,13,)/VLOOKUP($D623,$C$6:$AJ$992,4,))*$F623</f>
        <v>0.1795135234544965</v>
      </c>
      <c r="P623" s="136">
        <f t="shared" ref="P623:P635" si="312">(VLOOKUP($D623,$C$6:$AJ$992,14,)/VLOOKUP($D623,$C$6:$AJ$992,4,))*$F623</f>
        <v>0.30049183695030363</v>
      </c>
      <c r="Q623" s="136">
        <f t="shared" ref="Q623:Q635" si="313">(VLOOKUP($D623,$C$6:$AJ$992,15,)/VLOOKUP($D623,$C$6:$AJ$992,4,))*$F623</f>
        <v>2.6122500393135694E-2</v>
      </c>
      <c r="R623" s="136">
        <f t="shared" ref="R623:R635" si="314">(VLOOKUP($D623,$C$6:$AJ$992,16,)/VLOOKUP($D623,$C$6:$AJ$992,4,))*$F623</f>
        <v>1.8825872759847491E-2</v>
      </c>
      <c r="S623" s="136">
        <f t="shared" ref="S623:S635" si="315">(VLOOKUP($D623,$C$6:$AJ$992,17,)/VLOOKUP($D623,$C$6:$AJ$992,4,))*$F623</f>
        <v>0.31657188333777408</v>
      </c>
      <c r="T623" s="136">
        <f t="shared" ref="T623:T635" si="316">(VLOOKUP($D623,$C$6:$AJ$992,18,)/VLOOKUP($D623,$C$6:$AJ$992,4,))*$F623</f>
        <v>0.11895426537276559</v>
      </c>
      <c r="U623" s="136">
        <f t="shared" ref="U623:U635" si="317">(VLOOKUP($D623,$C$6:$AJ$992,19,)/VLOOKUP($D623,$C$6:$AJ$992,4,))*$F623</f>
        <v>0</v>
      </c>
      <c r="V623" s="136">
        <f t="shared" ref="V623:V635" si="318">(VLOOKUP($D623,$C$6:$AJ$992,20,)/VLOOKUP($D623,$C$6:$AJ$992,4,))*$F623</f>
        <v>0</v>
      </c>
      <c r="W623" s="136">
        <f>SUM(G623:V623)</f>
        <v>0.99999999999999978</v>
      </c>
      <c r="X623" s="125" t="str">
        <f>IF(ABS(W623-F623)&lt;0.00001,"ok","err")</f>
        <v>ok</v>
      </c>
    </row>
    <row r="624" spans="1:24">
      <c r="A624" s="25" t="s">
        <v>67</v>
      </c>
      <c r="D624" s="117" t="s">
        <v>57</v>
      </c>
      <c r="F624" s="136">
        <v>1</v>
      </c>
      <c r="G624" s="136">
        <f t="shared" si="303"/>
        <v>0</v>
      </c>
      <c r="H624" s="136">
        <f t="shared" si="304"/>
        <v>0</v>
      </c>
      <c r="I624" s="136">
        <f t="shared" si="305"/>
        <v>0.16712290837349597</v>
      </c>
      <c r="J624" s="136">
        <f t="shared" si="306"/>
        <v>0</v>
      </c>
      <c r="K624" s="136">
        <f t="shared" si="307"/>
        <v>5.8956903273589732E-2</v>
      </c>
      <c r="L624" s="136">
        <f t="shared" si="308"/>
        <v>0</v>
      </c>
      <c r="M624" s="136">
        <f t="shared" si="309"/>
        <v>0</v>
      </c>
      <c r="N624" s="136">
        <f t="shared" si="310"/>
        <v>3.0585416958628722E-2</v>
      </c>
      <c r="O624" s="136">
        <f t="shared" si="311"/>
        <v>0.13892913988379924</v>
      </c>
      <c r="P624" s="136">
        <f t="shared" si="312"/>
        <v>0.23255669905109216</v>
      </c>
      <c r="Q624" s="27">
        <f t="shared" si="313"/>
        <v>2.0216730424504652E-2</v>
      </c>
      <c r="R624" s="27">
        <f t="shared" si="314"/>
        <v>1.4569722992209167E-2</v>
      </c>
      <c r="S624" s="27">
        <f t="shared" si="315"/>
        <v>0.2450013715800069</v>
      </c>
      <c r="T624" s="27">
        <f t="shared" si="316"/>
        <v>9.2061107462673292E-2</v>
      </c>
      <c r="U624" s="27">
        <f t="shared" si="317"/>
        <v>0</v>
      </c>
      <c r="V624" s="27">
        <f t="shared" si="318"/>
        <v>0</v>
      </c>
      <c r="W624" s="136">
        <f t="shared" ref="W624:W629" si="319">SUM(G624:V624)</f>
        <v>0.99999999999999989</v>
      </c>
      <c r="X624" s="125" t="str">
        <f t="shared" ref="X624:X644" si="320">IF(ABS(W624-F624)&lt;0.00001,"ok","err")</f>
        <v>ok</v>
      </c>
    </row>
    <row r="625" spans="1:25">
      <c r="A625" s="25" t="s">
        <v>183</v>
      </c>
      <c r="D625" s="117" t="s">
        <v>200</v>
      </c>
      <c r="F625" s="136">
        <v>1</v>
      </c>
      <c r="G625" s="136">
        <f t="shared" si="303"/>
        <v>0</v>
      </c>
      <c r="H625" s="136">
        <f t="shared" si="304"/>
        <v>0</v>
      </c>
      <c r="I625" s="136">
        <f t="shared" si="305"/>
        <v>1</v>
      </c>
      <c r="J625" s="136">
        <f t="shared" si="306"/>
        <v>0</v>
      </c>
      <c r="K625" s="136">
        <f t="shared" si="307"/>
        <v>0</v>
      </c>
      <c r="L625" s="136">
        <f t="shared" si="308"/>
        <v>0</v>
      </c>
      <c r="M625" s="136">
        <f t="shared" si="309"/>
        <v>0</v>
      </c>
      <c r="N625" s="136">
        <f t="shared" si="310"/>
        <v>0</v>
      </c>
      <c r="O625" s="136">
        <f t="shared" si="311"/>
        <v>0</v>
      </c>
      <c r="P625" s="136">
        <f t="shared" si="312"/>
        <v>0</v>
      </c>
      <c r="Q625" s="27">
        <f t="shared" si="313"/>
        <v>0</v>
      </c>
      <c r="R625" s="27">
        <f t="shared" si="314"/>
        <v>0</v>
      </c>
      <c r="S625" s="27">
        <f t="shared" si="315"/>
        <v>0</v>
      </c>
      <c r="T625" s="27">
        <f t="shared" si="316"/>
        <v>0</v>
      </c>
      <c r="U625" s="27">
        <f t="shared" si="317"/>
        <v>0</v>
      </c>
      <c r="V625" s="27">
        <f t="shared" si="318"/>
        <v>0</v>
      </c>
      <c r="W625" s="136">
        <f t="shared" si="319"/>
        <v>1</v>
      </c>
      <c r="X625" s="125" t="str">
        <f t="shared" si="320"/>
        <v>ok</v>
      </c>
    </row>
    <row r="626" spans="1:25">
      <c r="A626" s="25" t="s">
        <v>391</v>
      </c>
      <c r="D626" s="117" t="s">
        <v>182</v>
      </c>
      <c r="F626" s="136">
        <v>1</v>
      </c>
      <c r="G626" s="136">
        <f t="shared" si="303"/>
        <v>0</v>
      </c>
      <c r="H626" s="136">
        <f t="shared" si="304"/>
        <v>0</v>
      </c>
      <c r="I626" s="136">
        <f t="shared" si="305"/>
        <v>0</v>
      </c>
      <c r="J626" s="136">
        <f t="shared" si="306"/>
        <v>0</v>
      </c>
      <c r="K626" s="136">
        <f t="shared" si="307"/>
        <v>1</v>
      </c>
      <c r="L626" s="136">
        <f t="shared" si="308"/>
        <v>0</v>
      </c>
      <c r="M626" s="136">
        <f t="shared" si="309"/>
        <v>0</v>
      </c>
      <c r="N626" s="136">
        <f t="shared" si="310"/>
        <v>0</v>
      </c>
      <c r="O626" s="136">
        <f t="shared" si="311"/>
        <v>0</v>
      </c>
      <c r="P626" s="136">
        <f t="shared" si="312"/>
        <v>0</v>
      </c>
      <c r="Q626" s="27">
        <f t="shared" si="313"/>
        <v>0</v>
      </c>
      <c r="R626" s="27">
        <f t="shared" si="314"/>
        <v>0</v>
      </c>
      <c r="S626" s="27">
        <f t="shared" si="315"/>
        <v>0</v>
      </c>
      <c r="T626" s="27">
        <f t="shared" si="316"/>
        <v>0</v>
      </c>
      <c r="U626" s="27">
        <f t="shared" si="317"/>
        <v>0</v>
      </c>
      <c r="V626" s="27">
        <f t="shared" si="318"/>
        <v>0</v>
      </c>
      <c r="W626" s="136">
        <f t="shared" si="319"/>
        <v>1</v>
      </c>
      <c r="X626" s="125" t="str">
        <f t="shared" si="320"/>
        <v>ok</v>
      </c>
    </row>
    <row r="627" spans="1:25">
      <c r="A627" s="25" t="s">
        <v>62</v>
      </c>
      <c r="D627" s="117" t="s">
        <v>63</v>
      </c>
      <c r="F627" s="136">
        <v>1</v>
      </c>
      <c r="G627" s="136">
        <f t="shared" si="303"/>
        <v>0</v>
      </c>
      <c r="H627" s="136">
        <f t="shared" si="304"/>
        <v>0</v>
      </c>
      <c r="I627" s="136">
        <f t="shared" si="305"/>
        <v>0.16712290837349597</v>
      </c>
      <c r="J627" s="136">
        <f t="shared" si="306"/>
        <v>0</v>
      </c>
      <c r="K627" s="136">
        <f t="shared" si="307"/>
        <v>5.8956903273589732E-2</v>
      </c>
      <c r="L627" s="136">
        <f t="shared" si="308"/>
        <v>0</v>
      </c>
      <c r="M627" s="136">
        <f t="shared" si="309"/>
        <v>0</v>
      </c>
      <c r="N627" s="136">
        <f t="shared" si="310"/>
        <v>3.0585416958628722E-2</v>
      </c>
      <c r="O627" s="136">
        <f t="shared" si="311"/>
        <v>0.13892913988379924</v>
      </c>
      <c r="P627" s="136">
        <f t="shared" si="312"/>
        <v>0.23255669905109219</v>
      </c>
      <c r="Q627" s="27">
        <f t="shared" si="313"/>
        <v>2.0216730424504652E-2</v>
      </c>
      <c r="R627" s="27">
        <f t="shared" si="314"/>
        <v>1.4569722992209167E-2</v>
      </c>
      <c r="S627" s="27">
        <f t="shared" si="315"/>
        <v>0.2450013715800069</v>
      </c>
      <c r="T627" s="27">
        <f t="shared" si="316"/>
        <v>9.2061107462673292E-2</v>
      </c>
      <c r="U627" s="27">
        <f t="shared" si="317"/>
        <v>0</v>
      </c>
      <c r="V627" s="27">
        <f t="shared" si="318"/>
        <v>0</v>
      </c>
      <c r="W627" s="136">
        <f t="shared" si="319"/>
        <v>0.99999999999999989</v>
      </c>
      <c r="X627" s="125" t="str">
        <f t="shared" si="320"/>
        <v>ok</v>
      </c>
    </row>
    <row r="628" spans="1:25">
      <c r="A628" s="25" t="s">
        <v>66</v>
      </c>
      <c r="D628" s="117" t="s">
        <v>202</v>
      </c>
      <c r="F628" s="136">
        <v>1</v>
      </c>
      <c r="G628" s="136">
        <f t="shared" si="303"/>
        <v>0</v>
      </c>
      <c r="H628" s="136">
        <f t="shared" si="304"/>
        <v>0</v>
      </c>
      <c r="I628" s="136">
        <f t="shared" si="305"/>
        <v>0</v>
      </c>
      <c r="J628" s="136">
        <f t="shared" si="306"/>
        <v>0</v>
      </c>
      <c r="K628" s="136">
        <f t="shared" si="307"/>
        <v>0</v>
      </c>
      <c r="L628" s="136">
        <f t="shared" si="308"/>
        <v>0</v>
      </c>
      <c r="M628" s="136">
        <f t="shared" si="309"/>
        <v>0</v>
      </c>
      <c r="N628" s="136">
        <f t="shared" si="310"/>
        <v>3.9520117731676886E-2</v>
      </c>
      <c r="O628" s="136">
        <f t="shared" si="311"/>
        <v>0.1795135234544965</v>
      </c>
      <c r="P628" s="136">
        <f t="shared" si="312"/>
        <v>0.30049183695030363</v>
      </c>
      <c r="Q628" s="27">
        <f t="shared" si="313"/>
        <v>2.6122500393135694E-2</v>
      </c>
      <c r="R628" s="27">
        <f t="shared" si="314"/>
        <v>1.8825872759847491E-2</v>
      </c>
      <c r="S628" s="27">
        <f t="shared" si="315"/>
        <v>0.31657188333777408</v>
      </c>
      <c r="T628" s="27">
        <f t="shared" si="316"/>
        <v>0.11895426537276559</v>
      </c>
      <c r="U628" s="27">
        <f t="shared" si="317"/>
        <v>0</v>
      </c>
      <c r="V628" s="27">
        <f t="shared" si="318"/>
        <v>0</v>
      </c>
      <c r="W628" s="136">
        <f t="shared" si="319"/>
        <v>0.99999999999999978</v>
      </c>
      <c r="X628" s="125" t="str">
        <f t="shared" si="320"/>
        <v>ok</v>
      </c>
    </row>
    <row r="629" spans="1:25">
      <c r="A629" s="25" t="s">
        <v>203</v>
      </c>
      <c r="D629" s="117" t="s">
        <v>72</v>
      </c>
      <c r="F629" s="136">
        <v>1</v>
      </c>
      <c r="G629" s="136">
        <f t="shared" si="303"/>
        <v>0</v>
      </c>
      <c r="H629" s="136">
        <f t="shared" si="304"/>
        <v>0</v>
      </c>
      <c r="I629" s="136">
        <f t="shared" si="305"/>
        <v>0.39137788336572443</v>
      </c>
      <c r="J629" s="136">
        <f t="shared" si="306"/>
        <v>0</v>
      </c>
      <c r="K629" s="136">
        <f t="shared" si="307"/>
        <v>0.13072277731809864</v>
      </c>
      <c r="L629" s="136">
        <f t="shared" si="308"/>
        <v>0</v>
      </c>
      <c r="M629" s="136">
        <f t="shared" si="309"/>
        <v>0</v>
      </c>
      <c r="N629" s="136">
        <f t="shared" si="310"/>
        <v>8.8574294598008294E-3</v>
      </c>
      <c r="O629" s="136">
        <f t="shared" si="311"/>
        <v>0.12701437774307861</v>
      </c>
      <c r="P629" s="136">
        <f t="shared" si="312"/>
        <v>0.21261230325520319</v>
      </c>
      <c r="Q629" s="27">
        <f t="shared" si="313"/>
        <v>1.8482914649984535E-2</v>
      </c>
      <c r="R629" s="27">
        <f t="shared" si="314"/>
        <v>1.3320202668009679E-2</v>
      </c>
      <c r="S629" s="27">
        <f t="shared" si="315"/>
        <v>7.0951537762578773E-2</v>
      </c>
      <c r="T629" s="27">
        <f t="shared" si="316"/>
        <v>2.6660573777521311E-2</v>
      </c>
      <c r="U629" s="27">
        <f t="shared" si="317"/>
        <v>0</v>
      </c>
      <c r="V629" s="27">
        <f t="shared" si="318"/>
        <v>0</v>
      </c>
      <c r="W629" s="136">
        <f t="shared" si="319"/>
        <v>1</v>
      </c>
      <c r="X629" s="125" t="str">
        <f t="shared" si="320"/>
        <v>ok</v>
      </c>
    </row>
    <row r="630" spans="1:25">
      <c r="A630" s="25" t="s">
        <v>191</v>
      </c>
      <c r="D630" s="117" t="s">
        <v>91</v>
      </c>
      <c r="F630" s="136">
        <v>1</v>
      </c>
      <c r="G630" s="136">
        <f t="shared" si="303"/>
        <v>1.1926666841015968E-3</v>
      </c>
      <c r="H630" s="136">
        <f t="shared" si="304"/>
        <v>8.9663340322663487E-3</v>
      </c>
      <c r="I630" s="136">
        <f t="shared" si="305"/>
        <v>8.1793501914934466E-2</v>
      </c>
      <c r="J630" s="136">
        <f t="shared" si="306"/>
        <v>0.12513450747714161</v>
      </c>
      <c r="K630" s="136">
        <f t="shared" si="307"/>
        <v>5.6838404348866188E-2</v>
      </c>
      <c r="L630" s="136">
        <f t="shared" si="308"/>
        <v>0</v>
      </c>
      <c r="M630" s="136">
        <f t="shared" si="309"/>
        <v>6.2538542801375222E-3</v>
      </c>
      <c r="N630" s="136">
        <f t="shared" si="310"/>
        <v>5.4976285449922259E-2</v>
      </c>
      <c r="O630" s="136">
        <f t="shared" si="311"/>
        <v>0.1147407147901635</v>
      </c>
      <c r="P630" s="136">
        <f t="shared" si="312"/>
        <v>0.19206713509262061</v>
      </c>
      <c r="Q630" s="27">
        <f t="shared" si="313"/>
        <v>1.6696872244137542E-2</v>
      </c>
      <c r="R630" s="27">
        <f t="shared" si="314"/>
        <v>1.2033043836728628E-2</v>
      </c>
      <c r="S630" s="27">
        <f t="shared" si="315"/>
        <v>7.8744734636806063E-2</v>
      </c>
      <c r="T630" s="27">
        <f t="shared" si="316"/>
        <v>5.8302484884146646E-2</v>
      </c>
      <c r="U630" s="27">
        <f t="shared" si="317"/>
        <v>0.18096465338903572</v>
      </c>
      <c r="V630" s="27">
        <f t="shared" si="318"/>
        <v>1.1294806938991472E-2</v>
      </c>
      <c r="W630" s="136">
        <f t="shared" ref="W630:W636" si="321">SUM(G630:V630)</f>
        <v>1.0000000000000004</v>
      </c>
      <c r="X630" s="125" t="str">
        <f t="shared" si="320"/>
        <v>ok</v>
      </c>
    </row>
    <row r="631" spans="1:25">
      <c r="A631" s="25" t="s">
        <v>78</v>
      </c>
      <c r="D631" s="117" t="s">
        <v>79</v>
      </c>
      <c r="F631" s="136">
        <v>1</v>
      </c>
      <c r="G631" s="136">
        <f t="shared" si="303"/>
        <v>0</v>
      </c>
      <c r="H631" s="136">
        <f t="shared" si="304"/>
        <v>0</v>
      </c>
      <c r="I631" s="136">
        <f t="shared" si="305"/>
        <v>0.13408966554370461</v>
      </c>
      <c r="J631" s="136">
        <f t="shared" si="306"/>
        <v>0</v>
      </c>
      <c r="K631" s="136">
        <f t="shared" si="307"/>
        <v>4.2754839582775456E-2</v>
      </c>
      <c r="L631" s="136">
        <f t="shared" si="308"/>
        <v>0</v>
      </c>
      <c r="M631" s="136">
        <f t="shared" si="309"/>
        <v>0</v>
      </c>
      <c r="N631" s="136">
        <f t="shared" si="310"/>
        <v>1.7265713870340992E-2</v>
      </c>
      <c r="O631" s="136">
        <f t="shared" si="311"/>
        <v>0.14779717024168515</v>
      </c>
      <c r="P631" s="136">
        <f t="shared" si="312"/>
        <v>0.24740110008056487</v>
      </c>
      <c r="Q631" s="27">
        <f t="shared" si="313"/>
        <v>2.1507191009603327E-2</v>
      </c>
      <c r="R631" s="27">
        <f t="shared" si="314"/>
        <v>1.5499727639966767E-2</v>
      </c>
      <c r="S631" s="27">
        <f t="shared" si="315"/>
        <v>0.30401204328086368</v>
      </c>
      <c r="T631" s="27">
        <f t="shared" si="316"/>
        <v>6.9672548750495195E-2</v>
      </c>
      <c r="U631" s="27">
        <f t="shared" si="317"/>
        <v>0</v>
      </c>
      <c r="V631" s="27">
        <f t="shared" si="318"/>
        <v>0</v>
      </c>
      <c r="W631" s="136">
        <f t="shared" si="321"/>
        <v>1</v>
      </c>
      <c r="X631" s="125" t="str">
        <f t="shared" si="320"/>
        <v>ok</v>
      </c>
    </row>
    <row r="632" spans="1:25">
      <c r="A632" s="25" t="s">
        <v>651</v>
      </c>
      <c r="D632" s="117" t="s">
        <v>57</v>
      </c>
      <c r="F632" s="136">
        <v>1</v>
      </c>
      <c r="G632" s="136">
        <f t="shared" si="303"/>
        <v>0</v>
      </c>
      <c r="H632" s="136">
        <f t="shared" si="304"/>
        <v>0</v>
      </c>
      <c r="I632" s="136">
        <f t="shared" si="305"/>
        <v>0.16712290837349597</v>
      </c>
      <c r="J632" s="136">
        <f t="shared" si="306"/>
        <v>0</v>
      </c>
      <c r="K632" s="136">
        <f t="shared" si="307"/>
        <v>5.8956903273589732E-2</v>
      </c>
      <c r="L632" s="136">
        <f t="shared" si="308"/>
        <v>0</v>
      </c>
      <c r="M632" s="136">
        <f t="shared" si="309"/>
        <v>0</v>
      </c>
      <c r="N632" s="136">
        <f t="shared" si="310"/>
        <v>3.0585416958628722E-2</v>
      </c>
      <c r="O632" s="136">
        <f t="shared" si="311"/>
        <v>0.13892913988379924</v>
      </c>
      <c r="P632" s="136">
        <f t="shared" si="312"/>
        <v>0.23255669905109216</v>
      </c>
      <c r="Q632" s="27">
        <f t="shared" si="313"/>
        <v>2.0216730424504652E-2</v>
      </c>
      <c r="R632" s="27">
        <f t="shared" si="314"/>
        <v>1.4569722992209167E-2</v>
      </c>
      <c r="S632" s="27">
        <f t="shared" si="315"/>
        <v>0.2450013715800069</v>
      </c>
      <c r="T632" s="27">
        <f t="shared" si="316"/>
        <v>9.2061107462673292E-2</v>
      </c>
      <c r="U632" s="27">
        <f t="shared" si="317"/>
        <v>0</v>
      </c>
      <c r="V632" s="27">
        <f t="shared" si="318"/>
        <v>0</v>
      </c>
      <c r="W632" s="136">
        <f t="shared" si="321"/>
        <v>0.99999999999999989</v>
      </c>
      <c r="X632" s="125" t="str">
        <f t="shared" si="320"/>
        <v>ok</v>
      </c>
    </row>
    <row r="633" spans="1:25">
      <c r="A633" s="25" t="s">
        <v>392</v>
      </c>
      <c r="D633" s="117" t="s">
        <v>347</v>
      </c>
      <c r="F633" s="136">
        <v>1</v>
      </c>
      <c r="G633" s="136">
        <f t="shared" si="303"/>
        <v>3.5974460200949273E-3</v>
      </c>
      <c r="H633" s="136">
        <f t="shared" si="304"/>
        <v>2.7045194696216204E-2</v>
      </c>
      <c r="I633" s="136">
        <f t="shared" si="305"/>
        <v>9.5530607548149377E-2</v>
      </c>
      <c r="J633" s="136">
        <f t="shared" si="306"/>
        <v>9.616134872477132E-2</v>
      </c>
      <c r="K633" s="136">
        <f t="shared" si="307"/>
        <v>4.3509671674172537E-2</v>
      </c>
      <c r="L633" s="136">
        <f t="shared" si="308"/>
        <v>0</v>
      </c>
      <c r="M633" s="136">
        <f t="shared" si="309"/>
        <v>1.6124627150976002E-2</v>
      </c>
      <c r="N633" s="136">
        <f t="shared" si="310"/>
        <v>5.7475099609088871E-2</v>
      </c>
      <c r="O633" s="136">
        <f t="shared" si="311"/>
        <v>0.11898156218084893</v>
      </c>
      <c r="P633" s="136">
        <f t="shared" si="312"/>
        <v>0.19916598758089007</v>
      </c>
      <c r="Q633" s="27">
        <f t="shared" si="313"/>
        <v>1.7313993091071896E-2</v>
      </c>
      <c r="R633" s="27">
        <f t="shared" si="314"/>
        <v>1.2477788343073368E-2</v>
      </c>
      <c r="S633" s="27">
        <f t="shared" si="315"/>
        <v>5.7088991773928274E-2</v>
      </c>
      <c r="T633" s="27">
        <f t="shared" si="316"/>
        <v>5.8385884372281351E-2</v>
      </c>
      <c r="U633" s="27">
        <f t="shared" si="317"/>
        <v>0.18155647246613765</v>
      </c>
      <c r="V633" s="27">
        <f t="shared" si="318"/>
        <v>1.5585324768299418E-2</v>
      </c>
      <c r="W633" s="136">
        <f t="shared" si="321"/>
        <v>1</v>
      </c>
      <c r="X633" s="125" t="str">
        <f t="shared" si="320"/>
        <v>ok</v>
      </c>
    </row>
    <row r="634" spans="1:25">
      <c r="A634" s="25" t="s">
        <v>393</v>
      </c>
      <c r="D634" s="117" t="s">
        <v>354</v>
      </c>
      <c r="F634" s="136">
        <v>1</v>
      </c>
      <c r="G634" s="136">
        <f t="shared" si="303"/>
        <v>0</v>
      </c>
      <c r="H634" s="136">
        <f t="shared" si="304"/>
        <v>0</v>
      </c>
      <c r="I634" s="136">
        <f t="shared" si="305"/>
        <v>0</v>
      </c>
      <c r="J634" s="136">
        <f t="shared" si="306"/>
        <v>0</v>
      </c>
      <c r="K634" s="136">
        <f t="shared" si="307"/>
        <v>7.5017711136212528E-2</v>
      </c>
      <c r="L634" s="136">
        <f t="shared" si="308"/>
        <v>0</v>
      </c>
      <c r="M634" s="136">
        <f t="shared" si="309"/>
        <v>2.8234476066852594E-2</v>
      </c>
      <c r="N634" s="136">
        <f t="shared" si="310"/>
        <v>0.10003366208232987</v>
      </c>
      <c r="O634" s="136">
        <f t="shared" si="311"/>
        <v>0.20558528846354002</v>
      </c>
      <c r="P634" s="136">
        <f t="shared" si="312"/>
        <v>0.34413396713271299</v>
      </c>
      <c r="Q634" s="27">
        <f t="shared" si="313"/>
        <v>2.9916418971482343E-2</v>
      </c>
      <c r="R634" s="27">
        <f t="shared" si="314"/>
        <v>2.1560060810082673E-2</v>
      </c>
      <c r="S634" s="27">
        <f t="shared" si="315"/>
        <v>9.5108281311071116E-2</v>
      </c>
      <c r="T634" s="27">
        <f t="shared" si="316"/>
        <v>0.10041013402571582</v>
      </c>
      <c r="U634" s="27">
        <f t="shared" si="317"/>
        <v>0</v>
      </c>
      <c r="V634" s="27">
        <f t="shared" si="318"/>
        <v>0</v>
      </c>
      <c r="W634" s="136">
        <f t="shared" si="321"/>
        <v>0.99999999999999989</v>
      </c>
      <c r="X634" s="125" t="str">
        <f t="shared" si="320"/>
        <v>ok</v>
      </c>
    </row>
    <row r="635" spans="1:25">
      <c r="A635" s="25" t="s">
        <v>394</v>
      </c>
      <c r="D635" s="117" t="s">
        <v>302</v>
      </c>
      <c r="F635" s="136">
        <v>1</v>
      </c>
      <c r="G635" s="136">
        <f t="shared" si="303"/>
        <v>0</v>
      </c>
      <c r="H635" s="136">
        <f t="shared" si="304"/>
        <v>0</v>
      </c>
      <c r="I635" s="136">
        <f t="shared" si="305"/>
        <v>0</v>
      </c>
      <c r="J635" s="136">
        <f t="shared" si="306"/>
        <v>0</v>
      </c>
      <c r="K635" s="136">
        <f t="shared" si="307"/>
        <v>0.1267265765519314</v>
      </c>
      <c r="L635" s="136">
        <f t="shared" si="308"/>
        <v>0</v>
      </c>
      <c r="M635" s="136">
        <f t="shared" si="309"/>
        <v>0</v>
      </c>
      <c r="N635" s="136">
        <f t="shared" si="310"/>
        <v>0</v>
      </c>
      <c r="O635" s="136">
        <f t="shared" si="311"/>
        <v>0.2986251533442571</v>
      </c>
      <c r="P635" s="136">
        <f t="shared" si="312"/>
        <v>0.49987554787607968</v>
      </c>
      <c r="Q635" s="27">
        <f t="shared" si="313"/>
        <v>4.3455420714378308E-2</v>
      </c>
      <c r="R635" s="27">
        <f t="shared" si="314"/>
        <v>3.1317301513353539E-2</v>
      </c>
      <c r="S635" s="27">
        <f t="shared" si="315"/>
        <v>0</v>
      </c>
      <c r="T635" s="27">
        <f t="shared" si="316"/>
        <v>0</v>
      </c>
      <c r="U635" s="27">
        <f t="shared" si="317"/>
        <v>0</v>
      </c>
      <c r="V635" s="27">
        <f t="shared" si="318"/>
        <v>0</v>
      </c>
      <c r="W635" s="136">
        <f t="shared" si="321"/>
        <v>1</v>
      </c>
      <c r="X635" s="125" t="str">
        <f t="shared" si="320"/>
        <v>ok</v>
      </c>
    </row>
    <row r="636" spans="1:25">
      <c r="A636" s="25" t="s">
        <v>713</v>
      </c>
      <c r="C636" s="117" t="s">
        <v>640</v>
      </c>
      <c r="D636" s="25"/>
      <c r="F636" s="27">
        <f>SUM(F149:F159)</f>
        <v>1208450</v>
      </c>
      <c r="G636" s="27">
        <f t="shared" ref="G636:V636" si="322">SUM(G149:G159)</f>
        <v>0</v>
      </c>
      <c r="H636" s="27">
        <f t="shared" si="322"/>
        <v>0</v>
      </c>
      <c r="I636" s="27">
        <f t="shared" si="322"/>
        <v>875950</v>
      </c>
      <c r="J636" s="27">
        <f t="shared" si="322"/>
        <v>332500</v>
      </c>
      <c r="K636" s="27">
        <f t="shared" si="322"/>
        <v>0</v>
      </c>
      <c r="L636" s="27">
        <f t="shared" si="322"/>
        <v>0</v>
      </c>
      <c r="M636" s="27">
        <f t="shared" si="322"/>
        <v>0</v>
      </c>
      <c r="N636" s="27">
        <f t="shared" si="322"/>
        <v>0</v>
      </c>
      <c r="O636" s="27">
        <f t="shared" si="322"/>
        <v>0</v>
      </c>
      <c r="P636" s="27">
        <f t="shared" si="322"/>
        <v>0</v>
      </c>
      <c r="Q636" s="27">
        <f>SUM(Q149:Q159)</f>
        <v>0</v>
      </c>
      <c r="R636" s="27">
        <f>SUM(R149:R159)</f>
        <v>0</v>
      </c>
      <c r="S636" s="27">
        <f t="shared" si="322"/>
        <v>0</v>
      </c>
      <c r="T636" s="27">
        <f t="shared" si="322"/>
        <v>0</v>
      </c>
      <c r="U636" s="27">
        <f t="shared" si="322"/>
        <v>0</v>
      </c>
      <c r="V636" s="27">
        <f t="shared" si="322"/>
        <v>0</v>
      </c>
      <c r="W636" s="27">
        <f t="shared" si="321"/>
        <v>1208450</v>
      </c>
      <c r="X636" s="125" t="str">
        <f>IF(ABS(W636-F636)&lt;0.00001,"ok","err")</f>
        <v>ok</v>
      </c>
    </row>
    <row r="637" spans="1:25">
      <c r="A637" s="25" t="s">
        <v>712</v>
      </c>
      <c r="C637" s="117" t="s">
        <v>641</v>
      </c>
      <c r="F637" s="27">
        <f>SUM(F168:F174)</f>
        <v>1646500</v>
      </c>
      <c r="G637" s="27">
        <f t="shared" ref="G637:V637" si="323">SUM(G168:G174)</f>
        <v>0</v>
      </c>
      <c r="H637" s="27">
        <f t="shared" si="323"/>
        <v>0</v>
      </c>
      <c r="I637" s="27">
        <f t="shared" si="323"/>
        <v>517000</v>
      </c>
      <c r="J637" s="27">
        <f t="shared" si="323"/>
        <v>1129500</v>
      </c>
      <c r="K637" s="27">
        <f t="shared" si="323"/>
        <v>0</v>
      </c>
      <c r="L637" s="27">
        <f t="shared" si="323"/>
        <v>0</v>
      </c>
      <c r="M637" s="27">
        <f t="shared" si="323"/>
        <v>0</v>
      </c>
      <c r="N637" s="27">
        <f t="shared" si="323"/>
        <v>0</v>
      </c>
      <c r="O637" s="27">
        <f t="shared" si="323"/>
        <v>0</v>
      </c>
      <c r="P637" s="27">
        <f t="shared" si="323"/>
        <v>0</v>
      </c>
      <c r="Q637" s="27">
        <f>SUM(Q168:Q174)</f>
        <v>0</v>
      </c>
      <c r="R637" s="27">
        <f>SUM(R168:R174)</f>
        <v>0</v>
      </c>
      <c r="S637" s="27">
        <f t="shared" si="323"/>
        <v>0</v>
      </c>
      <c r="T637" s="27">
        <f t="shared" si="323"/>
        <v>0</v>
      </c>
      <c r="U637" s="27">
        <f t="shared" si="323"/>
        <v>0</v>
      </c>
      <c r="V637" s="27">
        <f t="shared" si="323"/>
        <v>0</v>
      </c>
      <c r="W637" s="27">
        <f t="shared" ref="W637:W643" si="324">SUM(G637:V637)</f>
        <v>1646500</v>
      </c>
      <c r="X637" s="125" t="str">
        <f t="shared" si="320"/>
        <v>ok</v>
      </c>
    </row>
    <row r="638" spans="1:25">
      <c r="A638" s="25" t="s">
        <v>643</v>
      </c>
      <c r="C638" s="117" t="s">
        <v>644</v>
      </c>
      <c r="F638" s="27">
        <f>F18+F21</f>
        <v>550266010.47000003</v>
      </c>
      <c r="G638" s="27">
        <f t="shared" ref="G638:V638" si="325">G18+G21</f>
        <v>0</v>
      </c>
      <c r="H638" s="27">
        <f t="shared" si="325"/>
        <v>0</v>
      </c>
      <c r="I638" s="27">
        <f t="shared" si="325"/>
        <v>0</v>
      </c>
      <c r="J638" s="27">
        <f t="shared" si="325"/>
        <v>0</v>
      </c>
      <c r="K638" s="27">
        <f t="shared" si="325"/>
        <v>0</v>
      </c>
      <c r="L638" s="27">
        <f t="shared" si="325"/>
        <v>0</v>
      </c>
      <c r="M638" s="27">
        <f t="shared" si="325"/>
        <v>0</v>
      </c>
      <c r="N638" s="27">
        <f t="shared" si="325"/>
        <v>0</v>
      </c>
      <c r="O638" s="27">
        <f t="shared" si="325"/>
        <v>117382273.80543102</v>
      </c>
      <c r="P638" s="27">
        <f t="shared" si="325"/>
        <v>196488901.79651788</v>
      </c>
      <c r="Q638" s="27">
        <f>Q18+Q21</f>
        <v>17081267.386558712</v>
      </c>
      <c r="R638" s="27">
        <f>R18+R21</f>
        <v>12310068.39149238</v>
      </c>
      <c r="S638" s="27">
        <f t="shared" si="325"/>
        <v>207003499.09</v>
      </c>
      <c r="T638" s="27">
        <f t="shared" si="325"/>
        <v>0</v>
      </c>
      <c r="U638" s="27">
        <f t="shared" si="325"/>
        <v>0</v>
      </c>
      <c r="V638" s="27">
        <f t="shared" si="325"/>
        <v>0</v>
      </c>
      <c r="W638" s="27">
        <f t="shared" si="324"/>
        <v>550266010.47000003</v>
      </c>
      <c r="X638" s="125" t="str">
        <f t="shared" si="320"/>
        <v>ok</v>
      </c>
      <c r="Y638" s="130">
        <f>+W638-F638</f>
        <v>0</v>
      </c>
    </row>
    <row r="639" spans="1:25">
      <c r="A639" s="25" t="s">
        <v>646</v>
      </c>
      <c r="C639" s="117" t="s">
        <v>645</v>
      </c>
      <c r="F639" s="137">
        <v>1</v>
      </c>
      <c r="G639" s="138">
        <v>0.1174</v>
      </c>
      <c r="H639" s="138">
        <v>0.88260000000000005</v>
      </c>
      <c r="W639" s="137">
        <f t="shared" si="324"/>
        <v>1</v>
      </c>
      <c r="X639" s="125" t="str">
        <f t="shared" si="320"/>
        <v>ok</v>
      </c>
    </row>
    <row r="640" spans="1:25">
      <c r="A640" s="25" t="s">
        <v>714</v>
      </c>
      <c r="C640" s="117" t="s">
        <v>647</v>
      </c>
      <c r="D640" s="25"/>
      <c r="F640" s="27">
        <f>SUM(F194:F213)</f>
        <v>3460180</v>
      </c>
      <c r="G640" s="27">
        <f t="shared" ref="G640:V640" si="326">SUM(G194:G213)</f>
        <v>0</v>
      </c>
      <c r="H640" s="27">
        <f t="shared" si="326"/>
        <v>0</v>
      </c>
      <c r="I640" s="27">
        <f t="shared" si="326"/>
        <v>0</v>
      </c>
      <c r="J640" s="27">
        <f t="shared" si="326"/>
        <v>0</v>
      </c>
      <c r="K640" s="27">
        <f t="shared" si="326"/>
        <v>0</v>
      </c>
      <c r="L640" s="27">
        <f t="shared" si="326"/>
        <v>0</v>
      </c>
      <c r="M640" s="27">
        <f t="shared" si="326"/>
        <v>306000</v>
      </c>
      <c r="N640" s="27">
        <f t="shared" si="326"/>
        <v>785519.94173890038</v>
      </c>
      <c r="O640" s="27">
        <f t="shared" si="326"/>
        <v>300161.16603249428</v>
      </c>
      <c r="P640" s="27">
        <f t="shared" si="326"/>
        <v>502446.7150248565</v>
      </c>
      <c r="Q640" s="27">
        <f>SUM(Q194:Q213)</f>
        <v>43678.938649295946</v>
      </c>
      <c r="R640" s="27">
        <f>SUM(R194:R213)</f>
        <v>31478.385641556255</v>
      </c>
      <c r="S640" s="27">
        <f t="shared" si="326"/>
        <v>529333.85634233605</v>
      </c>
      <c r="T640" s="27">
        <f t="shared" si="326"/>
        <v>961560.9965705605</v>
      </c>
      <c r="U640" s="27">
        <f t="shared" si="326"/>
        <v>0</v>
      </c>
      <c r="V640" s="27">
        <f t="shared" si="326"/>
        <v>0</v>
      </c>
      <c r="W640" s="27">
        <f t="shared" si="324"/>
        <v>3460180</v>
      </c>
      <c r="X640" s="125" t="str">
        <f t="shared" si="320"/>
        <v>ok</v>
      </c>
    </row>
    <row r="641" spans="1:24">
      <c r="A641" s="25" t="s">
        <v>715</v>
      </c>
      <c r="C641" s="117" t="s">
        <v>648</v>
      </c>
      <c r="F641" s="27">
        <f>SUM(F234:F242)</f>
        <v>6564606</v>
      </c>
      <c r="G641" s="27">
        <f t="shared" ref="G641:V641" si="327">SUM(G234:G242)</f>
        <v>0</v>
      </c>
      <c r="H641" s="27">
        <f t="shared" si="327"/>
        <v>0</v>
      </c>
      <c r="I641" s="27">
        <f t="shared" si="327"/>
        <v>0</v>
      </c>
      <c r="J641" s="27">
        <f t="shared" si="327"/>
        <v>0</v>
      </c>
      <c r="K641" s="27">
        <f t="shared" si="327"/>
        <v>0</v>
      </c>
      <c r="L641" s="27">
        <f t="shared" si="327"/>
        <v>0</v>
      </c>
      <c r="M641" s="27">
        <f t="shared" si="327"/>
        <v>0</v>
      </c>
      <c r="N641" s="27">
        <f t="shared" si="327"/>
        <v>298626.28164824349</v>
      </c>
      <c r="O641" s="27">
        <f t="shared" si="327"/>
        <v>1927933.9514716985</v>
      </c>
      <c r="P641" s="27">
        <f t="shared" si="327"/>
        <v>3227213.2118416005</v>
      </c>
      <c r="Q641" s="27">
        <f>SUM(Q234:Q242)</f>
        <v>280549.645709701</v>
      </c>
      <c r="R641" s="27">
        <f>SUM(R234:R242)</f>
        <v>202185.54324680907</v>
      </c>
      <c r="S641" s="27">
        <f t="shared" si="327"/>
        <v>501432.00636672886</v>
      </c>
      <c r="T641" s="27">
        <f t="shared" si="327"/>
        <v>126665.35971521871</v>
      </c>
      <c r="U641" s="27">
        <f t="shared" si="327"/>
        <v>0</v>
      </c>
      <c r="V641" s="27">
        <f t="shared" si="327"/>
        <v>0</v>
      </c>
      <c r="W641" s="27">
        <f t="shared" si="324"/>
        <v>6564606</v>
      </c>
      <c r="X641" s="125" t="str">
        <f t="shared" si="320"/>
        <v>ok</v>
      </c>
    </row>
    <row r="642" spans="1:24">
      <c r="A642" s="25" t="s">
        <v>649</v>
      </c>
      <c r="C642" s="117" t="s">
        <v>155</v>
      </c>
      <c r="F642" s="33">
        <f>F144+F179+F246+F256+F259+F262</f>
        <v>18762398.959999997</v>
      </c>
      <c r="G642" s="33">
        <f t="shared" ref="G642:V642" si="328">G144+G179+G246+G256+G259+G262</f>
        <v>68269.391400000008</v>
      </c>
      <c r="H642" s="33">
        <f t="shared" si="328"/>
        <v>513241.60860000004</v>
      </c>
      <c r="I642" s="33">
        <f t="shared" si="328"/>
        <v>1777006.4892191167</v>
      </c>
      <c r="J642" s="33">
        <f t="shared" si="328"/>
        <v>1824871.510780883</v>
      </c>
      <c r="K642" s="33">
        <f t="shared" si="328"/>
        <v>813028</v>
      </c>
      <c r="L642" s="33">
        <f t="shared" si="328"/>
        <v>0</v>
      </c>
      <c r="M642" s="33">
        <f t="shared" si="328"/>
        <v>306000</v>
      </c>
      <c r="N642" s="33">
        <f t="shared" si="328"/>
        <v>1084146.2233871438</v>
      </c>
      <c r="O642" s="33">
        <f t="shared" si="328"/>
        <v>2228095.1175041925</v>
      </c>
      <c r="P642" s="33">
        <f t="shared" si="328"/>
        <v>3729659.9268664569</v>
      </c>
      <c r="Q642" s="33">
        <f>Q144+Q179+Q246+Q256+Q259+Q262</f>
        <v>324228.58435899694</v>
      </c>
      <c r="R642" s="33">
        <f>R144+R179+R246+R256+R259+R262</f>
        <v>233663.92888836534</v>
      </c>
      <c r="S642" s="33">
        <f t="shared" si="328"/>
        <v>1030765.862709065</v>
      </c>
      <c r="T642" s="33">
        <f t="shared" si="328"/>
        <v>1088226.3562857793</v>
      </c>
      <c r="U642" s="33">
        <f t="shared" si="328"/>
        <v>3445430.4000000004</v>
      </c>
      <c r="V642" s="33">
        <f t="shared" si="328"/>
        <v>295765.56</v>
      </c>
      <c r="W642" s="27">
        <f t="shared" si="324"/>
        <v>18762398.959999997</v>
      </c>
      <c r="X642" s="125" t="str">
        <f t="shared" si="320"/>
        <v>ok</v>
      </c>
    </row>
    <row r="643" spans="1:24">
      <c r="A643" s="25" t="s">
        <v>650</v>
      </c>
      <c r="C643" s="117" t="s">
        <v>160</v>
      </c>
      <c r="F643" s="33">
        <f t="shared" ref="F643:V643" si="329">F316+F351+F418+F428+F431+F434</f>
        <v>43554329.992526166</v>
      </c>
      <c r="G643" s="33">
        <f t="shared" si="329"/>
        <v>-3413.9920000004377</v>
      </c>
      <c r="H643" s="33">
        <f t="shared" si="329"/>
        <v>-25666.00800000329</v>
      </c>
      <c r="I643" s="33">
        <f t="shared" si="329"/>
        <v>3061979.9455535905</v>
      </c>
      <c r="J643" s="33">
        <f t="shared" si="329"/>
        <v>6382133.0544464104</v>
      </c>
      <c r="K643" s="33">
        <f t="shared" si="329"/>
        <v>2789293</v>
      </c>
      <c r="L643" s="33">
        <f t="shared" si="329"/>
        <v>0</v>
      </c>
      <c r="M643" s="33">
        <f t="shared" si="329"/>
        <v>47730.333104058169</v>
      </c>
      <c r="N643" s="33">
        <f t="shared" si="329"/>
        <v>2381599.6041450859</v>
      </c>
      <c r="O643" s="33">
        <f t="shared" si="329"/>
        <v>4850755.0285430038</v>
      </c>
      <c r="P643" s="33">
        <f t="shared" si="329"/>
        <v>8119790.9832809251</v>
      </c>
      <c r="Q643" s="33">
        <f t="shared" si="329"/>
        <v>705873.56151047454</v>
      </c>
      <c r="R643" s="33">
        <f t="shared" si="329"/>
        <v>508706.50410741277</v>
      </c>
      <c r="S643" s="33">
        <f t="shared" si="329"/>
        <v>3638319.0781666376</v>
      </c>
      <c r="T643" s="33">
        <f t="shared" si="329"/>
        <v>2475277.9071423975</v>
      </c>
      <c r="U643" s="33">
        <f t="shared" si="329"/>
        <v>8211370.7999999998</v>
      </c>
      <c r="V643" s="33">
        <f t="shared" si="329"/>
        <v>410580.19252618233</v>
      </c>
      <c r="W643" s="27">
        <f t="shared" si="324"/>
        <v>43554329.992526174</v>
      </c>
      <c r="X643" s="125" t="str">
        <f t="shared" si="320"/>
        <v>ok</v>
      </c>
    </row>
    <row r="644" spans="1:24">
      <c r="A644" s="25" t="s">
        <v>677</v>
      </c>
      <c r="C644" s="117" t="s">
        <v>678</v>
      </c>
      <c r="F644" s="32">
        <v>239031180.66461393</v>
      </c>
      <c r="G644" s="32">
        <v>0</v>
      </c>
      <c r="H644" s="32">
        <v>0</v>
      </c>
      <c r="I644" s="32">
        <v>0</v>
      </c>
      <c r="J644" s="32">
        <v>0</v>
      </c>
      <c r="K644" s="32">
        <v>0</v>
      </c>
      <c r="L644" s="32">
        <v>0</v>
      </c>
      <c r="M644" s="32">
        <v>0</v>
      </c>
      <c r="N644" s="32">
        <v>4247159.6492774887</v>
      </c>
      <c r="O644" s="32">
        <v>42919420.328420348</v>
      </c>
      <c r="P644" s="32">
        <v>71843809.909944624</v>
      </c>
      <c r="Q644" s="32">
        <v>6245560.5172638223</v>
      </c>
      <c r="R644" s="32">
        <v>4501028.838833224</v>
      </c>
      <c r="S644" s="32">
        <v>90460692.585438997</v>
      </c>
      <c r="T644" s="32">
        <v>18813508.835435431</v>
      </c>
      <c r="U644" s="32">
        <v>0</v>
      </c>
      <c r="V644" s="32">
        <v>0</v>
      </c>
      <c r="W644" s="27">
        <f>SUM(G644:V644)</f>
        <v>239031180.66461393</v>
      </c>
      <c r="X644" s="125" t="str">
        <f t="shared" si="320"/>
        <v>ok</v>
      </c>
    </row>
  </sheetData>
  <autoFilter ref="C1:D644"/>
  <phoneticPr fontId="0" type="noConversion"/>
  <printOptions headings="1"/>
  <pageMargins left="0.75" right="0.75" top="1.5" bottom="0.59" header="0.5" footer="0.5"/>
  <pageSetup scale="55" pageOrder="overThenDown" orientation="landscape" r:id="rId1"/>
  <headerFooter alignWithMargins="0">
    <oddHeader>&amp;C&amp;"Times New Roman,Bold"&amp;14LOUISVILLE GAS AND ELECTRIC COMPANY
Cost of Service Study
12 Months Ended June 30, 2016
Functional Assignment and Classification</oddHeader>
    <oddFooter>&amp;R&amp;"Times New Roman,Bold"&amp;12Exhibit MJB-15
Page &amp;P of &amp;N</oddFooter>
  </headerFooter>
  <rowBreaks count="14" manualBreakCount="14">
    <brk id="50" max="21" man="1"/>
    <brk id="93" max="21" man="1"/>
    <brk id="140" max="21" man="1"/>
    <brk id="183" max="21" man="1"/>
    <brk id="226" max="21" man="1"/>
    <brk id="269" max="21" man="1"/>
    <brk id="312" max="21" man="1"/>
    <brk id="355" max="21" man="1"/>
    <brk id="398" max="21" man="1"/>
    <brk id="441" max="21" man="1"/>
    <brk id="484" max="21" man="1"/>
    <brk id="533" max="21" man="1"/>
    <brk id="576" max="21" man="1"/>
    <brk id="619" max="21" man="1"/>
  </rowBreaks>
  <colBreaks count="2" manualBreakCount="2">
    <brk id="12" max="641" man="1"/>
    <brk id="18" max="64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D754"/>
  <sheetViews>
    <sheetView tabSelected="1" view="pageBreakPreview" zoomScale="70" zoomScaleSheetLayoutView="70" workbookViewId="0">
      <pane xSplit="6" ySplit="4" topLeftCell="G526" activePane="bottomRight" state="frozen"/>
      <selection pane="topRight" activeCell="G1" sqref="G1"/>
      <selection pane="bottomLeft" activeCell="A4" sqref="A4"/>
      <selection pane="bottomRight" activeCell="F476" sqref="F476"/>
    </sheetView>
  </sheetViews>
  <sheetFormatPr defaultColWidth="9.140625" defaultRowHeight="15.75"/>
  <cols>
    <col min="1" max="1" width="40.140625" style="147" customWidth="1"/>
    <col min="2" max="2" width="6" style="147" customWidth="1"/>
    <col min="3" max="3" width="9.140625" style="147"/>
    <col min="4" max="4" width="11" style="147" customWidth="1"/>
    <col min="5" max="5" width="11.7109375" style="147" customWidth="1"/>
    <col min="6" max="6" width="18.140625" style="147" customWidth="1"/>
    <col min="7" max="7" width="19" style="147" customWidth="1"/>
    <col min="8" max="8" width="17.28515625" style="147" customWidth="1"/>
    <col min="9" max="9" width="16.42578125" style="147" customWidth="1"/>
    <col min="10" max="10" width="16.5703125" style="147" customWidth="1"/>
    <col min="11" max="12" width="17.5703125" style="147" customWidth="1"/>
    <col min="13" max="13" width="16.5703125" style="147" hidden="1" customWidth="1"/>
    <col min="14" max="14" width="14.7109375" style="147" hidden="1" customWidth="1"/>
    <col min="15" max="16" width="15.5703125" style="147" hidden="1" customWidth="1"/>
    <col min="17" max="17" width="16.85546875" style="147" hidden="1" customWidth="1"/>
    <col min="18" max="18" width="15.5703125" style="147" hidden="1" customWidth="1"/>
    <col min="19" max="19" width="14.5703125" style="147" hidden="1" customWidth="1"/>
    <col min="20" max="20" width="17" style="147" hidden="1" customWidth="1"/>
    <col min="21" max="21" width="18" style="147" customWidth="1"/>
    <col min="22" max="22" width="9.140625" style="147"/>
    <col min="23" max="23" width="15.5703125" style="147" customWidth="1"/>
    <col min="24" max="16384" width="9.140625" style="147"/>
  </cols>
  <sheetData>
    <row r="2" spans="1:24" s="140" customFormat="1" ht="15.75" hidden="1" customHeight="1">
      <c r="D2" s="140">
        <v>1</v>
      </c>
      <c r="E2" s="140">
        <f>+D2+1</f>
        <v>2</v>
      </c>
      <c r="F2" s="140">
        <f t="shared" ref="F2:V2" si="0">+E2+1</f>
        <v>3</v>
      </c>
      <c r="G2" s="140">
        <f t="shared" si="0"/>
        <v>4</v>
      </c>
      <c r="H2" s="140">
        <f t="shared" si="0"/>
        <v>5</v>
      </c>
      <c r="I2" s="140">
        <f t="shared" si="0"/>
        <v>6</v>
      </c>
      <c r="J2" s="140">
        <f t="shared" si="0"/>
        <v>7</v>
      </c>
      <c r="K2" s="140">
        <f t="shared" si="0"/>
        <v>8</v>
      </c>
      <c r="L2" s="140">
        <f t="shared" si="0"/>
        <v>9</v>
      </c>
      <c r="M2" s="140">
        <f t="shared" si="0"/>
        <v>10</v>
      </c>
      <c r="N2" s="140">
        <f t="shared" si="0"/>
        <v>11</v>
      </c>
      <c r="O2" s="140">
        <f t="shared" si="0"/>
        <v>12</v>
      </c>
      <c r="P2" s="140">
        <f t="shared" si="0"/>
        <v>13</v>
      </c>
      <c r="Q2" s="140">
        <f t="shared" si="0"/>
        <v>14</v>
      </c>
      <c r="R2" s="140">
        <f t="shared" si="0"/>
        <v>15</v>
      </c>
      <c r="S2" s="140">
        <f t="shared" si="0"/>
        <v>16</v>
      </c>
      <c r="T2" s="140">
        <f t="shared" si="0"/>
        <v>17</v>
      </c>
      <c r="U2" s="140">
        <f t="shared" si="0"/>
        <v>18</v>
      </c>
      <c r="V2" s="140">
        <f t="shared" si="0"/>
        <v>19</v>
      </c>
    </row>
    <row r="3" spans="1:24" ht="55.5" customHeight="1">
      <c r="A3" s="141"/>
      <c r="B3" s="141"/>
      <c r="C3" s="141"/>
      <c r="D3" s="142"/>
      <c r="E3" s="143" t="s">
        <v>206</v>
      </c>
      <c r="F3" s="144" t="s">
        <v>14</v>
      </c>
      <c r="G3" s="145" t="s">
        <v>304</v>
      </c>
      <c r="H3" s="146" t="s">
        <v>632</v>
      </c>
      <c r="I3" s="146" t="s">
        <v>634</v>
      </c>
      <c r="J3" s="146" t="s">
        <v>726</v>
      </c>
      <c r="K3" s="146" t="s">
        <v>636</v>
      </c>
      <c r="L3" s="146" t="s">
        <v>371</v>
      </c>
      <c r="M3" s="146" t="s">
        <v>872</v>
      </c>
      <c r="N3" s="146" t="s">
        <v>872</v>
      </c>
      <c r="O3" s="146" t="s">
        <v>872</v>
      </c>
      <c r="P3" s="146" t="s">
        <v>872</v>
      </c>
      <c r="Q3" s="146" t="s">
        <v>872</v>
      </c>
      <c r="R3" s="146" t="s">
        <v>872</v>
      </c>
      <c r="S3" s="146" t="s">
        <v>872</v>
      </c>
      <c r="T3" s="146" t="s">
        <v>872</v>
      </c>
      <c r="U3" s="141"/>
      <c r="V3" s="141"/>
    </row>
    <row r="4" spans="1:24" ht="16.5" thickBot="1">
      <c r="A4" s="148" t="s">
        <v>19</v>
      </c>
      <c r="B4" s="148"/>
      <c r="C4" s="148" t="s">
        <v>233</v>
      </c>
      <c r="D4" s="149" t="s">
        <v>17</v>
      </c>
      <c r="E4" s="149" t="s">
        <v>18</v>
      </c>
      <c r="F4" s="150" t="s">
        <v>207</v>
      </c>
      <c r="G4" s="150" t="s">
        <v>635</v>
      </c>
      <c r="H4" s="150" t="s">
        <v>633</v>
      </c>
      <c r="I4" s="150" t="s">
        <v>631</v>
      </c>
      <c r="J4" s="151" t="s">
        <v>683</v>
      </c>
      <c r="K4" s="150" t="s">
        <v>637</v>
      </c>
      <c r="L4" s="150" t="s">
        <v>638</v>
      </c>
      <c r="M4" s="150"/>
      <c r="N4" s="150"/>
      <c r="O4" s="150"/>
      <c r="P4" s="150"/>
      <c r="Q4" s="150"/>
      <c r="R4" s="150"/>
      <c r="S4" s="150"/>
      <c r="T4" s="150"/>
      <c r="U4" s="150" t="s">
        <v>208</v>
      </c>
      <c r="V4" s="150" t="s">
        <v>21</v>
      </c>
      <c r="W4" s="150"/>
      <c r="X4" s="150"/>
    </row>
    <row r="6" spans="1:24">
      <c r="A6" s="152" t="s">
        <v>16</v>
      </c>
    </row>
    <row r="8" spans="1:24">
      <c r="A8" s="141" t="s">
        <v>461</v>
      </c>
    </row>
    <row r="9" spans="1:24">
      <c r="A9" s="153" t="s">
        <v>209</v>
      </c>
      <c r="C9" s="147" t="s">
        <v>64</v>
      </c>
      <c r="D9" s="147" t="s">
        <v>234</v>
      </c>
      <c r="E9" s="147" t="s">
        <v>313</v>
      </c>
      <c r="F9" s="154">
        <f>VLOOKUP(C9,'Functional Assignment'!$C$1:$AR$731,5,)</f>
        <v>0</v>
      </c>
      <c r="G9" s="154">
        <f t="shared" ref="G9:J10" si="1">(VLOOKUP($E9,$D$6:$AI$660,G$2,)/VLOOKUP($E9,$D$6:$AI$660,3,))*$F9</f>
        <v>0</v>
      </c>
      <c r="H9" s="154">
        <f t="shared" si="1"/>
        <v>0</v>
      </c>
      <c r="I9" s="154">
        <f t="shared" si="1"/>
        <v>0</v>
      </c>
      <c r="J9" s="154">
        <f t="shared" si="1"/>
        <v>0</v>
      </c>
      <c r="K9" s="154">
        <f>(VLOOKUP($E9,$D$6:$AI$660,8,)/VLOOKUP($E9,$D$6:$AI$660,3,))*$F9</f>
        <v>0</v>
      </c>
      <c r="L9" s="154">
        <f>(VLOOKUP($E9,$D$6:$AI$660,L$2,)/VLOOKUP($E9,$D$6:$AI$660,3,))*$F9</f>
        <v>0</v>
      </c>
      <c r="M9" s="154">
        <f>(VLOOKUP($E9,$D$6:$AI$660,M$2,)/VLOOKUP($E9,$D$6:$AI$660,3,))*$F9</f>
        <v>0</v>
      </c>
      <c r="N9" s="154">
        <f>(VLOOKUP($E9,$D$6:$AI$660,11,)/VLOOKUP($E9,$D$6:$AI$660,3,))*$F9</f>
        <v>0</v>
      </c>
      <c r="O9" s="154">
        <f t="shared" ref="O9:Q10" si="2">(VLOOKUP($E9,$D$6:$AI$660,O$2,)/VLOOKUP($E9,$D$6:$AI$660,3,))*$F9</f>
        <v>0</v>
      </c>
      <c r="P9" s="154">
        <f t="shared" si="2"/>
        <v>0</v>
      </c>
      <c r="Q9" s="154">
        <f t="shared" si="2"/>
        <v>0</v>
      </c>
      <c r="R9" s="154">
        <f>(VLOOKUP($E9,$D$6:$AI$660,15,)/VLOOKUP($E9,$D$6:$AI$660,3,))*$F9</f>
        <v>0</v>
      </c>
      <c r="S9" s="154">
        <f>(VLOOKUP($E9,$D$6:$AI$660,16,)/VLOOKUP($E9,$D$6:$AI$660,3,))*$F9</f>
        <v>0</v>
      </c>
      <c r="T9" s="154">
        <f>(VLOOKUP($E9,$D$6:$AI$660,17,)/VLOOKUP($E9,$D$6:$AI$660,3,))*$F9</f>
        <v>0</v>
      </c>
      <c r="U9" s="155">
        <f>SUM(G9:M9)</f>
        <v>0</v>
      </c>
      <c r="V9" s="140" t="str">
        <f>IF(ABS(F9-U9)&lt;0.01,"ok","err")</f>
        <v>ok</v>
      </c>
    </row>
    <row r="10" spans="1:24">
      <c r="A10" s="153" t="s">
        <v>229</v>
      </c>
      <c r="C10" s="147" t="s">
        <v>64</v>
      </c>
      <c r="D10" s="147" t="s">
        <v>235</v>
      </c>
      <c r="E10" s="147" t="s">
        <v>314</v>
      </c>
      <c r="F10" s="16">
        <f>VLOOKUP(C10,'Functional Assignment'!$C$1:$AR$731,6,)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>(VLOOKUP($E10,$D$6:$AI$660,8,)/VLOOKUP($E10,$D$6:$AI$660,3,))*$F10</f>
        <v>0</v>
      </c>
      <c r="L10" s="16">
        <f>(VLOOKUP($E10,$D$6:$AI$660,L$2,)/VLOOKUP($E10,$D$6:$AI$660,3,))*$F10</f>
        <v>0</v>
      </c>
      <c r="M10" s="16">
        <f>(VLOOKUP($E10,$D$6:$AI$660,M$2,)/VLOOKUP($E10,$D$6:$AI$660,3,))*$F10</f>
        <v>0</v>
      </c>
      <c r="N10" s="16">
        <f>(VLOOKUP($E10,$D$6:$AI$660,11,)/VLOOKUP($E10,$D$6:$AI$660,3,))*$F10</f>
        <v>0</v>
      </c>
      <c r="O10" s="16">
        <f t="shared" si="2"/>
        <v>0</v>
      </c>
      <c r="P10" s="16">
        <f t="shared" si="2"/>
        <v>0</v>
      </c>
      <c r="Q10" s="16">
        <f t="shared" si="2"/>
        <v>0</v>
      </c>
      <c r="R10" s="16">
        <f>(VLOOKUP($E10,$D$6:$AI$660,15,)/VLOOKUP($E10,$D$6:$AI$660,3,))*$F10</f>
        <v>0</v>
      </c>
      <c r="S10" s="16">
        <f>(VLOOKUP($E10,$D$6:$AI$660,16,)/VLOOKUP($E10,$D$6:$AI$660,3,))*$F10</f>
        <v>0</v>
      </c>
      <c r="T10" s="16">
        <f>(VLOOKUP($E10,$D$6:$AI$660,17,)/VLOOKUP($E10,$D$6:$AI$660,3,))*$F10</f>
        <v>0</v>
      </c>
      <c r="U10" s="155">
        <f>SUM(G10:M10)</f>
        <v>0</v>
      </c>
      <c r="V10" s="140" t="str">
        <f>IF(ABS(F10-U10)&lt;0.01,"ok","err")</f>
        <v>ok</v>
      </c>
    </row>
    <row r="11" spans="1:24">
      <c r="A11" s="147" t="s">
        <v>667</v>
      </c>
      <c r="F11" s="154">
        <f t="shared" ref="F11:T11" si="3">F9+F10</f>
        <v>0</v>
      </c>
      <c r="G11" s="154">
        <f t="shared" si="3"/>
        <v>0</v>
      </c>
      <c r="H11" s="154">
        <f t="shared" si="3"/>
        <v>0</v>
      </c>
      <c r="I11" s="154">
        <f t="shared" si="3"/>
        <v>0</v>
      </c>
      <c r="J11" s="154">
        <f t="shared" si="3"/>
        <v>0</v>
      </c>
      <c r="K11" s="154">
        <f t="shared" si="3"/>
        <v>0</v>
      </c>
      <c r="L11" s="154">
        <f t="shared" si="3"/>
        <v>0</v>
      </c>
      <c r="M11" s="154">
        <f t="shared" si="3"/>
        <v>0</v>
      </c>
      <c r="N11" s="154">
        <f t="shared" si="3"/>
        <v>0</v>
      </c>
      <c r="O11" s="154">
        <f t="shared" si="3"/>
        <v>0</v>
      </c>
      <c r="P11" s="154">
        <f t="shared" si="3"/>
        <v>0</v>
      </c>
      <c r="Q11" s="154">
        <f t="shared" si="3"/>
        <v>0</v>
      </c>
      <c r="R11" s="154">
        <f t="shared" si="3"/>
        <v>0</v>
      </c>
      <c r="S11" s="154">
        <f t="shared" si="3"/>
        <v>0</v>
      </c>
      <c r="T11" s="154">
        <f t="shared" si="3"/>
        <v>0</v>
      </c>
      <c r="U11" s="155">
        <f>SUM(G11:M11)</f>
        <v>0</v>
      </c>
      <c r="V11" s="140" t="str">
        <f>IF(ABS(F11-U11)&lt;0.01,"ok","err")</f>
        <v>ok</v>
      </c>
    </row>
    <row r="12" spans="1:24">
      <c r="F12" s="16"/>
      <c r="G12" s="16"/>
    </row>
    <row r="13" spans="1:24">
      <c r="A13" s="141" t="s">
        <v>3</v>
      </c>
      <c r="F13" s="16"/>
      <c r="G13" s="16"/>
    </row>
    <row r="14" spans="1:24">
      <c r="A14" s="153" t="s">
        <v>209</v>
      </c>
      <c r="C14" s="147" t="s">
        <v>64</v>
      </c>
      <c r="D14" s="147" t="s">
        <v>236</v>
      </c>
      <c r="E14" s="147" t="s">
        <v>315</v>
      </c>
      <c r="F14" s="154">
        <f>VLOOKUP(C14,'Functional Assignment'!$C$1:$AR$731,7,)</f>
        <v>159469134.65854159</v>
      </c>
      <c r="G14" s="154">
        <f t="shared" ref="G14:J15" si="4">(VLOOKUP($E14,$D$6:$AI$660,G$2,)/VLOOKUP($E14,$D$6:$AI$660,3,))*$F14</f>
        <v>105067099.82194395</v>
      </c>
      <c r="H14" s="154">
        <f t="shared" si="4"/>
        <v>50267674.99230893</v>
      </c>
      <c r="I14" s="154">
        <f t="shared" si="4"/>
        <v>4134359.8442887166</v>
      </c>
      <c r="J14" s="154">
        <f t="shared" si="4"/>
        <v>0</v>
      </c>
      <c r="K14" s="154">
        <f>(VLOOKUP($E14,$D$6:$AI$660,8,)/VLOOKUP($E14,$D$6:$AI$660,3,))*$F14</f>
        <v>0</v>
      </c>
      <c r="L14" s="154">
        <f>(VLOOKUP($E14,$D$6:$AI$660,L$2,)/VLOOKUP($E14,$D$6:$AI$660,3,))*$F14</f>
        <v>0</v>
      </c>
      <c r="M14" s="154">
        <f>(VLOOKUP($E14,$D$6:$AI$660,M$2,)/VLOOKUP($E14,$D$6:$AI$660,3,))*$F14</f>
        <v>0</v>
      </c>
      <c r="N14" s="154">
        <f>(VLOOKUP($E14,$D$6:$AI$660,11,)/VLOOKUP($E14,$D$6:$AI$660,3,))*$F14</f>
        <v>0</v>
      </c>
      <c r="O14" s="154">
        <f t="shared" ref="O14:Q15" si="5">(VLOOKUP($E14,$D$6:$AI$660,O$2,)/VLOOKUP($E14,$D$6:$AI$660,3,))*$F14</f>
        <v>0</v>
      </c>
      <c r="P14" s="154">
        <f t="shared" si="5"/>
        <v>0</v>
      </c>
      <c r="Q14" s="154">
        <f t="shared" si="5"/>
        <v>0</v>
      </c>
      <c r="R14" s="154">
        <f>(VLOOKUP($E14,$D$6:$AI$660,15,)/VLOOKUP($E14,$D$6:$AI$660,3,))*$F14</f>
        <v>0</v>
      </c>
      <c r="S14" s="154">
        <f>(VLOOKUP($E14,$D$6:$AI$660,16,)/VLOOKUP($E14,$D$6:$AI$660,3,))*$F14</f>
        <v>0</v>
      </c>
      <c r="T14" s="154">
        <f>(VLOOKUP($E14,$D$6:$AI$660,17,)/VLOOKUP($E14,$D$6:$AI$660,3,))*$F14</f>
        <v>0</v>
      </c>
      <c r="U14" s="155">
        <f>SUM(G14:M14)</f>
        <v>159469134.65854159</v>
      </c>
      <c r="V14" s="140" t="str">
        <f>IF(ABS(F14-U14)&lt;0.01,"ok","err")</f>
        <v>ok</v>
      </c>
    </row>
    <row r="15" spans="1:24">
      <c r="A15" s="147" t="s">
        <v>229</v>
      </c>
      <c r="C15" s="147" t="s">
        <v>64</v>
      </c>
      <c r="D15" s="147" t="s">
        <v>237</v>
      </c>
      <c r="E15" s="147" t="s">
        <v>316</v>
      </c>
      <c r="F15" s="16">
        <f>VLOOKUP(C15,'Functional Assignment'!$C$1:$AR$731,8,)</f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>(VLOOKUP($E15,$D$6:$AI$660,8,)/VLOOKUP($E15,$D$6:$AI$660,3,))*$F15</f>
        <v>0</v>
      </c>
      <c r="L15" s="16">
        <f>(VLOOKUP($E15,$D$6:$AI$660,L$2,)/VLOOKUP($E15,$D$6:$AI$660,3,))*$F15</f>
        <v>0</v>
      </c>
      <c r="M15" s="16">
        <f>(VLOOKUP($E15,$D$6:$AI$660,M$2,)/VLOOKUP($E15,$D$6:$AI$660,3,))*$F15</f>
        <v>0</v>
      </c>
      <c r="N15" s="16">
        <f>(VLOOKUP($E15,$D$6:$AI$660,11,)/VLOOKUP($E15,$D$6:$AI$660,3,))*$F15</f>
        <v>0</v>
      </c>
      <c r="O15" s="16">
        <f t="shared" si="5"/>
        <v>0</v>
      </c>
      <c r="P15" s="16">
        <f t="shared" si="5"/>
        <v>0</v>
      </c>
      <c r="Q15" s="16">
        <f t="shared" si="5"/>
        <v>0</v>
      </c>
      <c r="R15" s="16">
        <f>(VLOOKUP($E15,$D$6:$AI$660,15,)/VLOOKUP($E15,$D$6:$AI$660,3,))*$F15</f>
        <v>0</v>
      </c>
      <c r="S15" s="16">
        <f>(VLOOKUP($E15,$D$6:$AI$660,16,)/VLOOKUP($E15,$D$6:$AI$660,3,))*$F15</f>
        <v>0</v>
      </c>
      <c r="T15" s="16">
        <f>(VLOOKUP($E15,$D$6:$AI$660,17,)/VLOOKUP($E15,$D$6:$AI$660,3,))*$F15</f>
        <v>0</v>
      </c>
      <c r="U15" s="155">
        <f>SUM(G15:M15)</f>
        <v>0</v>
      </c>
      <c r="V15" s="140" t="str">
        <f>IF(ABS(F15-U15)&lt;0.01,"ok","err")</f>
        <v>ok</v>
      </c>
    </row>
    <row r="16" spans="1:24">
      <c r="A16" s="147" t="s">
        <v>230</v>
      </c>
      <c r="F16" s="154">
        <f>SUM(F14:F15)</f>
        <v>159469134.65854159</v>
      </c>
      <c r="G16" s="154">
        <f t="shared" ref="G16:T16" si="6">G14+G15</f>
        <v>105067099.82194395</v>
      </c>
      <c r="H16" s="154">
        <f t="shared" si="6"/>
        <v>50267674.99230893</v>
      </c>
      <c r="I16" s="154">
        <f t="shared" si="6"/>
        <v>4134359.8442887166</v>
      </c>
      <c r="J16" s="154">
        <f t="shared" si="6"/>
        <v>0</v>
      </c>
      <c r="K16" s="154">
        <f t="shared" si="6"/>
        <v>0</v>
      </c>
      <c r="L16" s="154">
        <f t="shared" si="6"/>
        <v>0</v>
      </c>
      <c r="M16" s="154">
        <f t="shared" si="6"/>
        <v>0</v>
      </c>
      <c r="N16" s="154">
        <f t="shared" si="6"/>
        <v>0</v>
      </c>
      <c r="O16" s="154">
        <f t="shared" si="6"/>
        <v>0</v>
      </c>
      <c r="P16" s="154">
        <f t="shared" si="6"/>
        <v>0</v>
      </c>
      <c r="Q16" s="154">
        <f t="shared" si="6"/>
        <v>0</v>
      </c>
      <c r="R16" s="154">
        <f t="shared" si="6"/>
        <v>0</v>
      </c>
      <c r="S16" s="154">
        <f t="shared" si="6"/>
        <v>0</v>
      </c>
      <c r="T16" s="154">
        <f t="shared" si="6"/>
        <v>0</v>
      </c>
      <c r="U16" s="155">
        <f>SUM(G16:M16)</f>
        <v>159469134.65854159</v>
      </c>
      <c r="V16" s="140" t="str">
        <f>IF(ABS(F16-U16)&lt;0.01,"ok","err")</f>
        <v>ok</v>
      </c>
    </row>
    <row r="17" spans="1:23">
      <c r="F17" s="16"/>
      <c r="G17" s="16"/>
    </row>
    <row r="18" spans="1:23">
      <c r="A18" s="141" t="s">
        <v>4</v>
      </c>
      <c r="F18" s="16"/>
      <c r="G18" s="16"/>
    </row>
    <row r="19" spans="1:23">
      <c r="A19" s="153" t="s">
        <v>209</v>
      </c>
      <c r="C19" s="147" t="s">
        <v>64</v>
      </c>
      <c r="D19" s="147" t="s">
        <v>238</v>
      </c>
      <c r="E19" s="147" t="s">
        <v>317</v>
      </c>
      <c r="F19" s="154">
        <f>VLOOKUP(C19,'Functional Assignment'!$C$1:$AR$731,9,)</f>
        <v>55502138.460554376</v>
      </c>
      <c r="G19" s="154">
        <f t="shared" ref="G19:J20" si="7">(VLOOKUP($E19,$D$6:$AI$660,G$2,)/VLOOKUP($E19,$D$6:$AI$660,3,))*$F19</f>
        <v>36567883.399209708</v>
      </c>
      <c r="H19" s="154">
        <f t="shared" si="7"/>
        <v>17495319.476632271</v>
      </c>
      <c r="I19" s="154">
        <f t="shared" si="7"/>
        <v>1438935.5847123961</v>
      </c>
      <c r="J19" s="154">
        <f t="shared" si="7"/>
        <v>0</v>
      </c>
      <c r="K19" s="154">
        <f>(VLOOKUP($E19,$D$6:$AI$660,8,)/VLOOKUP($E19,$D$6:$AI$660,3,))*$F19</f>
        <v>0</v>
      </c>
      <c r="L19" s="154">
        <f>(VLOOKUP($E19,$D$6:$AI$660,L$2,)/VLOOKUP($E19,$D$6:$AI$660,3,))*$F19</f>
        <v>0</v>
      </c>
      <c r="M19" s="154">
        <f>(VLOOKUP($E19,$D$6:$AI$660,M$2,)/VLOOKUP($E19,$D$6:$AI$660,3,))*$F19</f>
        <v>0</v>
      </c>
      <c r="N19" s="154">
        <f>(VLOOKUP($E19,$D$6:$AI$660,11,)/VLOOKUP($E19,$D$6:$AI$660,3,))*$F19</f>
        <v>0</v>
      </c>
      <c r="O19" s="154">
        <f t="shared" ref="O19:Q20" si="8">(VLOOKUP($E19,$D$6:$AI$660,O$2,)/VLOOKUP($E19,$D$6:$AI$660,3,))*$F19</f>
        <v>0</v>
      </c>
      <c r="P19" s="154">
        <f t="shared" si="8"/>
        <v>0</v>
      </c>
      <c r="Q19" s="154">
        <f t="shared" si="8"/>
        <v>0</v>
      </c>
      <c r="R19" s="154">
        <f>(VLOOKUP($E19,$D$6:$AI$660,15,)/VLOOKUP($E19,$D$6:$AI$660,3,))*$F19</f>
        <v>0</v>
      </c>
      <c r="S19" s="154">
        <f>(VLOOKUP($E19,$D$6:$AI$660,16,)/VLOOKUP($E19,$D$6:$AI$660,3,))*$F19</f>
        <v>0</v>
      </c>
      <c r="T19" s="154">
        <f>(VLOOKUP($E19,$D$6:$AI$660,17,)/VLOOKUP($E19,$D$6:$AI$660,3,))*$F19</f>
        <v>0</v>
      </c>
      <c r="U19" s="155">
        <f>SUM(G19:M19)</f>
        <v>55502138.460554369</v>
      </c>
      <c r="V19" s="140" t="str">
        <f>IF(ABS(F19-U19)&lt;0.01,"ok","err")</f>
        <v>ok</v>
      </c>
    </row>
    <row r="20" spans="1:23">
      <c r="A20" s="147" t="s">
        <v>229</v>
      </c>
      <c r="C20" s="147" t="s">
        <v>64</v>
      </c>
      <c r="D20" s="147" t="s">
        <v>239</v>
      </c>
      <c r="E20" s="147" t="s">
        <v>318</v>
      </c>
      <c r="F20" s="16">
        <f>VLOOKUP(C20,'Functional Assignment'!$C$1:$AR$731,10,)</f>
        <v>0</v>
      </c>
      <c r="G20" s="16">
        <f t="shared" si="7"/>
        <v>0</v>
      </c>
      <c r="H20" s="16">
        <f t="shared" si="7"/>
        <v>0</v>
      </c>
      <c r="I20" s="16">
        <f t="shared" si="7"/>
        <v>0</v>
      </c>
      <c r="J20" s="16">
        <f t="shared" si="7"/>
        <v>0</v>
      </c>
      <c r="K20" s="16">
        <f>(VLOOKUP($E20,$D$6:$AI$660,8,)/VLOOKUP($E20,$D$6:$AI$660,3,))*$F20</f>
        <v>0</v>
      </c>
      <c r="L20" s="16">
        <f>(VLOOKUP($E20,$D$6:$AI$660,L$2,)/VLOOKUP($E20,$D$6:$AI$660,3,))*$F20</f>
        <v>0</v>
      </c>
      <c r="M20" s="16">
        <f>(VLOOKUP($E20,$D$6:$AI$660,M$2,)/VLOOKUP($E20,$D$6:$AI$660,3,))*$F20</f>
        <v>0</v>
      </c>
      <c r="N20" s="16">
        <f>(VLOOKUP($E20,$D$6:$AI$660,11,)/VLOOKUP($E20,$D$6:$AI$660,3,))*$F20</f>
        <v>0</v>
      </c>
      <c r="O20" s="16">
        <f t="shared" si="8"/>
        <v>0</v>
      </c>
      <c r="P20" s="16">
        <f t="shared" si="8"/>
        <v>0</v>
      </c>
      <c r="Q20" s="16">
        <f t="shared" si="8"/>
        <v>0</v>
      </c>
      <c r="R20" s="16">
        <f>(VLOOKUP($E20,$D$6:$AI$660,15,)/VLOOKUP($E20,$D$6:$AI$660,3,))*$F20</f>
        <v>0</v>
      </c>
      <c r="S20" s="16">
        <f>(VLOOKUP($E20,$D$6:$AI$660,16,)/VLOOKUP($E20,$D$6:$AI$660,3,))*$F20</f>
        <v>0</v>
      </c>
      <c r="T20" s="16">
        <f>(VLOOKUP($E20,$D$6:$AI$660,17,)/VLOOKUP($E20,$D$6:$AI$660,3,))*$F20</f>
        <v>0</v>
      </c>
      <c r="U20" s="155">
        <f>SUM(G20:M20)</f>
        <v>0</v>
      </c>
      <c r="V20" s="140" t="str">
        <f>IF(ABS(F20-U20)&lt;0.01,"ok","err")</f>
        <v>ok</v>
      </c>
    </row>
    <row r="21" spans="1:23">
      <c r="A21" s="147" t="s">
        <v>231</v>
      </c>
      <c r="F21" s="154">
        <f>SUM(F19:F20)</f>
        <v>55502138.460554376</v>
      </c>
      <c r="G21" s="154">
        <f t="shared" ref="G21:T21" si="9">G19+G20</f>
        <v>36567883.399209708</v>
      </c>
      <c r="H21" s="154">
        <f t="shared" si="9"/>
        <v>17495319.476632271</v>
      </c>
      <c r="I21" s="154">
        <f t="shared" si="9"/>
        <v>1438935.5847123961</v>
      </c>
      <c r="J21" s="154">
        <f t="shared" si="9"/>
        <v>0</v>
      </c>
      <c r="K21" s="154">
        <f t="shared" si="9"/>
        <v>0</v>
      </c>
      <c r="L21" s="154">
        <f t="shared" si="9"/>
        <v>0</v>
      </c>
      <c r="M21" s="154">
        <f t="shared" si="9"/>
        <v>0</v>
      </c>
      <c r="N21" s="154">
        <f t="shared" si="9"/>
        <v>0</v>
      </c>
      <c r="O21" s="154">
        <f t="shared" si="9"/>
        <v>0</v>
      </c>
      <c r="P21" s="154">
        <f t="shared" si="9"/>
        <v>0</v>
      </c>
      <c r="Q21" s="154">
        <f t="shared" si="9"/>
        <v>0</v>
      </c>
      <c r="R21" s="154">
        <f t="shared" si="9"/>
        <v>0</v>
      </c>
      <c r="S21" s="154">
        <f t="shared" si="9"/>
        <v>0</v>
      </c>
      <c r="T21" s="154">
        <f t="shared" si="9"/>
        <v>0</v>
      </c>
      <c r="U21" s="155">
        <f>SUM(G21:M21)</f>
        <v>55502138.460554369</v>
      </c>
      <c r="V21" s="140" t="str">
        <f>IF(ABS(F21-U21)&lt;0.01,"ok","err")</f>
        <v>ok</v>
      </c>
    </row>
    <row r="22" spans="1:23">
      <c r="F22" s="16"/>
    </row>
    <row r="23" spans="1:23">
      <c r="A23" s="141" t="s">
        <v>6</v>
      </c>
      <c r="F23" s="16"/>
    </row>
    <row r="24" spans="1:23">
      <c r="A24" s="147" t="s">
        <v>229</v>
      </c>
      <c r="C24" s="147" t="s">
        <v>64</v>
      </c>
      <c r="D24" s="147" t="s">
        <v>240</v>
      </c>
      <c r="E24" s="147" t="s">
        <v>319</v>
      </c>
      <c r="F24" s="154">
        <f>VLOOKUP(C24,'Functional Assignment'!$C$1:$AR$731,11,)</f>
        <v>0</v>
      </c>
      <c r="G24" s="154">
        <f>(VLOOKUP($E24,$D$6:$AI$660,G$2,)/VLOOKUP($E24,$D$6:$AI$660,3,))*$F24</f>
        <v>0</v>
      </c>
      <c r="H24" s="154">
        <f>(VLOOKUP($E24,$D$6:$AI$660,H$2,)/VLOOKUP($E24,$D$6:$AI$660,3,))*$F24</f>
        <v>0</v>
      </c>
      <c r="I24" s="154">
        <f>(VLOOKUP($E24,$D$6:$AI$660,I$2,)/VLOOKUP($E24,$D$6:$AI$660,3,))*$F24</f>
        <v>0</v>
      </c>
      <c r="J24" s="154">
        <f>(VLOOKUP($E24,$D$6:$AI$660,J$2,)/VLOOKUP($E24,$D$6:$AI$660,3,))*$F24</f>
        <v>0</v>
      </c>
      <c r="K24" s="154">
        <f>(VLOOKUP($E24,$D$6:$AI$660,8,)/VLOOKUP($E24,$D$6:$AI$660,3,))*$F24</f>
        <v>0</v>
      </c>
      <c r="L24" s="154">
        <f>(VLOOKUP($E24,$D$6:$AI$660,L$2,)/VLOOKUP($E24,$D$6:$AI$660,3,))*$F24</f>
        <v>0</v>
      </c>
      <c r="M24" s="154">
        <f>(VLOOKUP($E24,$D$6:$AI$660,M$2,)/VLOOKUP($E24,$D$6:$AI$660,3,))*$F24</f>
        <v>0</v>
      </c>
      <c r="N24" s="154">
        <f>(VLOOKUP($E24,$D$6:$AI$660,11,)/VLOOKUP($E24,$D$6:$AI$660,3,))*$F24</f>
        <v>0</v>
      </c>
      <c r="O24" s="154">
        <f>(VLOOKUP($E24,$D$6:$AI$660,O$2,)/VLOOKUP($E24,$D$6:$AI$660,3,))*$F24</f>
        <v>0</v>
      </c>
      <c r="P24" s="154">
        <f>(VLOOKUP($E24,$D$6:$AI$660,P$2,)/VLOOKUP($E24,$D$6:$AI$660,3,))*$F24</f>
        <v>0</v>
      </c>
      <c r="Q24" s="154">
        <f>(VLOOKUP($E24,$D$6:$AI$660,Q$2,)/VLOOKUP($E24,$D$6:$AI$660,3,))*$F24</f>
        <v>0</v>
      </c>
      <c r="R24" s="154">
        <f>(VLOOKUP($E24,$D$6:$AI$660,15,)/VLOOKUP($E24,$D$6:$AI$660,3,))*$F24</f>
        <v>0</v>
      </c>
      <c r="S24" s="154">
        <f>(VLOOKUP($E24,$D$6:$AI$660,16,)/VLOOKUP($E24,$D$6:$AI$660,3,))*$F24</f>
        <v>0</v>
      </c>
      <c r="T24" s="154">
        <f>(VLOOKUP($E24,$D$6:$AI$660,17,)/VLOOKUP($E24,$D$6:$AI$660,3,))*$F24</f>
        <v>0</v>
      </c>
      <c r="U24" s="155">
        <f>SUM(G24:M24)</f>
        <v>0</v>
      </c>
      <c r="V24" s="140" t="str">
        <f>IF(ABS(F24-U24)&lt;0.01,"ok","err")</f>
        <v>ok</v>
      </c>
    </row>
    <row r="25" spans="1:23">
      <c r="A25" s="153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55">
        <f>SUM(G25:M25)</f>
        <v>0</v>
      </c>
      <c r="V25" s="140"/>
    </row>
    <row r="26" spans="1:23">
      <c r="A26" s="141" t="s">
        <v>7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55">
        <f>SUM(G26:M26)</f>
        <v>0</v>
      </c>
      <c r="V26" s="140"/>
    </row>
    <row r="27" spans="1:23">
      <c r="A27" s="153" t="s">
        <v>209</v>
      </c>
      <c r="C27" s="147" t="s">
        <v>64</v>
      </c>
      <c r="D27" s="147" t="s">
        <v>241</v>
      </c>
      <c r="E27" s="147" t="s">
        <v>320</v>
      </c>
      <c r="F27" s="154">
        <f>VLOOKUP(C27,'Functional Assignment'!$C$1:$AR$731,12,)</f>
        <v>28793168.444314044</v>
      </c>
      <c r="G27" s="154">
        <f>(VLOOKUP($E27,$D$6:$AI$660,G$2,)/VLOOKUP($E27,$D$6:$AI$660,3,))*$F27</f>
        <v>16097466.677658668</v>
      </c>
      <c r="H27" s="154">
        <f>(VLOOKUP($E27,$D$6:$AI$660,H$2,)/VLOOKUP($E27,$D$6:$AI$660,3,))*$F27</f>
        <v>7589664.552516724</v>
      </c>
      <c r="I27" s="154">
        <f>(VLOOKUP($E27,$D$6:$AI$660,I$2,)/VLOOKUP($E27,$D$6:$AI$660,3,))*$F27</f>
        <v>552660.16929062968</v>
      </c>
      <c r="J27" s="154">
        <f>(VLOOKUP($E27,$D$6:$AI$660,J$2,)/VLOOKUP($E27,$D$6:$AI$660,3,))*$F27</f>
        <v>149851.41367490878</v>
      </c>
      <c r="K27" s="154">
        <f>(VLOOKUP($E27,$D$6:$AI$660,8,)/VLOOKUP($E27,$D$6:$AI$660,3,))*$F27</f>
        <v>4296597.5185251944</v>
      </c>
      <c r="L27" s="154">
        <f>(VLOOKUP($E27,$D$6:$AI$660,L$2,)/VLOOKUP($E27,$D$6:$AI$660,3,))*$F27</f>
        <v>106928.11264792367</v>
      </c>
      <c r="M27" s="154">
        <f>(VLOOKUP($E27,$D$6:$AI$660,M$2,)/VLOOKUP($E27,$D$6:$AI$660,3,))*$F27</f>
        <v>0</v>
      </c>
      <c r="N27" s="154">
        <f>(VLOOKUP($E27,$D$6:$AI$660,11,)/VLOOKUP($E27,$D$6:$AI$660,3,))*$F27</f>
        <v>0</v>
      </c>
      <c r="O27" s="154">
        <f>(VLOOKUP($E27,$D$6:$AI$660,O$2,)/VLOOKUP($E27,$D$6:$AI$660,3,))*$F27</f>
        <v>0</v>
      </c>
      <c r="P27" s="154">
        <f>(VLOOKUP($E27,$D$6:$AI$660,P$2,)/VLOOKUP($E27,$D$6:$AI$660,3,))*$F27</f>
        <v>0</v>
      </c>
      <c r="Q27" s="154">
        <f>(VLOOKUP($E27,$D$6:$AI$660,Q$2,)/VLOOKUP($E27,$D$6:$AI$660,3,))*$F27</f>
        <v>0</v>
      </c>
      <c r="R27" s="154">
        <f>(VLOOKUP($E27,$D$6:$AI$660,15,)/VLOOKUP($E27,$D$6:$AI$660,3,))*$F27</f>
        <v>0</v>
      </c>
      <c r="S27" s="154">
        <f>(VLOOKUP($E27,$D$6:$AI$660,16,)/VLOOKUP($E27,$D$6:$AI$660,3,))*$F27</f>
        <v>0</v>
      </c>
      <c r="T27" s="154">
        <f>(VLOOKUP($E27,$D$6:$AI$660,17,)/VLOOKUP($E27,$D$6:$AI$660,3,))*$F27</f>
        <v>0</v>
      </c>
      <c r="U27" s="155">
        <f>SUM(G27:M27)</f>
        <v>28793168.444314048</v>
      </c>
      <c r="V27" s="140" t="str">
        <f>IF(ABS(F27-U27)&lt;0.01,"ok","err")</f>
        <v>ok</v>
      </c>
      <c r="W27" s="155"/>
    </row>
    <row r="28" spans="1:23">
      <c r="F28" s="16"/>
      <c r="U28" s="155"/>
      <c r="W28" s="155"/>
    </row>
    <row r="29" spans="1:23">
      <c r="F29" s="16"/>
      <c r="U29" s="155"/>
      <c r="W29" s="155"/>
    </row>
    <row r="30" spans="1:23">
      <c r="A30" s="141" t="s">
        <v>8</v>
      </c>
      <c r="F30" s="16"/>
      <c r="U30" s="155"/>
      <c r="W30" s="155"/>
    </row>
    <row r="31" spans="1:23">
      <c r="A31" s="153" t="s">
        <v>690</v>
      </c>
      <c r="C31" s="147" t="s">
        <v>64</v>
      </c>
      <c r="D31" s="147" t="s">
        <v>242</v>
      </c>
      <c r="E31" s="147" t="s">
        <v>695</v>
      </c>
      <c r="F31" s="154">
        <f>VLOOKUP(C31,'Functional Assignment'!$C$1:$AR$731,13,)</f>
        <v>130788150.83373794</v>
      </c>
      <c r="G31" s="154">
        <f t="shared" ref="G31:J34" si="10">(VLOOKUP($E31,$D$6:$AI$660,G$2,)/VLOOKUP($E31,$D$6:$AI$660,3,))*$F31</f>
        <v>83045342.526046053</v>
      </c>
      <c r="H31" s="154">
        <f t="shared" si="10"/>
        <v>38325808.024941653</v>
      </c>
      <c r="I31" s="154">
        <f t="shared" si="10"/>
        <v>2735042.0141396713</v>
      </c>
      <c r="J31" s="154">
        <f t="shared" si="10"/>
        <v>7.5648409668368384</v>
      </c>
      <c r="K31" s="154">
        <f>(VLOOKUP($E31,$D$6:$AI$660,8,)/VLOOKUP($E31,$D$6:$AI$660,3,))*$F31</f>
        <v>6681950.7037696075</v>
      </c>
      <c r="L31" s="154">
        <f t="shared" ref="L31:M34" si="11">(VLOOKUP($E31,$D$6:$AI$660,L$2,)/VLOOKUP($E31,$D$6:$AI$660,3,))*$F31</f>
        <v>0</v>
      </c>
      <c r="M31" s="154">
        <f t="shared" si="11"/>
        <v>0</v>
      </c>
      <c r="N31" s="154">
        <f>(VLOOKUP($E31,$D$6:$AI$660,11,)/VLOOKUP($E31,$D$6:$AI$660,3,))*$F31</f>
        <v>0</v>
      </c>
      <c r="O31" s="154">
        <f t="shared" ref="O31:Q34" si="12">(VLOOKUP($E31,$D$6:$AI$660,O$2,)/VLOOKUP($E31,$D$6:$AI$660,3,))*$F31</f>
        <v>0</v>
      </c>
      <c r="P31" s="154">
        <f t="shared" si="12"/>
        <v>0</v>
      </c>
      <c r="Q31" s="154">
        <f t="shared" si="12"/>
        <v>0</v>
      </c>
      <c r="R31" s="154">
        <f>(VLOOKUP($E31,$D$6:$AI$660,15,)/VLOOKUP($E31,$D$6:$AI$660,3,))*$F31</f>
        <v>0</v>
      </c>
      <c r="S31" s="154">
        <f>(VLOOKUP($E31,$D$6:$AI$660,16,)/VLOOKUP($E31,$D$6:$AI$660,3,))*$F31</f>
        <v>0</v>
      </c>
      <c r="T31" s="154">
        <f>(VLOOKUP($E31,$D$6:$AI$660,17,)/VLOOKUP($E31,$D$6:$AI$660,3,))*$F31</f>
        <v>0</v>
      </c>
      <c r="U31" s="155">
        <f>SUM(G31:M31)</f>
        <v>130788150.83373795</v>
      </c>
      <c r="V31" s="140" t="str">
        <f>IF(ABS(F31-U31)&lt;0.01,"ok","err")</f>
        <v>ok</v>
      </c>
      <c r="W31" s="155"/>
    </row>
    <row r="32" spans="1:23">
      <c r="A32" s="153" t="s">
        <v>689</v>
      </c>
      <c r="C32" s="147" t="s">
        <v>64</v>
      </c>
      <c r="D32" s="147" t="s">
        <v>243</v>
      </c>
      <c r="E32" s="147" t="s">
        <v>694</v>
      </c>
      <c r="F32" s="16">
        <f>VLOOKUP(C32,'Functional Assignment'!$C$1:$AR$731,14,)</f>
        <v>218929309.27471513</v>
      </c>
      <c r="G32" s="16">
        <f t="shared" si="10"/>
        <v>202441513.12420464</v>
      </c>
      <c r="H32" s="16">
        <f t="shared" si="10"/>
        <v>16283148.642600801</v>
      </c>
      <c r="I32" s="16">
        <f t="shared" si="10"/>
        <v>172180.27291118985</v>
      </c>
      <c r="J32" s="16">
        <f t="shared" si="10"/>
        <v>858.92156080745542</v>
      </c>
      <c r="K32" s="16">
        <f>(VLOOKUP($E32,$D$6:$AI$660,8,)/VLOOKUP($E32,$D$6:$AI$660,3,))*$F32</f>
        <v>31608.313437714361</v>
      </c>
      <c r="L32" s="16">
        <f t="shared" si="11"/>
        <v>0</v>
      </c>
      <c r="M32" s="16">
        <f t="shared" si="11"/>
        <v>0</v>
      </c>
      <c r="N32" s="16">
        <f>(VLOOKUP($E32,$D$6:$AI$660,11,)/VLOOKUP($E32,$D$6:$AI$660,3,))*$F32</f>
        <v>0</v>
      </c>
      <c r="O32" s="16">
        <f t="shared" si="12"/>
        <v>0</v>
      </c>
      <c r="P32" s="16">
        <f t="shared" si="12"/>
        <v>0</v>
      </c>
      <c r="Q32" s="16">
        <f t="shared" si="12"/>
        <v>0</v>
      </c>
      <c r="R32" s="16">
        <f>(VLOOKUP($E32,$D$6:$AI$660,15,)/VLOOKUP($E32,$D$6:$AI$660,3,))*$F32</f>
        <v>0</v>
      </c>
      <c r="S32" s="16">
        <f>(VLOOKUP($E32,$D$6:$AI$660,16,)/VLOOKUP($E32,$D$6:$AI$660,3,))*$F32</f>
        <v>0</v>
      </c>
      <c r="T32" s="16">
        <f>(VLOOKUP($E32,$D$6:$AI$660,17,)/VLOOKUP($E32,$D$6:$AI$660,3,))*$F32</f>
        <v>0</v>
      </c>
      <c r="U32" s="155">
        <f>SUM(G32:M32)</f>
        <v>218929309.27471513</v>
      </c>
      <c r="V32" s="140" t="str">
        <f>IF(ABS(F32-U32)&lt;0.01,"ok","err")</f>
        <v>ok</v>
      </c>
      <c r="W32" s="155"/>
    </row>
    <row r="33" spans="1:23">
      <c r="A33" s="153" t="s">
        <v>691</v>
      </c>
      <c r="C33" s="147" t="s">
        <v>64</v>
      </c>
      <c r="D33" s="147" t="s">
        <v>242</v>
      </c>
      <c r="E33" s="147" t="s">
        <v>321</v>
      </c>
      <c r="F33" s="16">
        <f>VLOOKUP(C33,'Functional Assignment'!$C$1:$AR$731,15,)</f>
        <v>19032067.644964006</v>
      </c>
      <c r="G33" s="16">
        <f t="shared" si="10"/>
        <v>10640304.324766109</v>
      </c>
      <c r="H33" s="16">
        <f t="shared" si="10"/>
        <v>5016711.1495716115</v>
      </c>
      <c r="I33" s="16">
        <f t="shared" si="10"/>
        <v>365304.21259330446</v>
      </c>
      <c r="J33" s="16">
        <f t="shared" si="10"/>
        <v>99050.656660800596</v>
      </c>
      <c r="K33" s="16">
        <f>(VLOOKUP($E33,$D$6:$AI$660,8,)/VLOOKUP($E33,$D$6:$AI$660,3,))*$F33</f>
        <v>2840018.6236504377</v>
      </c>
      <c r="L33" s="16">
        <f t="shared" si="11"/>
        <v>70678.677721745844</v>
      </c>
      <c r="M33" s="16">
        <f t="shared" si="11"/>
        <v>0</v>
      </c>
      <c r="N33" s="16">
        <f>(VLOOKUP($E33,$D$6:$AI$660,11,)/VLOOKUP($E33,$D$6:$AI$660,3,))*$F33</f>
        <v>0</v>
      </c>
      <c r="O33" s="16">
        <f t="shared" si="12"/>
        <v>0</v>
      </c>
      <c r="P33" s="16">
        <f t="shared" si="12"/>
        <v>0</v>
      </c>
      <c r="Q33" s="16">
        <f t="shared" si="12"/>
        <v>0</v>
      </c>
      <c r="R33" s="16"/>
      <c r="S33" s="16"/>
      <c r="T33" s="16"/>
      <c r="U33" s="155"/>
      <c r="V33" s="140"/>
      <c r="W33" s="155"/>
    </row>
    <row r="34" spans="1:23">
      <c r="A34" s="153" t="s">
        <v>688</v>
      </c>
      <c r="C34" s="147" t="s">
        <v>64</v>
      </c>
      <c r="D34" s="147" t="s">
        <v>243</v>
      </c>
      <c r="E34" s="147" t="s">
        <v>322</v>
      </c>
      <c r="F34" s="16">
        <f>VLOOKUP(C34,'Functional Assignment'!$C$1:$AR$731,16,)</f>
        <v>13715964.339120202</v>
      </c>
      <c r="G34" s="16">
        <f t="shared" si="10"/>
        <v>12681428.474026099</v>
      </c>
      <c r="H34" s="16">
        <f t="shared" si="10"/>
        <v>1020016.0118166403</v>
      </c>
      <c r="I34" s="16">
        <f t="shared" si="10"/>
        <v>10828.834776032814</v>
      </c>
      <c r="J34" s="16">
        <f t="shared" si="10"/>
        <v>247.50269834666076</v>
      </c>
      <c r="K34" s="16">
        <f>(VLOOKUP($E34,$D$6:$AI$660,8,)/VLOOKUP($E34,$D$6:$AI$660,3,))*$F34</f>
        <v>3400.471855545426</v>
      </c>
      <c r="L34" s="16">
        <f t="shared" si="11"/>
        <v>43.043947538549695</v>
      </c>
      <c r="M34" s="16">
        <f t="shared" si="11"/>
        <v>0</v>
      </c>
      <c r="N34" s="16">
        <f>(VLOOKUP($E34,$D$6:$AI$660,11,)/VLOOKUP($E34,$D$6:$AI$660,3,))*$F34</f>
        <v>0</v>
      </c>
      <c r="O34" s="16">
        <f t="shared" si="12"/>
        <v>0</v>
      </c>
      <c r="P34" s="16">
        <f t="shared" si="12"/>
        <v>0</v>
      </c>
      <c r="Q34" s="16">
        <f t="shared" si="12"/>
        <v>0</v>
      </c>
      <c r="R34" s="16"/>
      <c r="S34" s="16"/>
      <c r="T34" s="16"/>
      <c r="U34" s="155"/>
      <c r="V34" s="140"/>
      <c r="W34" s="155"/>
    </row>
    <row r="35" spans="1:23">
      <c r="A35" s="147" t="s">
        <v>232</v>
      </c>
      <c r="D35" s="147" t="s">
        <v>780</v>
      </c>
      <c r="F35" s="154">
        <f>SUM(F31:F34)</f>
        <v>382465492.09253722</v>
      </c>
      <c r="G35" s="154">
        <f t="shared" ref="G35:Q35" si="13">SUM(G31:G34)</f>
        <v>308808588.44904286</v>
      </c>
      <c r="H35" s="154">
        <f t="shared" si="13"/>
        <v>60645683.828930713</v>
      </c>
      <c r="I35" s="154">
        <f t="shared" si="13"/>
        <v>3283355.3344201986</v>
      </c>
      <c r="J35" s="154">
        <f t="shared" si="13"/>
        <v>100164.64576092156</v>
      </c>
      <c r="K35" s="154">
        <f t="shared" si="13"/>
        <v>9556978.1127133053</v>
      </c>
      <c r="L35" s="154">
        <f t="shared" si="13"/>
        <v>70721.721669284394</v>
      </c>
      <c r="M35" s="154">
        <f t="shared" si="13"/>
        <v>0</v>
      </c>
      <c r="N35" s="154">
        <f t="shared" si="13"/>
        <v>0</v>
      </c>
      <c r="O35" s="154">
        <f t="shared" si="13"/>
        <v>0</v>
      </c>
      <c r="P35" s="154">
        <f t="shared" si="13"/>
        <v>0</v>
      </c>
      <c r="Q35" s="154">
        <f t="shared" si="13"/>
        <v>0</v>
      </c>
      <c r="R35" s="154">
        <f>R31+R32</f>
        <v>0</v>
      </c>
      <c r="S35" s="154">
        <f>S31+S32</f>
        <v>0</v>
      </c>
      <c r="T35" s="154">
        <f>T31+T32</f>
        <v>0</v>
      </c>
      <c r="U35" s="155">
        <f>SUM(G35:M35)</f>
        <v>382465492.09253722</v>
      </c>
      <c r="V35" s="140" t="str">
        <f>IF(ABS(F35-U35)&lt;0.01,"ok","err")</f>
        <v>ok</v>
      </c>
      <c r="W35" s="155"/>
    </row>
    <row r="36" spans="1:23">
      <c r="F36" s="16"/>
      <c r="U36" s="155"/>
      <c r="W36" s="155"/>
    </row>
    <row r="37" spans="1:23">
      <c r="A37" s="141" t="s">
        <v>10</v>
      </c>
      <c r="F37" s="16"/>
      <c r="U37" s="155"/>
      <c r="W37" s="155"/>
    </row>
    <row r="38" spans="1:23">
      <c r="A38" s="153" t="s">
        <v>210</v>
      </c>
      <c r="C38" s="147" t="s">
        <v>64</v>
      </c>
      <c r="D38" s="147" t="s">
        <v>237</v>
      </c>
      <c r="E38" s="147" t="s">
        <v>323</v>
      </c>
      <c r="F38" s="154">
        <f>VLOOKUP(C38,'Functional Assignment'!$C$1:$AR$731,17,)</f>
        <v>230644747.15297103</v>
      </c>
      <c r="G38" s="154">
        <f>(VLOOKUP($E38,$D$6:$AI$660,G$2,)/VLOOKUP($E38,$D$6:$AI$660,3,))*$F38</f>
        <v>193936251.77509278</v>
      </c>
      <c r="H38" s="154">
        <f>(VLOOKUP($E38,$D$6:$AI$660,H$2,)/VLOOKUP($E38,$D$6:$AI$660,3,))*$F38</f>
        <v>36022788.54459247</v>
      </c>
      <c r="I38" s="154">
        <f>(VLOOKUP($E38,$D$6:$AI$660,I$2,)/VLOOKUP($E38,$D$6:$AI$660,3,))*$F38</f>
        <v>335357.46236041986</v>
      </c>
      <c r="J38" s="154">
        <f>(VLOOKUP($E38,$D$6:$AI$660,J$2,)/VLOOKUP($E38,$D$6:$AI$660,3,))*$F38</f>
        <v>99407.886022930514</v>
      </c>
      <c r="K38" s="154">
        <f>(VLOOKUP($E38,$D$6:$AI$660,8,)/VLOOKUP($E38,$D$6:$AI$660,3,))*$F38</f>
        <v>245406.01097076118</v>
      </c>
      <c r="L38" s="154">
        <f>(VLOOKUP($E38,$D$6:$AI$660,L$2,)/VLOOKUP($E38,$D$6:$AI$660,3,))*$F38</f>
        <v>5535.4739316713049</v>
      </c>
      <c r="M38" s="154">
        <f>(VLOOKUP($E38,$D$6:$AI$660,M$2,)/VLOOKUP($E38,$D$6:$AI$660,3,))*$F38</f>
        <v>0</v>
      </c>
      <c r="N38" s="154">
        <f>(VLOOKUP($E38,$D$6:$AI$660,11,)/VLOOKUP($E38,$D$6:$AI$660,3,))*$F38</f>
        <v>0</v>
      </c>
      <c r="O38" s="154">
        <f>(VLOOKUP($E38,$D$6:$AI$660,O$2,)/VLOOKUP($E38,$D$6:$AI$660,3,))*$F38</f>
        <v>0</v>
      </c>
      <c r="P38" s="154">
        <f>(VLOOKUP($E38,$D$6:$AI$660,P$2,)/VLOOKUP($E38,$D$6:$AI$660,3,))*$F38</f>
        <v>0</v>
      </c>
      <c r="Q38" s="154">
        <f>(VLOOKUP($E38,$D$6:$AI$660,Q$2,)/VLOOKUP($E38,$D$6:$AI$660,3,))*$F38</f>
        <v>0</v>
      </c>
      <c r="R38" s="154">
        <f>(VLOOKUP($E38,$D$6:$AI$660,15,)/VLOOKUP($E38,$D$6:$AI$660,3,))*$F38</f>
        <v>0</v>
      </c>
      <c r="S38" s="154">
        <f>(VLOOKUP($E38,$D$6:$AI$660,16,)/VLOOKUP($E38,$D$6:$AI$660,3,))*$F38</f>
        <v>0</v>
      </c>
      <c r="T38" s="154">
        <f>(VLOOKUP($E38,$D$6:$AI$660,17,)/VLOOKUP($E38,$D$6:$AI$660,3,))*$F38</f>
        <v>0</v>
      </c>
      <c r="U38" s="155">
        <f>SUM(G38:M38)</f>
        <v>230644747.15297103</v>
      </c>
      <c r="V38" s="140" t="str">
        <f>IF(ABS(F38-U38)&lt;0.01,"ok","err")</f>
        <v>ok</v>
      </c>
      <c r="W38" s="155"/>
    </row>
    <row r="39" spans="1:23">
      <c r="F39" s="16"/>
      <c r="U39" s="155"/>
    </row>
    <row r="40" spans="1:23">
      <c r="A40" s="141" t="s">
        <v>11</v>
      </c>
      <c r="F40" s="16"/>
      <c r="U40" s="155"/>
    </row>
    <row r="41" spans="1:23">
      <c r="A41" s="153" t="s">
        <v>210</v>
      </c>
      <c r="C41" s="147" t="s">
        <v>64</v>
      </c>
      <c r="D41" s="147" t="s">
        <v>244</v>
      </c>
      <c r="E41" s="147" t="s">
        <v>324</v>
      </c>
      <c r="F41" s="154">
        <f>VLOOKUP(C41,'Functional Assignment'!$C$1:$AR$731,18,)</f>
        <v>86666497.891081631</v>
      </c>
      <c r="G41" s="154">
        <f>(VLOOKUP($E41,$D$6:$AI$660,G$2,)/VLOOKUP($E41,$D$6:$AI$660,3,))*$F41</f>
        <v>64079705.76032839</v>
      </c>
      <c r="H41" s="154">
        <f>(VLOOKUP($E41,$D$6:$AI$660,H$2,)/VLOOKUP($E41,$D$6:$AI$660,3,))*$F41</f>
        <v>20137085.687792949</v>
      </c>
      <c r="I41" s="154">
        <f>(VLOOKUP($E41,$D$6:$AI$660,I$2,)/VLOOKUP($E41,$D$6:$AI$660,3,))*$F41</f>
        <v>1516236.8983554028</v>
      </c>
      <c r="J41" s="154">
        <f>(VLOOKUP($E41,$D$6:$AI$660,J$2,)/VLOOKUP($E41,$D$6:$AI$660,3,))*$F41</f>
        <v>62831.703829171711</v>
      </c>
      <c r="K41" s="154">
        <f>(VLOOKUP($E41,$D$6:$AI$660,8,)/VLOOKUP($E41,$D$6:$AI$660,3,))*$F41</f>
        <v>870637.84077570669</v>
      </c>
      <c r="L41" s="154">
        <f>(VLOOKUP($E41,$D$6:$AI$660,L$2,)/VLOOKUP($E41,$D$6:$AI$660,3,))*$F41</f>
        <v>0</v>
      </c>
      <c r="M41" s="154">
        <f>(VLOOKUP($E41,$D$6:$AI$660,M$2,)/VLOOKUP($E41,$D$6:$AI$660,3,))*$F41</f>
        <v>0</v>
      </c>
      <c r="N41" s="154">
        <f>(VLOOKUP($E41,$D$6:$AI$660,11,)/VLOOKUP($E41,$D$6:$AI$660,3,))*$F41</f>
        <v>0</v>
      </c>
      <c r="O41" s="154">
        <f>(VLOOKUP($E41,$D$6:$AI$660,O$2,)/VLOOKUP($E41,$D$6:$AI$660,3,))*$F41</f>
        <v>0</v>
      </c>
      <c r="P41" s="154">
        <f>(VLOOKUP($E41,$D$6:$AI$660,P$2,)/VLOOKUP($E41,$D$6:$AI$660,3,))*$F41</f>
        <v>0</v>
      </c>
      <c r="Q41" s="154">
        <f>(VLOOKUP($E41,$D$6:$AI$660,Q$2,)/VLOOKUP($E41,$D$6:$AI$660,3,))*$F41</f>
        <v>0</v>
      </c>
      <c r="R41" s="154">
        <f>(VLOOKUP($E41,$D$6:$AI$660,15,)/VLOOKUP($E41,$D$6:$AI$660,3,))*$F41</f>
        <v>0</v>
      </c>
      <c r="S41" s="154">
        <f>(VLOOKUP($E41,$D$6:$AI$660,16,)/VLOOKUP($E41,$D$6:$AI$660,3,))*$F41</f>
        <v>0</v>
      </c>
      <c r="T41" s="154">
        <f>(VLOOKUP($E41,$D$6:$AI$660,17,)/VLOOKUP($E41,$D$6:$AI$660,3,))*$F41</f>
        <v>0</v>
      </c>
      <c r="U41" s="155">
        <f>SUM(G41:M41)</f>
        <v>86666497.891081631</v>
      </c>
      <c r="V41" s="140" t="str">
        <f>IF(ABS(F41-U41)&lt;0.01,"ok","err")</f>
        <v>ok</v>
      </c>
    </row>
    <row r="42" spans="1:23">
      <c r="F42" s="16"/>
      <c r="U42" s="155"/>
    </row>
    <row r="43" spans="1:23">
      <c r="A43" s="141" t="s">
        <v>12</v>
      </c>
      <c r="F43" s="16"/>
      <c r="U43" s="155"/>
    </row>
    <row r="44" spans="1:23">
      <c r="A44" s="153" t="s">
        <v>210</v>
      </c>
      <c r="C44" s="147" t="s">
        <v>64</v>
      </c>
      <c r="D44" s="147" t="s">
        <v>245</v>
      </c>
      <c r="E44" s="147" t="s">
        <v>325</v>
      </c>
      <c r="F44" s="154">
        <f>VLOOKUP(C44,'Functional Assignment'!$C$1:$AR$731,19,)</f>
        <v>0</v>
      </c>
      <c r="G44" s="154">
        <f>(VLOOKUP($E44,$D$6:$AI$660,G$2,)/VLOOKUP($E44,$D$6:$AI$660,3,))*$F44</f>
        <v>0</v>
      </c>
      <c r="H44" s="154">
        <f>(VLOOKUP($E44,$D$6:$AI$660,H$2,)/VLOOKUP($E44,$D$6:$AI$660,3,))*$F44</f>
        <v>0</v>
      </c>
      <c r="I44" s="154">
        <f>(VLOOKUP($E44,$D$6:$AI$660,I$2,)/VLOOKUP($E44,$D$6:$AI$660,3,))*$F44</f>
        <v>0</v>
      </c>
      <c r="J44" s="154">
        <f>(VLOOKUP($E44,$D$6:$AI$660,J$2,)/VLOOKUP($E44,$D$6:$AI$660,3,))*$F44</f>
        <v>0</v>
      </c>
      <c r="K44" s="154">
        <f>(VLOOKUP($E44,$D$6:$AI$660,8,)/VLOOKUP($E44,$D$6:$AI$660,3,))*$F44</f>
        <v>0</v>
      </c>
      <c r="L44" s="154">
        <f>(VLOOKUP($E44,$D$6:$AI$660,L$2,)/VLOOKUP($E44,$D$6:$AI$660,3,))*$F44</f>
        <v>0</v>
      </c>
      <c r="M44" s="154">
        <f>(VLOOKUP($E44,$D$6:$AI$660,M$2,)/VLOOKUP($E44,$D$6:$AI$660,3,))*$F44</f>
        <v>0</v>
      </c>
      <c r="N44" s="154">
        <f>(VLOOKUP($E44,$D$6:$AI$660,11,)/VLOOKUP($E44,$D$6:$AI$660,3,))*$F44</f>
        <v>0</v>
      </c>
      <c r="O44" s="154">
        <f>(VLOOKUP($E44,$D$6:$AI$660,O$2,)/VLOOKUP($E44,$D$6:$AI$660,3,))*$F44</f>
        <v>0</v>
      </c>
      <c r="P44" s="154">
        <f>(VLOOKUP($E44,$D$6:$AI$660,P$2,)/VLOOKUP($E44,$D$6:$AI$660,3,))*$F44</f>
        <v>0</v>
      </c>
      <c r="Q44" s="154">
        <f>(VLOOKUP($E44,$D$6:$AI$660,Q$2,)/VLOOKUP($E44,$D$6:$AI$660,3,))*$F44</f>
        <v>0</v>
      </c>
      <c r="R44" s="154">
        <f>(VLOOKUP($E44,$D$6:$AI$660,15,)/VLOOKUP($E44,$D$6:$AI$660,3,))*$F44</f>
        <v>0</v>
      </c>
      <c r="S44" s="154">
        <f>(VLOOKUP($E44,$D$6:$AI$660,16,)/VLOOKUP($E44,$D$6:$AI$660,3,))*$F44</f>
        <v>0</v>
      </c>
      <c r="T44" s="154">
        <f>(VLOOKUP($E44,$D$6:$AI$660,17,)/VLOOKUP($E44,$D$6:$AI$660,3,))*$F44</f>
        <v>0</v>
      </c>
      <c r="U44" s="155">
        <f>SUM(G44:M44)</f>
        <v>0</v>
      </c>
      <c r="V44" s="140" t="str">
        <f>IF(ABS(F44-U44)&lt;0.01,"ok","err")</f>
        <v>ok</v>
      </c>
    </row>
    <row r="45" spans="1:23">
      <c r="F45" s="16"/>
      <c r="U45" s="155"/>
    </row>
    <row r="46" spans="1:23">
      <c r="A46" s="141" t="s">
        <v>13</v>
      </c>
      <c r="F46" s="16"/>
      <c r="U46" s="155"/>
    </row>
    <row r="47" spans="1:23">
      <c r="A47" s="153" t="s">
        <v>210</v>
      </c>
      <c r="C47" s="147" t="s">
        <v>64</v>
      </c>
      <c r="D47" s="147" t="s">
        <v>246</v>
      </c>
      <c r="E47" s="147" t="s">
        <v>326</v>
      </c>
      <c r="F47" s="154">
        <f>VLOOKUP(C47,'Functional Assignment'!$C$1:$AR$731,20,)</f>
        <v>0</v>
      </c>
      <c r="G47" s="154">
        <f>(VLOOKUP($E47,$D$6:$AI$660,G$2,)/VLOOKUP($E47,$D$6:$AI$660,3,))*$F47</f>
        <v>0</v>
      </c>
      <c r="H47" s="154">
        <f>(VLOOKUP($E47,$D$6:$AI$660,H$2,)/VLOOKUP($E47,$D$6:$AI$660,3,))*$F47</f>
        <v>0</v>
      </c>
      <c r="I47" s="154">
        <f>(VLOOKUP($E47,$D$6:$AI$660,I$2,)/VLOOKUP($E47,$D$6:$AI$660,3,))*$F47</f>
        <v>0</v>
      </c>
      <c r="J47" s="154">
        <f>(VLOOKUP($E47,$D$6:$AI$660,J$2,)/VLOOKUP($E47,$D$6:$AI$660,3,))*$F47</f>
        <v>0</v>
      </c>
      <c r="K47" s="154">
        <f>(VLOOKUP($E47,$D$6:$AI$660,8,)/VLOOKUP($E47,$D$6:$AI$660,3,))*$F47</f>
        <v>0</v>
      </c>
      <c r="L47" s="154">
        <f>(VLOOKUP($E47,$D$6:$AI$660,L$2,)/VLOOKUP($E47,$D$6:$AI$660,3,))*$F47</f>
        <v>0</v>
      </c>
      <c r="M47" s="154">
        <f>(VLOOKUP($E47,$D$6:$AI$660,M$2,)/VLOOKUP($E47,$D$6:$AI$660,3,))*$F47</f>
        <v>0</v>
      </c>
      <c r="N47" s="154">
        <f>(VLOOKUP($E47,$D$6:$AI$660,11,)/VLOOKUP($E47,$D$6:$AI$660,3,))*$F47</f>
        <v>0</v>
      </c>
      <c r="O47" s="154">
        <f>(VLOOKUP($E47,$D$6:$AI$660,O$2,)/VLOOKUP($E47,$D$6:$AI$660,3,))*$F47</f>
        <v>0</v>
      </c>
      <c r="P47" s="154">
        <f>(VLOOKUP($E47,$D$6:$AI$660,P$2,)/VLOOKUP($E47,$D$6:$AI$660,3,))*$F47</f>
        <v>0</v>
      </c>
      <c r="Q47" s="154">
        <f>(VLOOKUP($E47,$D$6:$AI$660,Q$2,)/VLOOKUP($E47,$D$6:$AI$660,3,))*$F47</f>
        <v>0</v>
      </c>
      <c r="R47" s="154">
        <f>(VLOOKUP($E47,$D$6:$AI$660,15,)/VLOOKUP($E47,$D$6:$AI$660,3,))*$F47</f>
        <v>0</v>
      </c>
      <c r="S47" s="154">
        <f>(VLOOKUP($E47,$D$6:$AI$660,16,)/VLOOKUP($E47,$D$6:$AI$660,3,))*$F47</f>
        <v>0</v>
      </c>
      <c r="T47" s="154">
        <f>(VLOOKUP($E47,$D$6:$AI$660,17,)/VLOOKUP($E47,$D$6:$AI$660,3,))*$F47</f>
        <v>0</v>
      </c>
      <c r="U47" s="155">
        <f>SUM(G47:M47)</f>
        <v>0</v>
      </c>
      <c r="V47" s="140" t="str">
        <f>IF(ABS(F47-U47)&lt;0.01,"ok","err")</f>
        <v>ok</v>
      </c>
    </row>
    <row r="48" spans="1:23">
      <c r="F48" s="16"/>
      <c r="U48" s="155"/>
    </row>
    <row r="49" spans="1:24">
      <c r="A49" s="147" t="s">
        <v>14</v>
      </c>
      <c r="D49" s="147" t="s">
        <v>211</v>
      </c>
      <c r="F49" s="154">
        <f t="shared" ref="F49:T49" si="14">F11+F16+F21+F24+F27+F35+F38+F41+F44+F47</f>
        <v>943541178.69999981</v>
      </c>
      <c r="G49" s="154">
        <f t="shared" si="14"/>
        <v>724556995.88327634</v>
      </c>
      <c r="H49" s="154">
        <f t="shared" si="14"/>
        <v>192158217.08277407</v>
      </c>
      <c r="I49" s="154">
        <f t="shared" si="14"/>
        <v>11260905.293427762</v>
      </c>
      <c r="J49" s="154">
        <f t="shared" si="14"/>
        <v>412255.64928793255</v>
      </c>
      <c r="K49" s="154">
        <f t="shared" si="14"/>
        <v>14969619.482984968</v>
      </c>
      <c r="L49" s="154">
        <f t="shared" si="14"/>
        <v>183185.30824887936</v>
      </c>
      <c r="M49" s="154">
        <f t="shared" si="14"/>
        <v>0</v>
      </c>
      <c r="N49" s="154">
        <f t="shared" si="14"/>
        <v>0</v>
      </c>
      <c r="O49" s="154">
        <f t="shared" si="14"/>
        <v>0</v>
      </c>
      <c r="P49" s="154">
        <f t="shared" si="14"/>
        <v>0</v>
      </c>
      <c r="Q49" s="154">
        <f t="shared" si="14"/>
        <v>0</v>
      </c>
      <c r="R49" s="154">
        <f t="shared" si="14"/>
        <v>0</v>
      </c>
      <c r="S49" s="154">
        <f t="shared" si="14"/>
        <v>0</v>
      </c>
      <c r="T49" s="154">
        <f t="shared" si="14"/>
        <v>0</v>
      </c>
      <c r="U49" s="155">
        <f>SUM(G49:M49)</f>
        <v>943541178.69999993</v>
      </c>
      <c r="V49" s="140" t="str">
        <f>IF(ABS(F49-U49)&lt;0.01,"ok","err")</f>
        <v>ok</v>
      </c>
      <c r="W49" s="155"/>
      <c r="X49" s="140"/>
    </row>
    <row r="50" spans="1:24">
      <c r="U50" s="155"/>
    </row>
    <row r="51" spans="1:24">
      <c r="U51" s="155"/>
    </row>
    <row r="52" spans="1:24">
      <c r="U52" s="155"/>
    </row>
    <row r="53" spans="1:24">
      <c r="U53" s="155"/>
    </row>
    <row r="54" spans="1:24">
      <c r="A54" s="152" t="s">
        <v>248</v>
      </c>
      <c r="U54" s="155"/>
    </row>
    <row r="55" spans="1:24">
      <c r="U55" s="155"/>
    </row>
    <row r="56" spans="1:24">
      <c r="A56" s="141" t="s">
        <v>461</v>
      </c>
      <c r="U56" s="155"/>
    </row>
    <row r="57" spans="1:24">
      <c r="A57" s="153" t="s">
        <v>209</v>
      </c>
      <c r="C57" s="147" t="s">
        <v>93</v>
      </c>
      <c r="D57" s="147" t="s">
        <v>259</v>
      </c>
      <c r="E57" s="147" t="s">
        <v>313</v>
      </c>
      <c r="F57" s="154">
        <f>VLOOKUP(C57,'Functional Assignment'!$C$1:$AR$731,5,)</f>
        <v>11554.846483996886</v>
      </c>
      <c r="G57" s="154">
        <f t="shared" ref="G57:J58" si="15">(VLOOKUP($E57,$D$6:$AI$660,G$2,)/VLOOKUP($E57,$D$6:$AI$660,3,))*$F57</f>
        <v>6459.9961133604429</v>
      </c>
      <c r="H57" s="154">
        <f t="shared" si="15"/>
        <v>3045.7713932723436</v>
      </c>
      <c r="I57" s="154">
        <f t="shared" si="15"/>
        <v>221.78536642548687</v>
      </c>
      <c r="J57" s="154">
        <f t="shared" si="15"/>
        <v>60.136142494085746</v>
      </c>
      <c r="K57" s="154">
        <f>(VLOOKUP($E57,$D$6:$AI$660,8,)/VLOOKUP($E57,$D$6:$AI$660,3,))*$F57</f>
        <v>1724.2466672640389</v>
      </c>
      <c r="L57" s="154">
        <f>(VLOOKUP($E57,$D$6:$AI$660,L$2,)/VLOOKUP($E57,$D$6:$AI$660,3,))*$F57</f>
        <v>42.910801180488789</v>
      </c>
      <c r="M57" s="154">
        <f>(VLOOKUP($E57,$D$6:$AI$660,M$2,)/VLOOKUP($E57,$D$6:$AI$660,3,))*$F57</f>
        <v>0</v>
      </c>
      <c r="N57" s="154">
        <f>(VLOOKUP($E57,$D$6:$AI$660,11,)/VLOOKUP($E57,$D$6:$AI$660,3,))*$F57</f>
        <v>0</v>
      </c>
      <c r="O57" s="154">
        <f t="shared" ref="O57:Q58" si="16">(VLOOKUP($E57,$D$6:$AI$660,O$2,)/VLOOKUP($E57,$D$6:$AI$660,3,))*$F57</f>
        <v>0</v>
      </c>
      <c r="P57" s="154">
        <f t="shared" si="16"/>
        <v>0</v>
      </c>
      <c r="Q57" s="154">
        <f t="shared" si="16"/>
        <v>0</v>
      </c>
      <c r="R57" s="154">
        <f>(VLOOKUP($E57,$D$6:$AI$660,15,)/VLOOKUP($E57,$D$6:$AI$660,3,))*$F57</f>
        <v>0</v>
      </c>
      <c r="S57" s="154">
        <f>(VLOOKUP($E57,$D$6:$AI$660,16,)/VLOOKUP($E57,$D$6:$AI$660,3,))*$F57</f>
        <v>0</v>
      </c>
      <c r="T57" s="154">
        <f>(VLOOKUP($E57,$D$6:$AI$660,17,)/VLOOKUP($E57,$D$6:$AI$660,3,))*$F57</f>
        <v>0</v>
      </c>
      <c r="U57" s="155">
        <f>SUM(G57:M57)</f>
        <v>11554.846483996887</v>
      </c>
      <c r="V57" s="140" t="str">
        <f>IF(ABS(F57-U57)&lt;0.01,"ok","err")</f>
        <v>ok</v>
      </c>
    </row>
    <row r="58" spans="1:24">
      <c r="A58" s="153" t="s">
        <v>229</v>
      </c>
      <c r="C58" s="147" t="s">
        <v>93</v>
      </c>
      <c r="D58" s="147" t="s">
        <v>249</v>
      </c>
      <c r="E58" s="147" t="s">
        <v>314</v>
      </c>
      <c r="F58" s="16">
        <f>VLOOKUP(C58,'Functional Assignment'!$C$1:$AR$731,6,)</f>
        <v>86868.036684630773</v>
      </c>
      <c r="G58" s="16">
        <f t="shared" si="15"/>
        <v>39188.288976344193</v>
      </c>
      <c r="H58" s="16">
        <f t="shared" si="15"/>
        <v>20459.547044179468</v>
      </c>
      <c r="I58" s="16">
        <f t="shared" si="15"/>
        <v>2618.6066974810969</v>
      </c>
      <c r="J58" s="16">
        <f t="shared" si="15"/>
        <v>782.04465011592868</v>
      </c>
      <c r="K58" s="16">
        <f>(VLOOKUP($E58,$D$6:$AI$660,8,)/VLOOKUP($E58,$D$6:$AI$660,3,))*$F58</f>
        <v>22656.459718650658</v>
      </c>
      <c r="L58" s="16">
        <f>(VLOOKUP($E58,$D$6:$AI$660,L$2,)/VLOOKUP($E58,$D$6:$AI$660,3,))*$F58</f>
        <v>1163.089597859434</v>
      </c>
      <c r="M58" s="16">
        <f>(VLOOKUP($E58,$D$6:$AI$660,M$2,)/VLOOKUP($E58,$D$6:$AI$660,3,))*$F58</f>
        <v>0</v>
      </c>
      <c r="N58" s="16">
        <f>(VLOOKUP($E58,$D$6:$AI$660,11,)/VLOOKUP($E58,$D$6:$AI$660,3,))*$F58</f>
        <v>0</v>
      </c>
      <c r="O58" s="16">
        <f t="shared" si="16"/>
        <v>0</v>
      </c>
      <c r="P58" s="16">
        <f t="shared" si="16"/>
        <v>0</v>
      </c>
      <c r="Q58" s="16">
        <f t="shared" si="16"/>
        <v>0</v>
      </c>
      <c r="R58" s="16">
        <f>(VLOOKUP($E58,$D$6:$AI$660,15,)/VLOOKUP($E58,$D$6:$AI$660,3,))*$F58</f>
        <v>0</v>
      </c>
      <c r="S58" s="16">
        <f>(VLOOKUP($E58,$D$6:$AI$660,16,)/VLOOKUP($E58,$D$6:$AI$660,3,))*$F58</f>
        <v>0</v>
      </c>
      <c r="T58" s="16">
        <f>(VLOOKUP($E58,$D$6:$AI$660,17,)/VLOOKUP($E58,$D$6:$AI$660,3,))*$F58</f>
        <v>0</v>
      </c>
      <c r="U58" s="155">
        <f>SUM(G58:M58)</f>
        <v>86868.036684630773</v>
      </c>
      <c r="V58" s="140" t="str">
        <f>IF(ABS(F58-U58)&lt;0.01,"ok","err")</f>
        <v>ok</v>
      </c>
    </row>
    <row r="59" spans="1:24">
      <c r="A59" s="147" t="s">
        <v>667</v>
      </c>
      <c r="F59" s="154">
        <f t="shared" ref="F59:T59" si="17">F57+F58</f>
        <v>98422.883168627654</v>
      </c>
      <c r="G59" s="154">
        <f t="shared" si="17"/>
        <v>45648.285089704637</v>
      </c>
      <c r="H59" s="154">
        <f t="shared" si="17"/>
        <v>23505.31843745181</v>
      </c>
      <c r="I59" s="154">
        <f t="shared" si="17"/>
        <v>2840.3920639065836</v>
      </c>
      <c r="J59" s="154">
        <f t="shared" si="17"/>
        <v>842.18079261001446</v>
      </c>
      <c r="K59" s="154">
        <f t="shared" si="17"/>
        <v>24380.706385914698</v>
      </c>
      <c r="L59" s="154">
        <f t="shared" si="17"/>
        <v>1206.0003990399227</v>
      </c>
      <c r="M59" s="154">
        <f t="shared" si="17"/>
        <v>0</v>
      </c>
      <c r="N59" s="154">
        <f t="shared" si="17"/>
        <v>0</v>
      </c>
      <c r="O59" s="154">
        <f t="shared" si="17"/>
        <v>0</v>
      </c>
      <c r="P59" s="154">
        <f t="shared" si="17"/>
        <v>0</v>
      </c>
      <c r="Q59" s="154">
        <f t="shared" si="17"/>
        <v>0</v>
      </c>
      <c r="R59" s="154">
        <f t="shared" si="17"/>
        <v>0</v>
      </c>
      <c r="S59" s="154">
        <f t="shared" si="17"/>
        <v>0</v>
      </c>
      <c r="T59" s="154">
        <f t="shared" si="17"/>
        <v>0</v>
      </c>
      <c r="U59" s="155">
        <f>SUM(G59:M59)</f>
        <v>98422.883168627668</v>
      </c>
      <c r="V59" s="140" t="str">
        <f>IF(ABS(F59-U59)&lt;0.01,"ok","err")</f>
        <v>ok</v>
      </c>
    </row>
    <row r="60" spans="1:24">
      <c r="F60" s="16"/>
      <c r="G60" s="16"/>
      <c r="U60" s="155"/>
    </row>
    <row r="61" spans="1:24">
      <c r="A61" s="141" t="s">
        <v>3</v>
      </c>
      <c r="F61" s="16"/>
      <c r="G61" s="16"/>
      <c r="U61" s="155"/>
    </row>
    <row r="62" spans="1:24">
      <c r="A62" s="153" t="s">
        <v>209</v>
      </c>
      <c r="C62" s="147" t="s">
        <v>93</v>
      </c>
      <c r="D62" s="147" t="s">
        <v>250</v>
      </c>
      <c r="E62" s="147" t="s">
        <v>315</v>
      </c>
      <c r="F62" s="154">
        <f>VLOOKUP(C62,'Functional Assignment'!$C$1:$AR$731,7,)</f>
        <v>132538169.08066589</v>
      </c>
      <c r="G62" s="154">
        <f t="shared" ref="G62:J63" si="18">(VLOOKUP($E62,$D$6:$AI$660,G$2,)/VLOOKUP($E62,$D$6:$AI$660,3,))*$F62</f>
        <v>87323487.838780507</v>
      </c>
      <c r="H62" s="154">
        <f t="shared" si="18"/>
        <v>41778527.372636907</v>
      </c>
      <c r="I62" s="154">
        <f t="shared" si="18"/>
        <v>3436153.8692484726</v>
      </c>
      <c r="J62" s="154">
        <f t="shared" si="18"/>
        <v>0</v>
      </c>
      <c r="K62" s="154">
        <f>(VLOOKUP($E62,$D$6:$AI$660,8,)/VLOOKUP($E62,$D$6:$AI$660,3,))*$F62</f>
        <v>0</v>
      </c>
      <c r="L62" s="154">
        <f>(VLOOKUP($E62,$D$6:$AI$660,L$2,)/VLOOKUP($E62,$D$6:$AI$660,3,))*$F62</f>
        <v>0</v>
      </c>
      <c r="M62" s="154">
        <f>(VLOOKUP($E62,$D$6:$AI$660,M$2,)/VLOOKUP($E62,$D$6:$AI$660,3,))*$F62</f>
        <v>0</v>
      </c>
      <c r="N62" s="154">
        <f>(VLOOKUP($E62,$D$6:$AI$660,11,)/VLOOKUP($E62,$D$6:$AI$660,3,))*$F62</f>
        <v>0</v>
      </c>
      <c r="O62" s="154">
        <f t="shared" ref="O62:Q63" si="19">(VLOOKUP($E62,$D$6:$AI$660,O$2,)/VLOOKUP($E62,$D$6:$AI$660,3,))*$F62</f>
        <v>0</v>
      </c>
      <c r="P62" s="154">
        <f t="shared" si="19"/>
        <v>0</v>
      </c>
      <c r="Q62" s="154">
        <f t="shared" si="19"/>
        <v>0</v>
      </c>
      <c r="R62" s="154">
        <f>(VLOOKUP($E62,$D$6:$AI$660,15,)/VLOOKUP($E62,$D$6:$AI$660,3,))*$F62</f>
        <v>0</v>
      </c>
      <c r="S62" s="154">
        <f>(VLOOKUP($E62,$D$6:$AI$660,16,)/VLOOKUP($E62,$D$6:$AI$660,3,))*$F62</f>
        <v>0</v>
      </c>
      <c r="T62" s="154">
        <f>(VLOOKUP($E62,$D$6:$AI$660,17,)/VLOOKUP($E62,$D$6:$AI$660,3,))*$F62</f>
        <v>0</v>
      </c>
      <c r="U62" s="155">
        <f>SUM(G62:M62)</f>
        <v>132538169.08066589</v>
      </c>
      <c r="V62" s="140" t="str">
        <f>IF(ABS(F62-U62)&lt;0.01,"ok","err")</f>
        <v>ok</v>
      </c>
    </row>
    <row r="63" spans="1:24">
      <c r="A63" s="147" t="s">
        <v>229</v>
      </c>
      <c r="C63" s="147" t="s">
        <v>93</v>
      </c>
      <c r="D63" s="147" t="s">
        <v>251</v>
      </c>
      <c r="E63" s="147" t="s">
        <v>316</v>
      </c>
      <c r="F63" s="16">
        <f>VLOOKUP(C63,'Functional Assignment'!$C$1:$AR$731,8,)</f>
        <v>1212333.708171027</v>
      </c>
      <c r="G63" s="16">
        <f t="shared" si="18"/>
        <v>782282.17597845558</v>
      </c>
      <c r="H63" s="16">
        <f t="shared" si="18"/>
        <v>390980.36168685777</v>
      </c>
      <c r="I63" s="16">
        <f t="shared" si="18"/>
        <v>39071.170505713708</v>
      </c>
      <c r="J63" s="16">
        <f t="shared" si="18"/>
        <v>0</v>
      </c>
      <c r="K63" s="16">
        <f>(VLOOKUP($E63,$D$6:$AI$660,8,)/VLOOKUP($E63,$D$6:$AI$660,3,))*$F63</f>
        <v>0</v>
      </c>
      <c r="L63" s="16">
        <f>(VLOOKUP($E63,$D$6:$AI$660,L$2,)/VLOOKUP($E63,$D$6:$AI$660,3,))*$F63</f>
        <v>0</v>
      </c>
      <c r="M63" s="16">
        <f>(VLOOKUP($E63,$D$6:$AI$660,M$2,)/VLOOKUP($E63,$D$6:$AI$660,3,))*$F63</f>
        <v>0</v>
      </c>
      <c r="N63" s="16">
        <f>(VLOOKUP($E63,$D$6:$AI$660,11,)/VLOOKUP($E63,$D$6:$AI$660,3,))*$F63</f>
        <v>0</v>
      </c>
      <c r="O63" s="16">
        <f t="shared" si="19"/>
        <v>0</v>
      </c>
      <c r="P63" s="16">
        <f t="shared" si="19"/>
        <v>0</v>
      </c>
      <c r="Q63" s="16">
        <f t="shared" si="19"/>
        <v>0</v>
      </c>
      <c r="R63" s="16">
        <f>(VLOOKUP($E63,$D$6:$AI$660,15,)/VLOOKUP($E63,$D$6:$AI$660,3,))*$F63</f>
        <v>0</v>
      </c>
      <c r="S63" s="16">
        <f>(VLOOKUP($E63,$D$6:$AI$660,16,)/VLOOKUP($E63,$D$6:$AI$660,3,))*$F63</f>
        <v>0</v>
      </c>
      <c r="T63" s="16">
        <f>(VLOOKUP($E63,$D$6:$AI$660,17,)/VLOOKUP($E63,$D$6:$AI$660,3,))*$F63</f>
        <v>0</v>
      </c>
      <c r="U63" s="155">
        <f>SUM(G63:M63)</f>
        <v>1212333.708171027</v>
      </c>
      <c r="V63" s="140" t="str">
        <f>IF(ABS(F63-U63)&lt;0.01,"ok","err")</f>
        <v>ok</v>
      </c>
    </row>
    <row r="64" spans="1:24">
      <c r="A64" s="147" t="s">
        <v>230</v>
      </c>
      <c r="F64" s="154">
        <f>SUM(F62:F63)</f>
        <v>133750502.78883691</v>
      </c>
      <c r="G64" s="154">
        <f t="shared" ref="G64:T64" si="20">G62+G63</f>
        <v>88105770.014758959</v>
      </c>
      <c r="H64" s="154">
        <f t="shared" si="20"/>
        <v>42169507.734323762</v>
      </c>
      <c r="I64" s="154">
        <f t="shared" si="20"/>
        <v>3475225.0397541863</v>
      </c>
      <c r="J64" s="154">
        <f t="shared" si="20"/>
        <v>0</v>
      </c>
      <c r="K64" s="154">
        <f t="shared" si="20"/>
        <v>0</v>
      </c>
      <c r="L64" s="154">
        <f t="shared" si="20"/>
        <v>0</v>
      </c>
      <c r="M64" s="154">
        <f t="shared" si="20"/>
        <v>0</v>
      </c>
      <c r="N64" s="154">
        <f t="shared" si="20"/>
        <v>0</v>
      </c>
      <c r="O64" s="154">
        <f t="shared" si="20"/>
        <v>0</v>
      </c>
      <c r="P64" s="154">
        <f t="shared" si="20"/>
        <v>0</v>
      </c>
      <c r="Q64" s="154">
        <f t="shared" si="20"/>
        <v>0</v>
      </c>
      <c r="R64" s="154">
        <f t="shared" si="20"/>
        <v>0</v>
      </c>
      <c r="S64" s="154">
        <f t="shared" si="20"/>
        <v>0</v>
      </c>
      <c r="T64" s="154">
        <f t="shared" si="20"/>
        <v>0</v>
      </c>
      <c r="U64" s="155">
        <f>SUM(G64:M64)</f>
        <v>133750502.7888369</v>
      </c>
      <c r="V64" s="140" t="str">
        <f>IF(ABS(F64-U64)&lt;0.01,"ok","err")</f>
        <v>ok</v>
      </c>
    </row>
    <row r="65" spans="1:22">
      <c r="F65" s="16"/>
      <c r="G65" s="16"/>
      <c r="U65" s="155"/>
    </row>
    <row r="66" spans="1:22">
      <c r="A66" s="141" t="s">
        <v>4</v>
      </c>
      <c r="F66" s="16"/>
      <c r="G66" s="16"/>
      <c r="U66" s="155"/>
    </row>
    <row r="67" spans="1:22">
      <c r="A67" s="153" t="s">
        <v>209</v>
      </c>
      <c r="C67" s="147" t="s">
        <v>93</v>
      </c>
      <c r="D67" s="147" t="s">
        <v>252</v>
      </c>
      <c r="E67" s="147" t="s">
        <v>317</v>
      </c>
      <c r="F67" s="154">
        <f>VLOOKUP(C67,'Functional Assignment'!$C$1:$AR$731,9,)</f>
        <v>36793564.094009817</v>
      </c>
      <c r="G67" s="154">
        <f t="shared" ref="G67:J68" si="21">(VLOOKUP($E67,$D$6:$AI$660,G$2,)/VLOOKUP($E67,$D$6:$AI$660,3,))*$F67</f>
        <v>24241638.23142286</v>
      </c>
      <c r="H67" s="154">
        <f t="shared" si="21"/>
        <v>11598024.443078693</v>
      </c>
      <c r="I67" s="154">
        <f t="shared" si="21"/>
        <v>953901.41950826405</v>
      </c>
      <c r="J67" s="154">
        <f t="shared" si="21"/>
        <v>0</v>
      </c>
      <c r="K67" s="154">
        <f>(VLOOKUP($E67,$D$6:$AI$660,8,)/VLOOKUP($E67,$D$6:$AI$660,3,))*$F67</f>
        <v>0</v>
      </c>
      <c r="L67" s="154">
        <f>(VLOOKUP($E67,$D$6:$AI$660,L$2,)/VLOOKUP($E67,$D$6:$AI$660,3,))*$F67</f>
        <v>0</v>
      </c>
      <c r="M67" s="154">
        <f>(VLOOKUP($E67,$D$6:$AI$660,M$2,)/VLOOKUP($E67,$D$6:$AI$660,3,))*$F67</f>
        <v>0</v>
      </c>
      <c r="N67" s="154">
        <f>(VLOOKUP($E67,$D$6:$AI$660,11,)/VLOOKUP($E67,$D$6:$AI$660,3,))*$F67</f>
        <v>0</v>
      </c>
      <c r="O67" s="154">
        <f t="shared" ref="O67:Q68" si="22">(VLOOKUP($E67,$D$6:$AI$660,O$2,)/VLOOKUP($E67,$D$6:$AI$660,3,))*$F67</f>
        <v>0</v>
      </c>
      <c r="P67" s="154">
        <f t="shared" si="22"/>
        <v>0</v>
      </c>
      <c r="Q67" s="154">
        <f t="shared" si="22"/>
        <v>0</v>
      </c>
      <c r="R67" s="154">
        <f>(VLOOKUP($E67,$D$6:$AI$660,15,)/VLOOKUP($E67,$D$6:$AI$660,3,))*$F67</f>
        <v>0</v>
      </c>
      <c r="S67" s="154">
        <f>(VLOOKUP($E67,$D$6:$AI$660,16,)/VLOOKUP($E67,$D$6:$AI$660,3,))*$F67</f>
        <v>0</v>
      </c>
      <c r="T67" s="154">
        <f>(VLOOKUP($E67,$D$6:$AI$660,17,)/VLOOKUP($E67,$D$6:$AI$660,3,))*$F67</f>
        <v>0</v>
      </c>
      <c r="U67" s="155">
        <f>SUM(G67:M67)</f>
        <v>36793564.094009817</v>
      </c>
      <c r="V67" s="140" t="str">
        <f>IF(ABS(F67-U67)&lt;0.01,"ok","err")</f>
        <v>ok</v>
      </c>
    </row>
    <row r="68" spans="1:22">
      <c r="A68" s="147" t="s">
        <v>229</v>
      </c>
      <c r="C68" s="147" t="s">
        <v>93</v>
      </c>
      <c r="D68" s="147" t="s">
        <v>253</v>
      </c>
      <c r="E68" s="147" t="s">
        <v>318</v>
      </c>
      <c r="F68" s="16">
        <f>VLOOKUP(C68,'Functional Assignment'!$C$1:$AR$731,10,)</f>
        <v>0</v>
      </c>
      <c r="G68" s="16">
        <f t="shared" si="21"/>
        <v>0</v>
      </c>
      <c r="H68" s="16">
        <f t="shared" si="21"/>
        <v>0</v>
      </c>
      <c r="I68" s="16">
        <f t="shared" si="21"/>
        <v>0</v>
      </c>
      <c r="J68" s="16">
        <f t="shared" si="21"/>
        <v>0</v>
      </c>
      <c r="K68" s="16">
        <f>(VLOOKUP($E68,$D$6:$AI$660,8,)/VLOOKUP($E68,$D$6:$AI$660,3,))*$F68</f>
        <v>0</v>
      </c>
      <c r="L68" s="16">
        <f>(VLOOKUP($E68,$D$6:$AI$660,L$2,)/VLOOKUP($E68,$D$6:$AI$660,3,))*$F68</f>
        <v>0</v>
      </c>
      <c r="M68" s="16">
        <f>(VLOOKUP($E68,$D$6:$AI$660,M$2,)/VLOOKUP($E68,$D$6:$AI$660,3,))*$F68</f>
        <v>0</v>
      </c>
      <c r="N68" s="16">
        <f>(VLOOKUP($E68,$D$6:$AI$660,11,)/VLOOKUP($E68,$D$6:$AI$660,3,))*$F68</f>
        <v>0</v>
      </c>
      <c r="O68" s="16">
        <f t="shared" si="22"/>
        <v>0</v>
      </c>
      <c r="P68" s="16">
        <f t="shared" si="22"/>
        <v>0</v>
      </c>
      <c r="Q68" s="16">
        <f t="shared" si="22"/>
        <v>0</v>
      </c>
      <c r="R68" s="16">
        <f>(VLOOKUP($E68,$D$6:$AI$660,15,)/VLOOKUP($E68,$D$6:$AI$660,3,))*$F68</f>
        <v>0</v>
      </c>
      <c r="S68" s="16">
        <f>(VLOOKUP($E68,$D$6:$AI$660,16,)/VLOOKUP($E68,$D$6:$AI$660,3,))*$F68</f>
        <v>0</v>
      </c>
      <c r="T68" s="16">
        <f>(VLOOKUP($E68,$D$6:$AI$660,17,)/VLOOKUP($E68,$D$6:$AI$660,3,))*$F68</f>
        <v>0</v>
      </c>
      <c r="U68" s="155">
        <f>SUM(G68:M68)</f>
        <v>0</v>
      </c>
      <c r="V68" s="140" t="str">
        <f>IF(ABS(F68-U68)&lt;0.01,"ok","err")</f>
        <v>ok</v>
      </c>
    </row>
    <row r="69" spans="1:22">
      <c r="A69" s="147" t="s">
        <v>231</v>
      </c>
      <c r="F69" s="154">
        <f>SUM(F67:F68)</f>
        <v>36793564.094009817</v>
      </c>
      <c r="G69" s="154">
        <f t="shared" ref="G69:T69" si="23">G67+G68</f>
        <v>24241638.23142286</v>
      </c>
      <c r="H69" s="154">
        <f t="shared" si="23"/>
        <v>11598024.443078693</v>
      </c>
      <c r="I69" s="154">
        <f t="shared" si="23"/>
        <v>953901.41950826405</v>
      </c>
      <c r="J69" s="154">
        <f t="shared" si="23"/>
        <v>0</v>
      </c>
      <c r="K69" s="154">
        <f t="shared" si="23"/>
        <v>0</v>
      </c>
      <c r="L69" s="154">
        <f t="shared" si="23"/>
        <v>0</v>
      </c>
      <c r="M69" s="154">
        <f t="shared" si="23"/>
        <v>0</v>
      </c>
      <c r="N69" s="154">
        <f t="shared" si="23"/>
        <v>0</v>
      </c>
      <c r="O69" s="154">
        <f t="shared" si="23"/>
        <v>0</v>
      </c>
      <c r="P69" s="154">
        <f t="shared" si="23"/>
        <v>0</v>
      </c>
      <c r="Q69" s="154">
        <f t="shared" si="23"/>
        <v>0</v>
      </c>
      <c r="R69" s="154">
        <f t="shared" si="23"/>
        <v>0</v>
      </c>
      <c r="S69" s="154">
        <f t="shared" si="23"/>
        <v>0</v>
      </c>
      <c r="T69" s="154">
        <f t="shared" si="23"/>
        <v>0</v>
      </c>
      <c r="U69" s="155">
        <f>SUM(G69:M69)</f>
        <v>36793564.094009817</v>
      </c>
      <c r="V69" s="140" t="str">
        <f>IF(ABS(F69-U69)&lt;0.01,"ok","err")</f>
        <v>ok</v>
      </c>
    </row>
    <row r="70" spans="1:22">
      <c r="F70" s="16"/>
      <c r="U70" s="155"/>
    </row>
    <row r="71" spans="1:22">
      <c r="A71" s="141" t="s">
        <v>6</v>
      </c>
      <c r="F71" s="16"/>
      <c r="U71" s="155"/>
    </row>
    <row r="72" spans="1:22">
      <c r="A72" s="147" t="s">
        <v>229</v>
      </c>
      <c r="C72" s="147" t="s">
        <v>93</v>
      </c>
      <c r="D72" s="147" t="s">
        <v>254</v>
      </c>
      <c r="E72" s="147" t="s">
        <v>319</v>
      </c>
      <c r="F72" s="154">
        <f>VLOOKUP(C72,'Functional Assignment'!$C$1:$AR$731,11,)</f>
        <v>60588.869550514159</v>
      </c>
      <c r="G72" s="154">
        <f>(VLOOKUP($E72,$D$6:$AI$660,G$2,)/VLOOKUP($E72,$D$6:$AI$660,3,))*$F72</f>
        <v>27333.116061038585</v>
      </c>
      <c r="H72" s="154">
        <f>(VLOOKUP($E72,$D$6:$AI$660,H$2,)/VLOOKUP($E72,$D$6:$AI$660,3,))*$F72</f>
        <v>14270.160512810562</v>
      </c>
      <c r="I72" s="154">
        <f>(VLOOKUP($E72,$D$6:$AI$660,I$2,)/VLOOKUP($E72,$D$6:$AI$660,3,))*$F72</f>
        <v>1826.4303609598637</v>
      </c>
      <c r="J72" s="154">
        <f>(VLOOKUP($E72,$D$6:$AI$660,J$2,)/VLOOKUP($E72,$D$6:$AI$660,3,))*$F72</f>
        <v>545.46186488101921</v>
      </c>
      <c r="K72" s="154">
        <f>(VLOOKUP($E72,$D$6:$AI$660,8,)/VLOOKUP($E72,$D$6:$AI$660,3,))*$F72</f>
        <v>15802.466992012438</v>
      </c>
      <c r="L72" s="154">
        <f>(VLOOKUP($E72,$D$6:$AI$660,L$2,)/VLOOKUP($E72,$D$6:$AI$660,3,))*$F72</f>
        <v>811.23375881169477</v>
      </c>
      <c r="M72" s="154">
        <f>(VLOOKUP($E72,$D$6:$AI$660,M$2,)/VLOOKUP($E72,$D$6:$AI$660,3,))*$F72</f>
        <v>0</v>
      </c>
      <c r="N72" s="154">
        <f>(VLOOKUP($E72,$D$6:$AI$660,11,)/VLOOKUP($E72,$D$6:$AI$660,3,))*$F72</f>
        <v>0</v>
      </c>
      <c r="O72" s="154">
        <f>(VLOOKUP($E72,$D$6:$AI$660,O$2,)/VLOOKUP($E72,$D$6:$AI$660,3,))*$F72</f>
        <v>0</v>
      </c>
      <c r="P72" s="154">
        <f>(VLOOKUP($E72,$D$6:$AI$660,P$2,)/VLOOKUP($E72,$D$6:$AI$660,3,))*$F72</f>
        <v>0</v>
      </c>
      <c r="Q72" s="154">
        <f>(VLOOKUP($E72,$D$6:$AI$660,Q$2,)/VLOOKUP($E72,$D$6:$AI$660,3,))*$F72</f>
        <v>0</v>
      </c>
      <c r="R72" s="154">
        <f>(VLOOKUP($E72,$D$6:$AI$660,15,)/VLOOKUP($E72,$D$6:$AI$660,3,))*$F72</f>
        <v>0</v>
      </c>
      <c r="S72" s="154">
        <f>(VLOOKUP($E72,$D$6:$AI$660,16,)/VLOOKUP($E72,$D$6:$AI$660,3,))*$F72</f>
        <v>0</v>
      </c>
      <c r="T72" s="154">
        <f>(VLOOKUP($E72,$D$6:$AI$660,17,)/VLOOKUP($E72,$D$6:$AI$660,3,))*$F72</f>
        <v>0</v>
      </c>
      <c r="U72" s="155">
        <f>SUM(G72:M72)</f>
        <v>60588.869550514159</v>
      </c>
      <c r="V72" s="140" t="str">
        <f>IF(ABS(F72-U72)&lt;0.01,"ok","err")</f>
        <v>ok</v>
      </c>
    </row>
    <row r="73" spans="1:22">
      <c r="A73" s="153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55"/>
      <c r="V73" s="140"/>
    </row>
    <row r="74" spans="1:22">
      <c r="A74" s="141" t="s">
        <v>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55"/>
      <c r="V74" s="140"/>
    </row>
    <row r="75" spans="1:22">
      <c r="A75" s="153" t="s">
        <v>209</v>
      </c>
      <c r="C75" s="147" t="s">
        <v>93</v>
      </c>
      <c r="D75" s="147" t="s">
        <v>255</v>
      </c>
      <c r="E75" s="147" t="s">
        <v>320</v>
      </c>
      <c r="F75" s="154">
        <f>VLOOKUP(C75,'Functional Assignment'!$C$1:$AR$731,12,)</f>
        <v>20191353.926565848</v>
      </c>
      <c r="G75" s="154">
        <f>(VLOOKUP($E75,$D$6:$AI$660,G$2,)/VLOOKUP($E75,$D$6:$AI$660,3,))*$F75</f>
        <v>11288429.324418159</v>
      </c>
      <c r="H75" s="154">
        <f>(VLOOKUP($E75,$D$6:$AI$660,H$2,)/VLOOKUP($E75,$D$6:$AI$660,3,))*$F75</f>
        <v>5322290.3710702425</v>
      </c>
      <c r="I75" s="154">
        <f>(VLOOKUP($E75,$D$6:$AI$660,I$2,)/VLOOKUP($E75,$D$6:$AI$660,3,))*$F75</f>
        <v>387555.71832409874</v>
      </c>
      <c r="J75" s="154">
        <f>(VLOOKUP($E75,$D$6:$AI$660,J$2,)/VLOOKUP($E75,$D$6:$AI$660,3,))*$F75</f>
        <v>105084.05616276719</v>
      </c>
      <c r="K75" s="154">
        <f>(VLOOKUP($E75,$D$6:$AI$660,8,)/VLOOKUP($E75,$D$6:$AI$660,3,))*$F75</f>
        <v>3013010.5807677656</v>
      </c>
      <c r="L75" s="154">
        <f>(VLOOKUP($E75,$D$6:$AI$660,L$2,)/VLOOKUP($E75,$D$6:$AI$660,3,))*$F75</f>
        <v>74983.875822818096</v>
      </c>
      <c r="M75" s="154">
        <f>(VLOOKUP($E75,$D$6:$AI$660,M$2,)/VLOOKUP($E75,$D$6:$AI$660,3,))*$F75</f>
        <v>0</v>
      </c>
      <c r="N75" s="154">
        <f>(VLOOKUP($E75,$D$6:$AI$660,11,)/VLOOKUP($E75,$D$6:$AI$660,3,))*$F75</f>
        <v>0</v>
      </c>
      <c r="O75" s="154">
        <f>(VLOOKUP($E75,$D$6:$AI$660,O$2,)/VLOOKUP($E75,$D$6:$AI$660,3,))*$F75</f>
        <v>0</v>
      </c>
      <c r="P75" s="154">
        <f>(VLOOKUP($E75,$D$6:$AI$660,P$2,)/VLOOKUP($E75,$D$6:$AI$660,3,))*$F75</f>
        <v>0</v>
      </c>
      <c r="Q75" s="154">
        <f>(VLOOKUP($E75,$D$6:$AI$660,Q$2,)/VLOOKUP($E75,$D$6:$AI$660,3,))*$F75</f>
        <v>0</v>
      </c>
      <c r="R75" s="154">
        <f>(VLOOKUP($E75,$D$6:$AI$660,15,)/VLOOKUP($E75,$D$6:$AI$660,3,))*$F75</f>
        <v>0</v>
      </c>
      <c r="S75" s="154">
        <f>(VLOOKUP($E75,$D$6:$AI$660,16,)/VLOOKUP($E75,$D$6:$AI$660,3,))*$F75</f>
        <v>0</v>
      </c>
      <c r="T75" s="154">
        <f>(VLOOKUP($E75,$D$6:$AI$660,17,)/VLOOKUP($E75,$D$6:$AI$660,3,))*$F75</f>
        <v>0</v>
      </c>
      <c r="U75" s="155">
        <f>SUM(G75:M75)</f>
        <v>20191353.926565852</v>
      </c>
      <c r="V75" s="140" t="str">
        <f>IF(ABS(F75-U75)&lt;0.01,"ok","err")</f>
        <v>ok</v>
      </c>
    </row>
    <row r="76" spans="1:22">
      <c r="F76" s="16"/>
      <c r="U76" s="155"/>
    </row>
    <row r="77" spans="1:22">
      <c r="F77" s="16"/>
      <c r="U77" s="155"/>
    </row>
    <row r="78" spans="1:22">
      <c r="A78" s="141" t="s">
        <v>8</v>
      </c>
      <c r="F78" s="16"/>
      <c r="U78" s="155"/>
    </row>
    <row r="79" spans="1:22">
      <c r="A79" s="153" t="s">
        <v>690</v>
      </c>
      <c r="C79" s="147" t="s">
        <v>93</v>
      </c>
      <c r="D79" s="147" t="s">
        <v>256</v>
      </c>
      <c r="E79" s="147" t="s">
        <v>695</v>
      </c>
      <c r="F79" s="154">
        <f>VLOOKUP(C79,'Functional Assignment'!$C$1:$AR$731,13,)</f>
        <v>66659455.144046143</v>
      </c>
      <c r="G79" s="154">
        <f t="shared" ref="G79:J82" si="24">(VLOOKUP($E79,$D$6:$AI$660,G$2,)/VLOOKUP($E79,$D$6:$AI$660,3,))*$F79</f>
        <v>42326137.725382671</v>
      </c>
      <c r="H79" s="154">
        <f t="shared" si="24"/>
        <v>19533707.485058308</v>
      </c>
      <c r="I79" s="154">
        <f t="shared" si="24"/>
        <v>1393982.6298973481</v>
      </c>
      <c r="J79" s="154">
        <f t="shared" si="24"/>
        <v>3.8556105724114458</v>
      </c>
      <c r="K79" s="154">
        <f>(VLOOKUP($E79,$D$6:$AI$660,8,)/VLOOKUP($E79,$D$6:$AI$660,3,))*$F79</f>
        <v>3405623.4480972495</v>
      </c>
      <c r="L79" s="154">
        <f t="shared" ref="L79:M82" si="25">(VLOOKUP($E79,$D$6:$AI$660,L$2,)/VLOOKUP($E79,$D$6:$AI$660,3,))*$F79</f>
        <v>0</v>
      </c>
      <c r="M79" s="154">
        <f t="shared" si="25"/>
        <v>0</v>
      </c>
      <c r="N79" s="154">
        <f>(VLOOKUP($E79,$D$6:$AI$660,11,)/VLOOKUP($E79,$D$6:$AI$660,3,))*$F79</f>
        <v>0</v>
      </c>
      <c r="O79" s="154">
        <f t="shared" ref="O79:Q82" si="26">(VLOOKUP($E79,$D$6:$AI$660,O$2,)/VLOOKUP($E79,$D$6:$AI$660,3,))*$F79</f>
        <v>0</v>
      </c>
      <c r="P79" s="154">
        <f t="shared" si="26"/>
        <v>0</v>
      </c>
      <c r="Q79" s="154">
        <f t="shared" si="26"/>
        <v>0</v>
      </c>
      <c r="R79" s="154">
        <f>(VLOOKUP($E79,$D$6:$AI$660,15,)/VLOOKUP($E79,$D$6:$AI$660,3,))*$F79</f>
        <v>0</v>
      </c>
      <c r="S79" s="154">
        <f>(VLOOKUP($E79,$D$6:$AI$660,16,)/VLOOKUP($E79,$D$6:$AI$660,3,))*$F79</f>
        <v>0</v>
      </c>
      <c r="T79" s="154">
        <f>(VLOOKUP($E79,$D$6:$AI$660,17,)/VLOOKUP($E79,$D$6:$AI$660,3,))*$F79</f>
        <v>0</v>
      </c>
      <c r="U79" s="155">
        <f>SUM(G79:M79)</f>
        <v>66659455.14404615</v>
      </c>
      <c r="V79" s="140" t="str">
        <f>IF(ABS(F79-U79)&lt;0.01,"ok","err")</f>
        <v>ok</v>
      </c>
    </row>
    <row r="80" spans="1:22">
      <c r="A80" s="153" t="s">
        <v>689</v>
      </c>
      <c r="C80" s="147" t="s">
        <v>93</v>
      </c>
      <c r="D80" s="147" t="s">
        <v>257</v>
      </c>
      <c r="E80" s="147" t="s">
        <v>694</v>
      </c>
      <c r="F80" s="16">
        <f>VLOOKUP(C80,'Functional Assignment'!$C$1:$AR$731,14,)</f>
        <v>111582803.01605357</v>
      </c>
      <c r="G80" s="16">
        <f t="shared" si="24"/>
        <v>103179384.96240817</v>
      </c>
      <c r="H80" s="16">
        <f t="shared" si="24"/>
        <v>8299114.3282170277</v>
      </c>
      <c r="I80" s="16">
        <f t="shared" si="24"/>
        <v>87755.986346221674</v>
      </c>
      <c r="J80" s="16">
        <f t="shared" si="24"/>
        <v>437.77087518947633</v>
      </c>
      <c r="K80" s="16">
        <f>(VLOOKUP($E80,$D$6:$AI$660,8,)/VLOOKUP($E80,$D$6:$AI$660,3,))*$F80</f>
        <v>16109.96820697273</v>
      </c>
      <c r="L80" s="16">
        <f t="shared" si="25"/>
        <v>0</v>
      </c>
      <c r="M80" s="16">
        <f t="shared" si="25"/>
        <v>0</v>
      </c>
      <c r="N80" s="16">
        <f>(VLOOKUP($E80,$D$6:$AI$660,11,)/VLOOKUP($E80,$D$6:$AI$660,3,))*$F80</f>
        <v>0</v>
      </c>
      <c r="O80" s="16">
        <f t="shared" si="26"/>
        <v>0</v>
      </c>
      <c r="P80" s="16">
        <f t="shared" si="26"/>
        <v>0</v>
      </c>
      <c r="Q80" s="16">
        <f t="shared" si="26"/>
        <v>0</v>
      </c>
      <c r="R80" s="16">
        <f>(VLOOKUP($E80,$D$6:$AI$660,15,)/VLOOKUP($E80,$D$6:$AI$660,3,))*$F80</f>
        <v>0</v>
      </c>
      <c r="S80" s="16">
        <f>(VLOOKUP($E80,$D$6:$AI$660,16,)/VLOOKUP($E80,$D$6:$AI$660,3,))*$F80</f>
        <v>0</v>
      </c>
      <c r="T80" s="16">
        <f>(VLOOKUP($E80,$D$6:$AI$660,17,)/VLOOKUP($E80,$D$6:$AI$660,3,))*$F80</f>
        <v>0</v>
      </c>
      <c r="U80" s="155">
        <f>SUM(G80:M80)</f>
        <v>111582803.01605357</v>
      </c>
      <c r="V80" s="140" t="str">
        <f>IF(ABS(F80-U80)&lt;0.01,"ok","err")</f>
        <v>ok</v>
      </c>
    </row>
    <row r="81" spans="1:22">
      <c r="A81" s="153" t="s">
        <v>691</v>
      </c>
      <c r="C81" s="147" t="s">
        <v>93</v>
      </c>
      <c r="D81" s="147" t="s">
        <v>256</v>
      </c>
      <c r="E81" s="147" t="s">
        <v>321</v>
      </c>
      <c r="F81" s="16">
        <f>VLOOKUP(C81,'Functional Assignment'!$C$1:$AR$731,15,)</f>
        <v>9700169.7125506494</v>
      </c>
      <c r="G81" s="16">
        <f t="shared" si="24"/>
        <v>5423097.4620736269</v>
      </c>
      <c r="H81" s="16">
        <f t="shared" si="24"/>
        <v>2556892.4226982873</v>
      </c>
      <c r="I81" s="16">
        <f t="shared" si="24"/>
        <v>186186.43675335872</v>
      </c>
      <c r="J81" s="16">
        <f t="shared" si="24"/>
        <v>50483.646741534489</v>
      </c>
      <c r="K81" s="16">
        <f>(VLOOKUP($E81,$D$6:$AI$660,8,)/VLOOKUP($E81,$D$6:$AI$660,3,))*$F81</f>
        <v>1447486.5868555955</v>
      </c>
      <c r="L81" s="16">
        <f t="shared" si="25"/>
        <v>36023.157428248203</v>
      </c>
      <c r="M81" s="16">
        <f t="shared" si="25"/>
        <v>0</v>
      </c>
      <c r="N81" s="16">
        <f>(VLOOKUP($E81,$D$6:$AI$660,11,)/VLOOKUP($E81,$D$6:$AI$660,3,))*$F81</f>
        <v>0</v>
      </c>
      <c r="O81" s="16">
        <f t="shared" si="26"/>
        <v>0</v>
      </c>
      <c r="P81" s="16">
        <f t="shared" si="26"/>
        <v>0</v>
      </c>
      <c r="Q81" s="16">
        <f t="shared" si="26"/>
        <v>0</v>
      </c>
      <c r="R81" s="16"/>
      <c r="S81" s="16"/>
      <c r="T81" s="16"/>
      <c r="U81" s="155"/>
      <c r="V81" s="140"/>
    </row>
    <row r="82" spans="1:22">
      <c r="A82" s="153" t="s">
        <v>688</v>
      </c>
      <c r="C82" s="147" t="s">
        <v>93</v>
      </c>
      <c r="D82" s="147" t="s">
        <v>257</v>
      </c>
      <c r="E82" s="147" t="s">
        <v>322</v>
      </c>
      <c r="F82" s="16">
        <f>VLOOKUP(C82,'Functional Assignment'!$C$1:$AR$731,16,)</f>
        <v>6990684.5826056935</v>
      </c>
      <c r="G82" s="16">
        <f t="shared" si="24"/>
        <v>6463407.4810140254</v>
      </c>
      <c r="H82" s="16">
        <f t="shared" si="24"/>
        <v>519876.69488756638</v>
      </c>
      <c r="I82" s="16">
        <f t="shared" si="24"/>
        <v>5519.1867261192328</v>
      </c>
      <c r="J82" s="16">
        <f t="shared" si="24"/>
        <v>126.14594604554739</v>
      </c>
      <c r="K82" s="16">
        <f>(VLOOKUP($E82,$D$6:$AI$660,8,)/VLOOKUP($E82,$D$6:$AI$660,3,))*$F82</f>
        <v>1733.135606538825</v>
      </c>
      <c r="L82" s="16">
        <f t="shared" si="25"/>
        <v>21.938425399225629</v>
      </c>
      <c r="M82" s="16">
        <f t="shared" si="25"/>
        <v>0</v>
      </c>
      <c r="N82" s="16">
        <f>(VLOOKUP($E82,$D$6:$AI$660,11,)/VLOOKUP($E82,$D$6:$AI$660,3,))*$F82</f>
        <v>0</v>
      </c>
      <c r="O82" s="16">
        <f t="shared" si="26"/>
        <v>0</v>
      </c>
      <c r="P82" s="16">
        <f t="shared" si="26"/>
        <v>0</v>
      </c>
      <c r="Q82" s="16">
        <f t="shared" si="26"/>
        <v>0</v>
      </c>
      <c r="R82" s="16"/>
      <c r="S82" s="16"/>
      <c r="T82" s="16"/>
      <c r="U82" s="155"/>
      <c r="V82" s="140"/>
    </row>
    <row r="83" spans="1:22">
      <c r="A83" s="147" t="s">
        <v>232</v>
      </c>
      <c r="F83" s="154">
        <f>SUM(F79:F82)</f>
        <v>194933112.45525604</v>
      </c>
      <c r="G83" s="154">
        <f t="shared" ref="G83:Q83" si="27">SUM(G79:G82)</f>
        <v>157392027.63087848</v>
      </c>
      <c r="H83" s="154">
        <f t="shared" si="27"/>
        <v>30909590.930861194</v>
      </c>
      <c r="I83" s="154">
        <f t="shared" si="27"/>
        <v>1673444.2397230477</v>
      </c>
      <c r="J83" s="154">
        <f t="shared" si="27"/>
        <v>51051.419173341921</v>
      </c>
      <c r="K83" s="154">
        <f t="shared" si="27"/>
        <v>4870953.1387663558</v>
      </c>
      <c r="L83" s="154">
        <f t="shared" si="27"/>
        <v>36045.095853647428</v>
      </c>
      <c r="M83" s="154">
        <f t="shared" si="27"/>
        <v>0</v>
      </c>
      <c r="N83" s="154">
        <f t="shared" si="27"/>
        <v>0</v>
      </c>
      <c r="O83" s="154">
        <f t="shared" si="27"/>
        <v>0</v>
      </c>
      <c r="P83" s="154">
        <f t="shared" si="27"/>
        <v>0</v>
      </c>
      <c r="Q83" s="154">
        <f t="shared" si="27"/>
        <v>0</v>
      </c>
      <c r="R83" s="154">
        <f>R79+R80</f>
        <v>0</v>
      </c>
      <c r="S83" s="154">
        <f>S79+S80</f>
        <v>0</v>
      </c>
      <c r="T83" s="154">
        <f>T79+T80</f>
        <v>0</v>
      </c>
      <c r="U83" s="155">
        <f>SUM(G83:M83)</f>
        <v>194933112.45525607</v>
      </c>
      <c r="V83" s="140" t="str">
        <f>IF(ABS(F83-U83)&lt;0.01,"ok","err")</f>
        <v>ok</v>
      </c>
    </row>
    <row r="84" spans="1:22">
      <c r="F84" s="16"/>
      <c r="U84" s="155"/>
    </row>
    <row r="85" spans="1:22">
      <c r="A85" s="141" t="s">
        <v>10</v>
      </c>
      <c r="F85" s="16"/>
      <c r="U85" s="155"/>
    </row>
    <row r="86" spans="1:22">
      <c r="A86" s="153" t="s">
        <v>210</v>
      </c>
      <c r="C86" s="147" t="s">
        <v>93</v>
      </c>
      <c r="D86" s="147" t="s">
        <v>251</v>
      </c>
      <c r="E86" s="147" t="s">
        <v>323</v>
      </c>
      <c r="F86" s="154">
        <f>VLOOKUP(C86,'Functional Assignment'!$C$1:$AR$731,17,)</f>
        <v>99463906.369648099</v>
      </c>
      <c r="G86" s="154">
        <f>(VLOOKUP($E86,$D$6:$AI$660,G$2,)/VLOOKUP($E86,$D$6:$AI$660,3,))*$F86</f>
        <v>83633628.887480393</v>
      </c>
      <c r="H86" s="154">
        <f>(VLOOKUP($E86,$D$6:$AI$660,H$2,)/VLOOKUP($E86,$D$6:$AI$660,3,))*$F86</f>
        <v>15534571.288530748</v>
      </c>
      <c r="I86" s="154">
        <f>(VLOOKUP($E86,$D$6:$AI$660,I$2,)/VLOOKUP($E86,$D$6:$AI$660,3,))*$F86</f>
        <v>144620.51986146835</v>
      </c>
      <c r="J86" s="154">
        <f>(VLOOKUP($E86,$D$6:$AI$660,J$2,)/VLOOKUP($E86,$D$6:$AI$660,3,))*$F86</f>
        <v>42868.94364531833</v>
      </c>
      <c r="K86" s="154">
        <f>(VLOOKUP($E86,$D$6:$AI$660,8,)/VLOOKUP($E86,$D$6:$AI$660,3,))*$F86</f>
        <v>105829.59637730558</v>
      </c>
      <c r="L86" s="154">
        <f>(VLOOKUP($E86,$D$6:$AI$660,L$2,)/VLOOKUP($E86,$D$6:$AI$660,3,))*$F86</f>
        <v>2387.1337528715544</v>
      </c>
      <c r="M86" s="154">
        <f>(VLOOKUP($E86,$D$6:$AI$660,M$2,)/VLOOKUP($E86,$D$6:$AI$660,3,))*$F86</f>
        <v>0</v>
      </c>
      <c r="N86" s="154">
        <f>(VLOOKUP($E86,$D$6:$AI$660,11,)/VLOOKUP($E86,$D$6:$AI$660,3,))*$F86</f>
        <v>0</v>
      </c>
      <c r="O86" s="154">
        <f>(VLOOKUP($E86,$D$6:$AI$660,O$2,)/VLOOKUP($E86,$D$6:$AI$660,3,))*$F86</f>
        <v>0</v>
      </c>
      <c r="P86" s="154">
        <f>(VLOOKUP($E86,$D$6:$AI$660,P$2,)/VLOOKUP($E86,$D$6:$AI$660,3,))*$F86</f>
        <v>0</v>
      </c>
      <c r="Q86" s="154">
        <f>(VLOOKUP($E86,$D$6:$AI$660,Q$2,)/VLOOKUP($E86,$D$6:$AI$660,3,))*$F86</f>
        <v>0</v>
      </c>
      <c r="R86" s="154">
        <f>(VLOOKUP($E86,$D$6:$AI$660,15,)/VLOOKUP($E86,$D$6:$AI$660,3,))*$F86</f>
        <v>0</v>
      </c>
      <c r="S86" s="154">
        <f>(VLOOKUP($E86,$D$6:$AI$660,16,)/VLOOKUP($E86,$D$6:$AI$660,3,))*$F86</f>
        <v>0</v>
      </c>
      <c r="T86" s="154">
        <f>(VLOOKUP($E86,$D$6:$AI$660,17,)/VLOOKUP($E86,$D$6:$AI$660,3,))*$F86</f>
        <v>0</v>
      </c>
      <c r="U86" s="155">
        <f>SUM(G86:M86)</f>
        <v>99463906.369648099</v>
      </c>
      <c r="V86" s="140" t="str">
        <f>IF(ABS(F86-U86)&lt;0.01,"ok","err")</f>
        <v>ok</v>
      </c>
    </row>
    <row r="87" spans="1:22">
      <c r="F87" s="16"/>
      <c r="U87" s="155"/>
    </row>
    <row r="88" spans="1:22">
      <c r="A88" s="141" t="s">
        <v>11</v>
      </c>
      <c r="F88" s="16"/>
      <c r="U88" s="155"/>
    </row>
    <row r="89" spans="1:22">
      <c r="A89" s="153" t="s">
        <v>210</v>
      </c>
      <c r="C89" s="147" t="s">
        <v>93</v>
      </c>
      <c r="D89" s="147" t="s">
        <v>213</v>
      </c>
      <c r="E89" s="147" t="s">
        <v>324</v>
      </c>
      <c r="F89" s="154">
        <f>VLOOKUP(C89,'Functional Assignment'!$C$1:$AR$731,18,)</f>
        <v>53707510.030271932</v>
      </c>
      <c r="G89" s="154">
        <f>(VLOOKUP($E89,$D$6:$AI$660,G$2,)/VLOOKUP($E89,$D$6:$AI$660,3,))*$F89</f>
        <v>39710401.638530537</v>
      </c>
      <c r="H89" s="154">
        <f>(VLOOKUP($E89,$D$6:$AI$660,H$2,)/VLOOKUP($E89,$D$6:$AI$660,3,))*$F89</f>
        <v>12479017.358204313</v>
      </c>
      <c r="I89" s="154">
        <f>(VLOOKUP($E89,$D$6:$AI$660,I$2,)/VLOOKUP($E89,$D$6:$AI$660,3,))*$F89</f>
        <v>939616.92705101275</v>
      </c>
      <c r="J89" s="154">
        <f>(VLOOKUP($E89,$D$6:$AI$660,J$2,)/VLOOKUP($E89,$D$6:$AI$660,3,))*$F89</f>
        <v>38937.010791243352</v>
      </c>
      <c r="K89" s="154">
        <f>(VLOOKUP($E89,$D$6:$AI$660,8,)/VLOOKUP($E89,$D$6:$AI$660,3,))*$F89</f>
        <v>539537.09569482156</v>
      </c>
      <c r="L89" s="154">
        <f>(VLOOKUP($E89,$D$6:$AI$660,L$2,)/VLOOKUP($E89,$D$6:$AI$660,3,))*$F89</f>
        <v>0</v>
      </c>
      <c r="M89" s="154">
        <f>(VLOOKUP($E89,$D$6:$AI$660,M$2,)/VLOOKUP($E89,$D$6:$AI$660,3,))*$F89</f>
        <v>0</v>
      </c>
      <c r="N89" s="154">
        <f>(VLOOKUP($E89,$D$6:$AI$660,11,)/VLOOKUP($E89,$D$6:$AI$660,3,))*$F89</f>
        <v>0</v>
      </c>
      <c r="O89" s="154">
        <f>(VLOOKUP($E89,$D$6:$AI$660,O$2,)/VLOOKUP($E89,$D$6:$AI$660,3,))*$F89</f>
        <v>0</v>
      </c>
      <c r="P89" s="154">
        <f>(VLOOKUP($E89,$D$6:$AI$660,P$2,)/VLOOKUP($E89,$D$6:$AI$660,3,))*$F89</f>
        <v>0</v>
      </c>
      <c r="Q89" s="154">
        <f>(VLOOKUP($E89,$D$6:$AI$660,Q$2,)/VLOOKUP($E89,$D$6:$AI$660,3,))*$F89</f>
        <v>0</v>
      </c>
      <c r="R89" s="154">
        <f>(VLOOKUP($E89,$D$6:$AI$660,15,)/VLOOKUP($E89,$D$6:$AI$660,3,))*$F89</f>
        <v>0</v>
      </c>
      <c r="S89" s="154">
        <f>(VLOOKUP($E89,$D$6:$AI$660,16,)/VLOOKUP($E89,$D$6:$AI$660,3,))*$F89</f>
        <v>0</v>
      </c>
      <c r="T89" s="154">
        <f>(VLOOKUP($E89,$D$6:$AI$660,17,)/VLOOKUP($E89,$D$6:$AI$660,3,))*$F89</f>
        <v>0</v>
      </c>
      <c r="U89" s="155">
        <f>SUM(G89:M89)</f>
        <v>53707510.030271932</v>
      </c>
      <c r="V89" s="140" t="str">
        <f>IF(ABS(F89-U89)&lt;0.01,"ok","err")</f>
        <v>ok</v>
      </c>
    </row>
    <row r="90" spans="1:22">
      <c r="F90" s="16"/>
      <c r="U90" s="155"/>
    </row>
    <row r="91" spans="1:22">
      <c r="A91" s="141" t="s">
        <v>12</v>
      </c>
      <c r="F91" s="16"/>
      <c r="U91" s="155"/>
    </row>
    <row r="92" spans="1:22">
      <c r="A92" s="153" t="s">
        <v>210</v>
      </c>
      <c r="C92" s="147" t="s">
        <v>93</v>
      </c>
      <c r="D92" s="147" t="s">
        <v>258</v>
      </c>
      <c r="E92" s="147" t="s">
        <v>325</v>
      </c>
      <c r="F92" s="154">
        <f>VLOOKUP(C92,'Functional Assignment'!$C$1:$AR$731,19,)</f>
        <v>1753229.8141748814</v>
      </c>
      <c r="G92" s="154">
        <f>(VLOOKUP($E92,$D$6:$AI$660,G$2,)/VLOOKUP($E92,$D$6:$AI$660,3,))*$F92</f>
        <v>1504316.9382064689</v>
      </c>
      <c r="H92" s="154">
        <f>(VLOOKUP($E92,$D$6:$AI$660,H$2,)/VLOOKUP($E92,$D$6:$AI$660,3,))*$F92</f>
        <v>241995.98128245116</v>
      </c>
      <c r="I92" s="154">
        <f>(VLOOKUP($E92,$D$6:$AI$660,I$2,)/VLOOKUP($E92,$D$6:$AI$660,3,))*$F92</f>
        <v>2569.1111388579507</v>
      </c>
      <c r="J92" s="154">
        <f>(VLOOKUP($E92,$D$6:$AI$660,J$2,)/VLOOKUP($E92,$D$6:$AI$660,3,))*$F92</f>
        <v>58.719331522828526</v>
      </c>
      <c r="K92" s="154">
        <f>(VLOOKUP($E92,$D$6:$AI$660,8,)/VLOOKUP($E92,$D$6:$AI$660,3,))*$F92</f>
        <v>4033.7627741769161</v>
      </c>
      <c r="L92" s="154">
        <f>(VLOOKUP($E92,$D$6:$AI$660,L$2,)/VLOOKUP($E92,$D$6:$AI$660,3,))*$F92</f>
        <v>255.30144140360224</v>
      </c>
      <c r="M92" s="154">
        <f>(VLOOKUP($E92,$D$6:$AI$660,M$2,)/VLOOKUP($E92,$D$6:$AI$660,3,))*$F92</f>
        <v>0</v>
      </c>
      <c r="N92" s="154">
        <f>(VLOOKUP($E92,$D$6:$AI$660,11,)/VLOOKUP($E92,$D$6:$AI$660,3,))*$F92</f>
        <v>0</v>
      </c>
      <c r="O92" s="154">
        <f>(VLOOKUP($E92,$D$6:$AI$660,O$2,)/VLOOKUP($E92,$D$6:$AI$660,3,))*$F92</f>
        <v>0</v>
      </c>
      <c r="P92" s="154">
        <f>(VLOOKUP($E92,$D$6:$AI$660,P$2,)/VLOOKUP($E92,$D$6:$AI$660,3,))*$F92</f>
        <v>0</v>
      </c>
      <c r="Q92" s="154">
        <f>(VLOOKUP($E92,$D$6:$AI$660,Q$2,)/VLOOKUP($E92,$D$6:$AI$660,3,))*$F92</f>
        <v>0</v>
      </c>
      <c r="R92" s="154">
        <f>(VLOOKUP($E92,$D$6:$AI$660,15,)/VLOOKUP($E92,$D$6:$AI$660,3,))*$F92</f>
        <v>0</v>
      </c>
      <c r="S92" s="154">
        <f>(VLOOKUP($E92,$D$6:$AI$660,16,)/VLOOKUP($E92,$D$6:$AI$660,3,))*$F92</f>
        <v>0</v>
      </c>
      <c r="T92" s="154">
        <f>(VLOOKUP($E92,$D$6:$AI$660,17,)/VLOOKUP($E92,$D$6:$AI$660,3,))*$F92</f>
        <v>0</v>
      </c>
      <c r="U92" s="155">
        <f>SUM(G92:M92)</f>
        <v>1753229.8141748814</v>
      </c>
      <c r="V92" s="140" t="str">
        <f>IF(ABS(F92-U92)&lt;0.1,"ok","err")</f>
        <v>ok</v>
      </c>
    </row>
    <row r="93" spans="1:22">
      <c r="F93" s="16"/>
      <c r="U93" s="155"/>
    </row>
    <row r="94" spans="1:22">
      <c r="A94" s="141" t="s">
        <v>13</v>
      </c>
      <c r="F94" s="16"/>
      <c r="U94" s="155"/>
    </row>
    <row r="95" spans="1:22">
      <c r="A95" s="153" t="s">
        <v>210</v>
      </c>
      <c r="C95" s="147" t="s">
        <v>93</v>
      </c>
      <c r="D95" s="147" t="s">
        <v>212</v>
      </c>
      <c r="E95" s="147" t="s">
        <v>326</v>
      </c>
      <c r="F95" s="154">
        <f>VLOOKUP(C95,'Functional Assignment'!$C$1:$AR$731,20,)</f>
        <v>109426.85159746764</v>
      </c>
      <c r="G95" s="154">
        <f>(VLOOKUP($E95,$D$6:$AI$660,G$2,)/VLOOKUP($E95,$D$6:$AI$660,3,))*$F95</f>
        <v>93891.094608237341</v>
      </c>
      <c r="H95" s="154">
        <f>(VLOOKUP($E95,$D$6:$AI$660,H$2,)/VLOOKUP($E95,$D$6:$AI$660,3,))*$F95</f>
        <v>15104.042902351035</v>
      </c>
      <c r="I95" s="154">
        <f>(VLOOKUP($E95,$D$6:$AI$660,I$2,)/VLOOKUP($E95,$D$6:$AI$660,3,))*$F95</f>
        <v>160.34962504987828</v>
      </c>
      <c r="J95" s="154">
        <f>(VLOOKUP($E95,$D$6:$AI$660,J$2,)/VLOOKUP($E95,$D$6:$AI$660,3,))*$F95</f>
        <v>3.6649340117884464</v>
      </c>
      <c r="K95" s="154">
        <f>(VLOOKUP($E95,$D$6:$AI$660,8,)/VLOOKUP($E95,$D$6:$AI$660,3,))*$F95</f>
        <v>251.76503211416284</v>
      </c>
      <c r="L95" s="154">
        <f>(VLOOKUP($E95,$D$6:$AI$660,L$2,)/VLOOKUP($E95,$D$6:$AI$660,3,))*$F95</f>
        <v>15.934495703428025</v>
      </c>
      <c r="M95" s="154">
        <f>(VLOOKUP($E95,$D$6:$AI$660,M$2,)/VLOOKUP($E95,$D$6:$AI$660,3,))*$F95</f>
        <v>0</v>
      </c>
      <c r="N95" s="154">
        <f>(VLOOKUP($E95,$D$6:$AI$660,11,)/VLOOKUP($E95,$D$6:$AI$660,3,))*$F95</f>
        <v>0</v>
      </c>
      <c r="O95" s="154">
        <f>(VLOOKUP($E95,$D$6:$AI$660,O$2,)/VLOOKUP($E95,$D$6:$AI$660,3,))*$F95</f>
        <v>0</v>
      </c>
      <c r="P95" s="154">
        <f>(VLOOKUP($E95,$D$6:$AI$660,P$2,)/VLOOKUP($E95,$D$6:$AI$660,3,))*$F95</f>
        <v>0</v>
      </c>
      <c r="Q95" s="154">
        <f>(VLOOKUP($E95,$D$6:$AI$660,Q$2,)/VLOOKUP($E95,$D$6:$AI$660,3,))*$F95</f>
        <v>0</v>
      </c>
      <c r="R95" s="154">
        <f>(VLOOKUP($E95,$D$6:$AI$660,15,)/VLOOKUP($E95,$D$6:$AI$660,3,))*$F95</f>
        <v>0</v>
      </c>
      <c r="S95" s="154">
        <f>(VLOOKUP($E95,$D$6:$AI$660,16,)/VLOOKUP($E95,$D$6:$AI$660,3,))*$F95</f>
        <v>0</v>
      </c>
      <c r="T95" s="154">
        <f>(VLOOKUP($E95,$D$6:$AI$660,17,)/VLOOKUP($E95,$D$6:$AI$660,3,))*$F95</f>
        <v>0</v>
      </c>
      <c r="U95" s="155">
        <f>SUM(G95:M95)</f>
        <v>109426.85159746764</v>
      </c>
      <c r="V95" s="140" t="str">
        <f>IF(ABS(F95-U95)&lt;0.01,"ok","err")</f>
        <v>ok</v>
      </c>
    </row>
    <row r="96" spans="1:22">
      <c r="F96" s="16"/>
      <c r="U96" s="155"/>
    </row>
    <row r="97" spans="1:24">
      <c r="A97" s="147" t="s">
        <v>14</v>
      </c>
      <c r="D97" s="147" t="s">
        <v>214</v>
      </c>
      <c r="F97" s="154">
        <f t="shared" ref="F97:T97" si="28">F59+F64+F69+F72+F75+F83+F86+F89+F92+F95</f>
        <v>540861618.08308005</v>
      </c>
      <c r="G97" s="154">
        <f t="shared" si="28"/>
        <v>406043085.16145486</v>
      </c>
      <c r="H97" s="154">
        <f t="shared" si="28"/>
        <v>118307877.62920402</v>
      </c>
      <c r="I97" s="154">
        <f t="shared" si="28"/>
        <v>7581760.1474108519</v>
      </c>
      <c r="J97" s="154">
        <f t="shared" si="28"/>
        <v>239391.45669569643</v>
      </c>
      <c r="K97" s="154">
        <f t="shared" si="28"/>
        <v>8573799.1127904672</v>
      </c>
      <c r="L97" s="154">
        <f t="shared" si="28"/>
        <v>115704.57552429572</v>
      </c>
      <c r="M97" s="154">
        <f t="shared" si="28"/>
        <v>0</v>
      </c>
      <c r="N97" s="154">
        <f t="shared" si="28"/>
        <v>0</v>
      </c>
      <c r="O97" s="154">
        <f t="shared" si="28"/>
        <v>0</v>
      </c>
      <c r="P97" s="154">
        <f t="shared" si="28"/>
        <v>0</v>
      </c>
      <c r="Q97" s="154">
        <f t="shared" si="28"/>
        <v>0</v>
      </c>
      <c r="R97" s="154">
        <f t="shared" si="28"/>
        <v>0</v>
      </c>
      <c r="S97" s="154">
        <f t="shared" si="28"/>
        <v>0</v>
      </c>
      <c r="T97" s="154">
        <f t="shared" si="28"/>
        <v>0</v>
      </c>
      <c r="U97" s="155">
        <f>SUM(G97:M97)</f>
        <v>540861618.08308029</v>
      </c>
      <c r="V97" s="140" t="str">
        <f>IF(ABS(F97-U97)&lt;0.01,"ok","err")</f>
        <v>ok</v>
      </c>
      <c r="W97" s="155"/>
      <c r="X97" s="140"/>
    </row>
    <row r="98" spans="1:24"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5"/>
      <c r="V98" s="140"/>
    </row>
    <row r="99" spans="1:24"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5"/>
      <c r="V99" s="140"/>
    </row>
    <row r="100" spans="1:24"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5"/>
      <c r="V100" s="140"/>
    </row>
    <row r="101" spans="1:24">
      <c r="A101" s="152" t="s">
        <v>172</v>
      </c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5"/>
      <c r="V101" s="140"/>
    </row>
    <row r="102" spans="1:24"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5"/>
      <c r="V102" s="140"/>
    </row>
    <row r="103" spans="1:24">
      <c r="A103" s="141" t="s">
        <v>461</v>
      </c>
      <c r="U103" s="155"/>
    </row>
    <row r="104" spans="1:24">
      <c r="A104" s="153" t="s">
        <v>209</v>
      </c>
      <c r="C104" s="147" t="s">
        <v>91</v>
      </c>
      <c r="D104" s="147" t="s">
        <v>260</v>
      </c>
      <c r="E104" s="147" t="s">
        <v>313</v>
      </c>
      <c r="F104" s="154">
        <f>VLOOKUP(C104,'Functional Assignment'!$C$1:$AR$731,5,)</f>
        <v>82791.065650274119</v>
      </c>
      <c r="G104" s="154">
        <f t="shared" ref="G104:J105" si="29">(VLOOKUP($E104,$D$6:$AI$660,G$2,)/VLOOKUP($E104,$D$6:$AI$660,3,))*$F104</f>
        <v>46286.202336176728</v>
      </c>
      <c r="H104" s="154">
        <f t="shared" si="29"/>
        <v>21823.107708559794</v>
      </c>
      <c r="I104" s="154">
        <f t="shared" si="29"/>
        <v>1589.1034863538162</v>
      </c>
      <c r="J104" s="154">
        <f t="shared" si="29"/>
        <v>430.87853465448381</v>
      </c>
      <c r="K104" s="154">
        <f>(VLOOKUP($E104,$D$6:$AI$660,8,)/VLOOKUP($E104,$D$6:$AI$660,3,))*$F104</f>
        <v>12354.315500810066</v>
      </c>
      <c r="L104" s="154">
        <f>(VLOOKUP($E104,$D$6:$AI$660,L$2,)/VLOOKUP($E104,$D$6:$AI$660,3,))*$F104</f>
        <v>307.45808371924238</v>
      </c>
      <c r="M104" s="154">
        <f>(VLOOKUP($E104,$D$6:$AI$660,M$2,)/VLOOKUP($E104,$D$6:$AI$660,3,))*$F104</f>
        <v>0</v>
      </c>
      <c r="N104" s="154">
        <f>(VLOOKUP($E104,$D$6:$AI$660,11,)/VLOOKUP($E104,$D$6:$AI$660,3,))*$F104</f>
        <v>0</v>
      </c>
      <c r="O104" s="154">
        <f t="shared" ref="O104:Q105" si="30">(VLOOKUP($E104,$D$6:$AI$660,O$2,)/VLOOKUP($E104,$D$6:$AI$660,3,))*$F104</f>
        <v>0</v>
      </c>
      <c r="P104" s="154">
        <f t="shared" si="30"/>
        <v>0</v>
      </c>
      <c r="Q104" s="154">
        <f t="shared" si="30"/>
        <v>0</v>
      </c>
      <c r="R104" s="154">
        <f>(VLOOKUP($E104,$D$6:$AI$660,15,)/VLOOKUP($E104,$D$6:$AI$660,3,))*$F104</f>
        <v>0</v>
      </c>
      <c r="S104" s="154">
        <f>(VLOOKUP($E104,$D$6:$AI$660,16,)/VLOOKUP($E104,$D$6:$AI$660,3,))*$F104</f>
        <v>0</v>
      </c>
      <c r="T104" s="154">
        <f>(VLOOKUP($E104,$D$6:$AI$660,17,)/VLOOKUP($E104,$D$6:$AI$660,3,))*$F104</f>
        <v>0</v>
      </c>
      <c r="U104" s="155">
        <f>SUM(G104:M104)</f>
        <v>82791.065650274133</v>
      </c>
      <c r="V104" s="140" t="str">
        <f>IF(ABS(F104-U104)&lt;0.01,"ok","err")</f>
        <v>ok</v>
      </c>
    </row>
    <row r="105" spans="1:24">
      <c r="A105" s="153" t="s">
        <v>229</v>
      </c>
      <c r="C105" s="147" t="s">
        <v>91</v>
      </c>
      <c r="D105" s="147" t="s">
        <v>270</v>
      </c>
      <c r="E105" s="147" t="s">
        <v>314</v>
      </c>
      <c r="F105" s="16">
        <f>VLOOKUP(C105,'Functional Assignment'!$C$1:$AR$731,6,)</f>
        <v>622413.92285291257</v>
      </c>
      <c r="G105" s="16">
        <f t="shared" si="29"/>
        <v>280786.09351114073</v>
      </c>
      <c r="H105" s="16">
        <f t="shared" si="29"/>
        <v>146593.70030190272</v>
      </c>
      <c r="I105" s="16">
        <f t="shared" si="29"/>
        <v>18762.450829932062</v>
      </c>
      <c r="J105" s="16">
        <f t="shared" si="29"/>
        <v>5603.3898900227869</v>
      </c>
      <c r="K105" s="16">
        <f>(VLOOKUP($E105,$D$6:$AI$660,8,)/VLOOKUP($E105,$D$6:$AI$660,3,))*$F105</f>
        <v>162334.69190330291</v>
      </c>
      <c r="L105" s="16">
        <f>(VLOOKUP($E105,$D$6:$AI$660,L$2,)/VLOOKUP($E105,$D$6:$AI$660,3,))*$F105</f>
        <v>8333.5964166114009</v>
      </c>
      <c r="M105" s="16">
        <f>(VLOOKUP($E105,$D$6:$AI$660,M$2,)/VLOOKUP($E105,$D$6:$AI$660,3,))*$F105</f>
        <v>0</v>
      </c>
      <c r="N105" s="16">
        <f>(VLOOKUP($E105,$D$6:$AI$660,11,)/VLOOKUP($E105,$D$6:$AI$660,3,))*$F105</f>
        <v>0</v>
      </c>
      <c r="O105" s="16">
        <f t="shared" si="30"/>
        <v>0</v>
      </c>
      <c r="P105" s="16">
        <f t="shared" si="30"/>
        <v>0</v>
      </c>
      <c r="Q105" s="16">
        <f t="shared" si="30"/>
        <v>0</v>
      </c>
      <c r="R105" s="16">
        <f>(VLOOKUP($E105,$D$6:$AI$660,15,)/VLOOKUP($E105,$D$6:$AI$660,3,))*$F105</f>
        <v>0</v>
      </c>
      <c r="S105" s="16">
        <f>(VLOOKUP($E105,$D$6:$AI$660,16,)/VLOOKUP($E105,$D$6:$AI$660,3,))*$F105</f>
        <v>0</v>
      </c>
      <c r="T105" s="16">
        <f>(VLOOKUP($E105,$D$6:$AI$660,17,)/VLOOKUP($E105,$D$6:$AI$660,3,))*$F105</f>
        <v>0</v>
      </c>
      <c r="U105" s="155">
        <f>SUM(G105:M105)</f>
        <v>622413.92285291268</v>
      </c>
      <c r="V105" s="140" t="str">
        <f>IF(ABS(F105-U105)&lt;0.01,"ok","err")</f>
        <v>ok</v>
      </c>
    </row>
    <row r="106" spans="1:24">
      <c r="A106" s="147" t="s">
        <v>667</v>
      </c>
      <c r="D106" s="147" t="s">
        <v>339</v>
      </c>
      <c r="F106" s="154">
        <f t="shared" ref="F106:T106" si="31">F104+F105</f>
        <v>705204.98850318673</v>
      </c>
      <c r="G106" s="154">
        <f t="shared" si="31"/>
        <v>327072.29584731744</v>
      </c>
      <c r="H106" s="154">
        <f t="shared" si="31"/>
        <v>168416.8080104625</v>
      </c>
      <c r="I106" s="154">
        <f t="shared" si="31"/>
        <v>20351.554316285878</v>
      </c>
      <c r="J106" s="154">
        <f t="shared" si="31"/>
        <v>6034.2684246772706</v>
      </c>
      <c r="K106" s="154">
        <f t="shared" si="31"/>
        <v>174689.00740411298</v>
      </c>
      <c r="L106" s="154">
        <f t="shared" si="31"/>
        <v>8641.0545003306434</v>
      </c>
      <c r="M106" s="154">
        <f t="shared" si="31"/>
        <v>0</v>
      </c>
      <c r="N106" s="154">
        <f t="shared" si="31"/>
        <v>0</v>
      </c>
      <c r="O106" s="154">
        <f t="shared" si="31"/>
        <v>0</v>
      </c>
      <c r="P106" s="154">
        <f t="shared" si="31"/>
        <v>0</v>
      </c>
      <c r="Q106" s="154">
        <f t="shared" si="31"/>
        <v>0</v>
      </c>
      <c r="R106" s="154">
        <f t="shared" si="31"/>
        <v>0</v>
      </c>
      <c r="S106" s="154">
        <f t="shared" si="31"/>
        <v>0</v>
      </c>
      <c r="T106" s="154">
        <f t="shared" si="31"/>
        <v>0</v>
      </c>
      <c r="U106" s="155">
        <f>SUM(G106:M106)</f>
        <v>705204.98850318661</v>
      </c>
      <c r="V106" s="140" t="str">
        <f>IF(ABS(F106-U106)&lt;0.01,"ok","err")</f>
        <v>ok</v>
      </c>
    </row>
    <row r="107" spans="1:24">
      <c r="F107" s="16"/>
      <c r="G107" s="16"/>
      <c r="U107" s="155"/>
    </row>
    <row r="108" spans="1:24">
      <c r="A108" s="141" t="s">
        <v>3</v>
      </c>
      <c r="F108" s="16"/>
      <c r="G108" s="16"/>
      <c r="U108" s="155"/>
    </row>
    <row r="109" spans="1:24">
      <c r="A109" s="153" t="s">
        <v>209</v>
      </c>
      <c r="C109" s="147" t="s">
        <v>91</v>
      </c>
      <c r="D109" s="147" t="s">
        <v>261</v>
      </c>
      <c r="E109" s="147" t="s">
        <v>315</v>
      </c>
      <c r="F109" s="154">
        <f>VLOOKUP(C109,'Functional Assignment'!$C$1:$AR$731,7,)</f>
        <v>5677840.4872658551</v>
      </c>
      <c r="G109" s="154">
        <f t="shared" ref="G109:J110" si="32">(VLOOKUP($E109,$D$6:$AI$660,G$2,)/VLOOKUP($E109,$D$6:$AI$660,3,))*$F109</f>
        <v>3740875.8411211674</v>
      </c>
      <c r="H109" s="154">
        <f t="shared" si="32"/>
        <v>1789762.2689380134</v>
      </c>
      <c r="I109" s="154">
        <f t="shared" si="32"/>
        <v>147202.37720667463</v>
      </c>
      <c r="J109" s="154">
        <f t="shared" si="32"/>
        <v>0</v>
      </c>
      <c r="K109" s="154">
        <f>(VLOOKUP($E109,$D$6:$AI$660,8,)/VLOOKUP($E109,$D$6:$AI$660,3,))*$F109</f>
        <v>0</v>
      </c>
      <c r="L109" s="154">
        <f>(VLOOKUP($E109,$D$6:$AI$660,L$2,)/VLOOKUP($E109,$D$6:$AI$660,3,))*$F109</f>
        <v>0</v>
      </c>
      <c r="M109" s="154">
        <f>(VLOOKUP($E109,$D$6:$AI$660,M$2,)/VLOOKUP($E109,$D$6:$AI$660,3,))*$F109</f>
        <v>0</v>
      </c>
      <c r="N109" s="154">
        <f>(VLOOKUP($E109,$D$6:$AI$660,11,)/VLOOKUP($E109,$D$6:$AI$660,3,))*$F109</f>
        <v>0</v>
      </c>
      <c r="O109" s="154">
        <f t="shared" ref="O109:Q110" si="33">(VLOOKUP($E109,$D$6:$AI$660,O$2,)/VLOOKUP($E109,$D$6:$AI$660,3,))*$F109</f>
        <v>0</v>
      </c>
      <c r="P109" s="154">
        <f t="shared" si="33"/>
        <v>0</v>
      </c>
      <c r="Q109" s="154">
        <f t="shared" si="33"/>
        <v>0</v>
      </c>
      <c r="R109" s="154">
        <f>(VLOOKUP($E109,$D$6:$AI$660,15,)/VLOOKUP($E109,$D$6:$AI$660,3,))*$F109</f>
        <v>0</v>
      </c>
      <c r="S109" s="154">
        <f>(VLOOKUP($E109,$D$6:$AI$660,16,)/VLOOKUP($E109,$D$6:$AI$660,3,))*$F109</f>
        <v>0</v>
      </c>
      <c r="T109" s="154">
        <f>(VLOOKUP($E109,$D$6:$AI$660,17,)/VLOOKUP($E109,$D$6:$AI$660,3,))*$F109</f>
        <v>0</v>
      </c>
      <c r="U109" s="155">
        <f>SUM(G109:M109)</f>
        <v>5677840.487265856</v>
      </c>
      <c r="V109" s="140" t="str">
        <f>IF(ABS(F109-U109)&lt;0.01,"ok","err")</f>
        <v>ok</v>
      </c>
    </row>
    <row r="110" spans="1:24">
      <c r="A110" s="147" t="s">
        <v>229</v>
      </c>
      <c r="C110" s="147" t="s">
        <v>91</v>
      </c>
      <c r="D110" s="147" t="s">
        <v>262</v>
      </c>
      <c r="E110" s="147" t="s">
        <v>316</v>
      </c>
      <c r="F110" s="16">
        <f>VLOOKUP(C110,'Functional Assignment'!$C$1:$AR$731,8,)</f>
        <v>8686432.9839637205</v>
      </c>
      <c r="G110" s="16">
        <f t="shared" si="32"/>
        <v>5605091.7749682385</v>
      </c>
      <c r="H110" s="16">
        <f t="shared" si="32"/>
        <v>2801394.2753125797</v>
      </c>
      <c r="I110" s="16">
        <f t="shared" si="32"/>
        <v>279946.93368290272</v>
      </c>
      <c r="J110" s="16">
        <f t="shared" si="32"/>
        <v>0</v>
      </c>
      <c r="K110" s="16">
        <f>(VLOOKUP($E110,$D$6:$AI$660,8,)/VLOOKUP($E110,$D$6:$AI$660,3,))*$F110</f>
        <v>0</v>
      </c>
      <c r="L110" s="16">
        <f>(VLOOKUP($E110,$D$6:$AI$660,L$2,)/VLOOKUP($E110,$D$6:$AI$660,3,))*$F110</f>
        <v>0</v>
      </c>
      <c r="M110" s="16">
        <f>(VLOOKUP($E110,$D$6:$AI$660,M$2,)/VLOOKUP($E110,$D$6:$AI$660,3,))*$F110</f>
        <v>0</v>
      </c>
      <c r="N110" s="16">
        <f>(VLOOKUP($E110,$D$6:$AI$660,11,)/VLOOKUP($E110,$D$6:$AI$660,3,))*$F110</f>
        <v>0</v>
      </c>
      <c r="O110" s="16">
        <f t="shared" si="33"/>
        <v>0</v>
      </c>
      <c r="P110" s="16">
        <f t="shared" si="33"/>
        <v>0</v>
      </c>
      <c r="Q110" s="16">
        <f t="shared" si="33"/>
        <v>0</v>
      </c>
      <c r="R110" s="16">
        <f>(VLOOKUP($E110,$D$6:$AI$660,15,)/VLOOKUP($E110,$D$6:$AI$660,3,))*$F110</f>
        <v>0</v>
      </c>
      <c r="S110" s="16">
        <f>(VLOOKUP($E110,$D$6:$AI$660,16,)/VLOOKUP($E110,$D$6:$AI$660,3,))*$F110</f>
        <v>0</v>
      </c>
      <c r="T110" s="16">
        <f>(VLOOKUP($E110,$D$6:$AI$660,17,)/VLOOKUP($E110,$D$6:$AI$660,3,))*$F110</f>
        <v>0</v>
      </c>
      <c r="U110" s="155">
        <f>SUM(G110:M110)</f>
        <v>8686432.9839637205</v>
      </c>
      <c r="V110" s="140" t="str">
        <f>IF(ABS(F110-U110)&lt;0.01,"ok","err")</f>
        <v>ok</v>
      </c>
    </row>
    <row r="111" spans="1:24">
      <c r="A111" s="147" t="s">
        <v>230</v>
      </c>
      <c r="D111" s="147" t="s">
        <v>340</v>
      </c>
      <c r="F111" s="154">
        <f>SUM(F109:F110)</f>
        <v>14364273.471229576</v>
      </c>
      <c r="G111" s="154">
        <f t="shared" ref="G111:T111" si="34">G109+G110</f>
        <v>9345967.6160894055</v>
      </c>
      <c r="H111" s="154">
        <f t="shared" si="34"/>
        <v>4591156.5442505926</v>
      </c>
      <c r="I111" s="154">
        <f t="shared" si="34"/>
        <v>427149.31088957738</v>
      </c>
      <c r="J111" s="154">
        <f t="shared" si="34"/>
        <v>0</v>
      </c>
      <c r="K111" s="154">
        <f t="shared" si="34"/>
        <v>0</v>
      </c>
      <c r="L111" s="154">
        <f t="shared" si="34"/>
        <v>0</v>
      </c>
      <c r="M111" s="154">
        <f t="shared" si="34"/>
        <v>0</v>
      </c>
      <c r="N111" s="154">
        <f t="shared" si="34"/>
        <v>0</v>
      </c>
      <c r="O111" s="154">
        <f t="shared" si="34"/>
        <v>0</v>
      </c>
      <c r="P111" s="154">
        <f t="shared" si="34"/>
        <v>0</v>
      </c>
      <c r="Q111" s="154">
        <f t="shared" si="34"/>
        <v>0</v>
      </c>
      <c r="R111" s="154">
        <f t="shared" si="34"/>
        <v>0</v>
      </c>
      <c r="S111" s="154">
        <f t="shared" si="34"/>
        <v>0</v>
      </c>
      <c r="T111" s="154">
        <f t="shared" si="34"/>
        <v>0</v>
      </c>
      <c r="U111" s="155">
        <f>SUM(G111:M111)</f>
        <v>14364273.471229576</v>
      </c>
      <c r="V111" s="140" t="str">
        <f>IF(ABS(F111-U111)&lt;0.01,"ok","err")</f>
        <v>ok</v>
      </c>
    </row>
    <row r="112" spans="1:24">
      <c r="F112" s="16"/>
      <c r="G112" s="16"/>
      <c r="U112" s="155"/>
    </row>
    <row r="113" spans="1:22">
      <c r="A113" s="141" t="s">
        <v>4</v>
      </c>
      <c r="F113" s="16"/>
      <c r="G113" s="16"/>
      <c r="U113" s="155"/>
    </row>
    <row r="114" spans="1:22">
      <c r="A114" s="153" t="s">
        <v>209</v>
      </c>
      <c r="C114" s="147" t="s">
        <v>91</v>
      </c>
      <c r="D114" s="147" t="s">
        <v>263</v>
      </c>
      <c r="E114" s="147" t="s">
        <v>317</v>
      </c>
      <c r="F114" s="154">
        <f>VLOOKUP(C114,'Functional Assignment'!$C$1:$AR$731,9,)</f>
        <v>3945538.2871271288</v>
      </c>
      <c r="G114" s="154">
        <f t="shared" ref="G114:J115" si="35">(VLOOKUP($E114,$D$6:$AI$660,G$2,)/VLOOKUP($E114,$D$6:$AI$660,3,))*$F114</f>
        <v>2599539.189527317</v>
      </c>
      <c r="H114" s="154">
        <f t="shared" si="35"/>
        <v>1243707.9859478283</v>
      </c>
      <c r="I114" s="154">
        <f t="shared" si="35"/>
        <v>102291.11165198361</v>
      </c>
      <c r="J114" s="154">
        <f t="shared" si="35"/>
        <v>0</v>
      </c>
      <c r="K114" s="154">
        <f>(VLOOKUP($E114,$D$6:$AI$660,8,)/VLOOKUP($E114,$D$6:$AI$660,3,))*$F114</f>
        <v>0</v>
      </c>
      <c r="L114" s="154">
        <f>(VLOOKUP($E114,$D$6:$AI$660,L$2,)/VLOOKUP($E114,$D$6:$AI$660,3,))*$F114</f>
        <v>0</v>
      </c>
      <c r="M114" s="154">
        <f>(VLOOKUP($E114,$D$6:$AI$660,M$2,)/VLOOKUP($E114,$D$6:$AI$660,3,))*$F114</f>
        <v>0</v>
      </c>
      <c r="N114" s="154">
        <f>(VLOOKUP($E114,$D$6:$AI$660,11,)/VLOOKUP($E114,$D$6:$AI$660,3,))*$F114</f>
        <v>0</v>
      </c>
      <c r="O114" s="154">
        <f t="shared" ref="O114:Q115" si="36">(VLOOKUP($E114,$D$6:$AI$660,O$2,)/VLOOKUP($E114,$D$6:$AI$660,3,))*$F114</f>
        <v>0</v>
      </c>
      <c r="P114" s="154">
        <f t="shared" si="36"/>
        <v>0</v>
      </c>
      <c r="Q114" s="154">
        <f t="shared" si="36"/>
        <v>0</v>
      </c>
      <c r="R114" s="154">
        <f>(VLOOKUP($E114,$D$6:$AI$660,15,)/VLOOKUP($E114,$D$6:$AI$660,3,))*$F114</f>
        <v>0</v>
      </c>
      <c r="S114" s="154">
        <f>(VLOOKUP($E114,$D$6:$AI$660,16,)/VLOOKUP($E114,$D$6:$AI$660,3,))*$F114</f>
        <v>0</v>
      </c>
      <c r="T114" s="154">
        <f>(VLOOKUP($E114,$D$6:$AI$660,17,)/VLOOKUP($E114,$D$6:$AI$660,3,))*$F114</f>
        <v>0</v>
      </c>
      <c r="U114" s="155">
        <f>SUM(G114:M114)</f>
        <v>3945538.2871271288</v>
      </c>
      <c r="V114" s="140" t="str">
        <f>IF(ABS(F114-U114)&lt;0.01,"ok","err")</f>
        <v>ok</v>
      </c>
    </row>
    <row r="115" spans="1:22">
      <c r="A115" s="147" t="s">
        <v>229</v>
      </c>
      <c r="C115" s="147" t="s">
        <v>91</v>
      </c>
      <c r="D115" s="147" t="s">
        <v>264</v>
      </c>
      <c r="E115" s="147" t="s">
        <v>318</v>
      </c>
      <c r="F115" s="16">
        <f>VLOOKUP(C115,'Functional Assignment'!$C$1:$AR$731,10,)</f>
        <v>0</v>
      </c>
      <c r="G115" s="16">
        <f t="shared" si="35"/>
        <v>0</v>
      </c>
      <c r="H115" s="16">
        <f t="shared" si="35"/>
        <v>0</v>
      </c>
      <c r="I115" s="16">
        <f t="shared" si="35"/>
        <v>0</v>
      </c>
      <c r="J115" s="16">
        <f t="shared" si="35"/>
        <v>0</v>
      </c>
      <c r="K115" s="16">
        <f>(VLOOKUP($E115,$D$6:$AI$660,8,)/VLOOKUP($E115,$D$6:$AI$660,3,))*$F115</f>
        <v>0</v>
      </c>
      <c r="L115" s="16">
        <f>(VLOOKUP($E115,$D$6:$AI$660,L$2,)/VLOOKUP($E115,$D$6:$AI$660,3,))*$F115</f>
        <v>0</v>
      </c>
      <c r="M115" s="16">
        <f>(VLOOKUP($E115,$D$6:$AI$660,M$2,)/VLOOKUP($E115,$D$6:$AI$660,3,))*$F115</f>
        <v>0</v>
      </c>
      <c r="N115" s="16">
        <f>(VLOOKUP($E115,$D$6:$AI$660,11,)/VLOOKUP($E115,$D$6:$AI$660,3,))*$F115</f>
        <v>0</v>
      </c>
      <c r="O115" s="16">
        <f t="shared" si="36"/>
        <v>0</v>
      </c>
      <c r="P115" s="16">
        <f t="shared" si="36"/>
        <v>0</v>
      </c>
      <c r="Q115" s="16">
        <f t="shared" si="36"/>
        <v>0</v>
      </c>
      <c r="R115" s="16">
        <f>(VLOOKUP($E115,$D$6:$AI$660,15,)/VLOOKUP($E115,$D$6:$AI$660,3,))*$F115</f>
        <v>0</v>
      </c>
      <c r="S115" s="16">
        <f>(VLOOKUP($E115,$D$6:$AI$660,16,)/VLOOKUP($E115,$D$6:$AI$660,3,))*$F115</f>
        <v>0</v>
      </c>
      <c r="T115" s="16">
        <f>(VLOOKUP($E115,$D$6:$AI$660,17,)/VLOOKUP($E115,$D$6:$AI$660,3,))*$F115</f>
        <v>0</v>
      </c>
      <c r="U115" s="155">
        <f>SUM(G115:M115)</f>
        <v>0</v>
      </c>
      <c r="V115" s="140" t="str">
        <f>IF(ABS(F115-U115)&lt;0.01,"ok","err")</f>
        <v>ok</v>
      </c>
    </row>
    <row r="116" spans="1:22">
      <c r="A116" s="147" t="s">
        <v>231</v>
      </c>
      <c r="D116" s="147" t="s">
        <v>673</v>
      </c>
      <c r="F116" s="154">
        <f>SUM(F114:F115)</f>
        <v>3945538.2871271288</v>
      </c>
      <c r="G116" s="154">
        <f t="shared" ref="G116:T116" si="37">G114+G115</f>
        <v>2599539.189527317</v>
      </c>
      <c r="H116" s="154">
        <f t="shared" si="37"/>
        <v>1243707.9859478283</v>
      </c>
      <c r="I116" s="154">
        <f t="shared" si="37"/>
        <v>102291.11165198361</v>
      </c>
      <c r="J116" s="154">
        <f t="shared" si="37"/>
        <v>0</v>
      </c>
      <c r="K116" s="154">
        <f t="shared" si="37"/>
        <v>0</v>
      </c>
      <c r="L116" s="154">
        <f t="shared" si="37"/>
        <v>0</v>
      </c>
      <c r="M116" s="154">
        <f t="shared" si="37"/>
        <v>0</v>
      </c>
      <c r="N116" s="154">
        <f t="shared" si="37"/>
        <v>0</v>
      </c>
      <c r="O116" s="154">
        <f t="shared" si="37"/>
        <v>0</v>
      </c>
      <c r="P116" s="154">
        <f t="shared" si="37"/>
        <v>0</v>
      </c>
      <c r="Q116" s="154">
        <f t="shared" si="37"/>
        <v>0</v>
      </c>
      <c r="R116" s="154">
        <f t="shared" si="37"/>
        <v>0</v>
      </c>
      <c r="S116" s="154">
        <f t="shared" si="37"/>
        <v>0</v>
      </c>
      <c r="T116" s="154">
        <f t="shared" si="37"/>
        <v>0</v>
      </c>
      <c r="U116" s="155">
        <f>SUM(G116:M116)</f>
        <v>3945538.2871271288</v>
      </c>
      <c r="V116" s="140" t="str">
        <f>IF(ABS(F116-U116)&lt;0.01,"ok","err")</f>
        <v>ok</v>
      </c>
    </row>
    <row r="117" spans="1:22">
      <c r="F117" s="16"/>
      <c r="U117" s="155"/>
    </row>
    <row r="118" spans="1:22">
      <c r="A118" s="141" t="s">
        <v>6</v>
      </c>
      <c r="F118" s="16"/>
      <c r="U118" s="155"/>
    </row>
    <row r="119" spans="1:22">
      <c r="A119" s="147" t="s">
        <v>229</v>
      </c>
      <c r="C119" s="147" t="s">
        <v>91</v>
      </c>
      <c r="D119" s="147" t="s">
        <v>265</v>
      </c>
      <c r="E119" s="147" t="s">
        <v>319</v>
      </c>
      <c r="F119" s="154">
        <f>VLOOKUP(C119,'Functional Assignment'!$C$1:$AR$731,11,)</f>
        <v>434122.34715362266</v>
      </c>
      <c r="G119" s="154">
        <f>(VLOOKUP($E119,$D$6:$AI$660,G$2,)/VLOOKUP($E119,$D$6:$AI$660,3,))*$F119</f>
        <v>195843.17363022588</v>
      </c>
      <c r="H119" s="154">
        <f>(VLOOKUP($E119,$D$6:$AI$660,H$2,)/VLOOKUP($E119,$D$6:$AI$660,3,))*$F119</f>
        <v>102246.42945211862</v>
      </c>
      <c r="I119" s="154">
        <f>(VLOOKUP($E119,$D$6:$AI$660,I$2,)/VLOOKUP($E119,$D$6:$AI$660,3,))*$F119</f>
        <v>13086.466888963532</v>
      </c>
      <c r="J119" s="154">
        <f>(VLOOKUP($E119,$D$6:$AI$660,J$2,)/VLOOKUP($E119,$D$6:$AI$660,3,))*$F119</f>
        <v>3908.2621415723502</v>
      </c>
      <c r="K119" s="154">
        <f>(VLOOKUP($E119,$D$6:$AI$660,8,)/VLOOKUP($E119,$D$6:$AI$660,3,))*$F119</f>
        <v>113225.48369499775</v>
      </c>
      <c r="L119" s="154">
        <f>(VLOOKUP($E119,$D$6:$AI$660,L$2,)/VLOOKUP($E119,$D$6:$AI$660,3,))*$F119</f>
        <v>5812.5313457445118</v>
      </c>
      <c r="M119" s="154">
        <f>(VLOOKUP($E119,$D$6:$AI$660,M$2,)/VLOOKUP($E119,$D$6:$AI$660,3,))*$F119</f>
        <v>0</v>
      </c>
      <c r="N119" s="154">
        <f>(VLOOKUP($E119,$D$6:$AI$660,11,)/VLOOKUP($E119,$D$6:$AI$660,3,))*$F119</f>
        <v>0</v>
      </c>
      <c r="O119" s="154">
        <f>(VLOOKUP($E119,$D$6:$AI$660,O$2,)/VLOOKUP($E119,$D$6:$AI$660,3,))*$F119</f>
        <v>0</v>
      </c>
      <c r="P119" s="154">
        <f>(VLOOKUP($E119,$D$6:$AI$660,P$2,)/VLOOKUP($E119,$D$6:$AI$660,3,))*$F119</f>
        <v>0</v>
      </c>
      <c r="Q119" s="154">
        <f>(VLOOKUP($E119,$D$6:$AI$660,Q$2,)/VLOOKUP($E119,$D$6:$AI$660,3,))*$F119</f>
        <v>0</v>
      </c>
      <c r="R119" s="154">
        <f>(VLOOKUP($E119,$D$6:$AI$660,15,)/VLOOKUP($E119,$D$6:$AI$660,3,))*$F119</f>
        <v>0</v>
      </c>
      <c r="S119" s="154">
        <f>(VLOOKUP($E119,$D$6:$AI$660,16,)/VLOOKUP($E119,$D$6:$AI$660,3,))*$F119</f>
        <v>0</v>
      </c>
      <c r="T119" s="154">
        <f>(VLOOKUP($E119,$D$6:$AI$660,17,)/VLOOKUP($E119,$D$6:$AI$660,3,))*$F119</f>
        <v>0</v>
      </c>
      <c r="U119" s="155">
        <f>SUM(G119:M119)</f>
        <v>434122.34715362266</v>
      </c>
      <c r="V119" s="140" t="str">
        <f>IF(ABS(F119-U119)&lt;0.01,"ok","err")</f>
        <v>ok</v>
      </c>
    </row>
    <row r="120" spans="1:22">
      <c r="A120" s="153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55"/>
      <c r="V120" s="140"/>
    </row>
    <row r="121" spans="1:22">
      <c r="A121" s="141" t="s">
        <v>7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55"/>
      <c r="V121" s="140"/>
    </row>
    <row r="122" spans="1:22">
      <c r="A122" s="153" t="s">
        <v>209</v>
      </c>
      <c r="C122" s="147" t="s">
        <v>91</v>
      </c>
      <c r="D122" s="147" t="s">
        <v>266</v>
      </c>
      <c r="E122" s="147" t="s">
        <v>320</v>
      </c>
      <c r="F122" s="154">
        <f>VLOOKUP(C122,'Functional Assignment'!$C$1:$AR$731,12,)</f>
        <v>3816276.0128755323</v>
      </c>
      <c r="G122" s="154">
        <f>(VLOOKUP($E122,$D$6:$AI$660,G$2,)/VLOOKUP($E122,$D$6:$AI$660,3,))*$F122</f>
        <v>2133574.7077929997</v>
      </c>
      <c r="H122" s="154">
        <f>(VLOOKUP($E122,$D$6:$AI$660,H$2,)/VLOOKUP($E122,$D$6:$AI$660,3,))*$F122</f>
        <v>1005941.9071422487</v>
      </c>
      <c r="I122" s="154">
        <f>(VLOOKUP($E122,$D$6:$AI$660,I$2,)/VLOOKUP($E122,$D$6:$AI$660,3,))*$F122</f>
        <v>73250.144436676535</v>
      </c>
      <c r="J122" s="154">
        <f>(VLOOKUP($E122,$D$6:$AI$660,J$2,)/VLOOKUP($E122,$D$6:$AI$660,3,))*$F122</f>
        <v>19861.459728165981</v>
      </c>
      <c r="K122" s="154">
        <f>(VLOOKUP($E122,$D$6:$AI$660,8,)/VLOOKUP($E122,$D$6:$AI$660,3,))*$F122</f>
        <v>569475.4322936018</v>
      </c>
      <c r="L122" s="154">
        <f>(VLOOKUP($E122,$D$6:$AI$660,L$2,)/VLOOKUP($E122,$D$6:$AI$660,3,))*$F122</f>
        <v>14172.361481839882</v>
      </c>
      <c r="M122" s="154">
        <f>(VLOOKUP($E122,$D$6:$AI$660,M$2,)/VLOOKUP($E122,$D$6:$AI$660,3,))*$F122</f>
        <v>0</v>
      </c>
      <c r="N122" s="154">
        <f>(VLOOKUP($E122,$D$6:$AI$660,11,)/VLOOKUP($E122,$D$6:$AI$660,3,))*$F122</f>
        <v>0</v>
      </c>
      <c r="O122" s="154">
        <f>(VLOOKUP($E122,$D$6:$AI$660,O$2,)/VLOOKUP($E122,$D$6:$AI$660,3,))*$F122</f>
        <v>0</v>
      </c>
      <c r="P122" s="154">
        <f>(VLOOKUP($E122,$D$6:$AI$660,P$2,)/VLOOKUP($E122,$D$6:$AI$660,3,))*$F122</f>
        <v>0</v>
      </c>
      <c r="Q122" s="154">
        <f>(VLOOKUP($E122,$D$6:$AI$660,Q$2,)/VLOOKUP($E122,$D$6:$AI$660,3,))*$F122</f>
        <v>0</v>
      </c>
      <c r="R122" s="154">
        <f>(VLOOKUP($E122,$D$6:$AI$660,15,)/VLOOKUP($E122,$D$6:$AI$660,3,))*$F122</f>
        <v>0</v>
      </c>
      <c r="S122" s="154">
        <f>(VLOOKUP($E122,$D$6:$AI$660,16,)/VLOOKUP($E122,$D$6:$AI$660,3,))*$F122</f>
        <v>0</v>
      </c>
      <c r="T122" s="154">
        <f>(VLOOKUP($E122,$D$6:$AI$660,17,)/VLOOKUP($E122,$D$6:$AI$660,3,))*$F122</f>
        <v>0</v>
      </c>
      <c r="U122" s="155">
        <f>SUM(G122:M122)</f>
        <v>3816276.0128755323</v>
      </c>
      <c r="V122" s="140" t="str">
        <f>IF(ABS(F122-U122)&lt;0.01,"ok","err")</f>
        <v>ok</v>
      </c>
    </row>
    <row r="123" spans="1:22">
      <c r="F123" s="16"/>
      <c r="U123" s="155"/>
    </row>
    <row r="124" spans="1:22">
      <c r="A124" s="141" t="s">
        <v>8</v>
      </c>
      <c r="F124" s="16"/>
      <c r="U124" s="155"/>
    </row>
    <row r="125" spans="1:22">
      <c r="A125" s="153" t="s">
        <v>690</v>
      </c>
      <c r="C125" s="147" t="s">
        <v>91</v>
      </c>
      <c r="D125" s="147" t="s">
        <v>267</v>
      </c>
      <c r="E125" s="147" t="s">
        <v>695</v>
      </c>
      <c r="F125" s="154">
        <f>VLOOKUP(C125,'Functional Assignment'!$C$1:$AR$731,13,)</f>
        <v>7964929.4958779896</v>
      </c>
      <c r="G125" s="154">
        <f t="shared" ref="G125:J128" si="38">(VLOOKUP($E125,$D$6:$AI$660,G$2,)/VLOOKUP($E125,$D$6:$AI$660,3,))*$F125</f>
        <v>5057417.6174556641</v>
      </c>
      <c r="H125" s="154">
        <f t="shared" si="38"/>
        <v>2334021.5214088801</v>
      </c>
      <c r="I125" s="154">
        <f t="shared" si="38"/>
        <v>166562.61803547983</v>
      </c>
      <c r="J125" s="154">
        <f t="shared" si="38"/>
        <v>0.46069483026012786</v>
      </c>
      <c r="K125" s="154">
        <f>(VLOOKUP($E125,$D$6:$AI$660,8,)/VLOOKUP($E125,$D$6:$AI$660,3,))*$F125</f>
        <v>406927.27828313597</v>
      </c>
      <c r="L125" s="154">
        <f t="shared" ref="L125:M128" si="39">(VLOOKUP($E125,$D$6:$AI$660,L$2,)/VLOOKUP($E125,$D$6:$AI$660,3,))*$F125</f>
        <v>0</v>
      </c>
      <c r="M125" s="154">
        <f t="shared" si="39"/>
        <v>0</v>
      </c>
      <c r="N125" s="154">
        <f>(VLOOKUP($E125,$D$6:$AI$660,11,)/VLOOKUP($E125,$D$6:$AI$660,3,))*$F125</f>
        <v>0</v>
      </c>
      <c r="O125" s="154">
        <f t="shared" ref="O125:Q128" si="40">(VLOOKUP($E125,$D$6:$AI$660,O$2,)/VLOOKUP($E125,$D$6:$AI$660,3,))*$F125</f>
        <v>0</v>
      </c>
      <c r="P125" s="154">
        <f t="shared" si="40"/>
        <v>0</v>
      </c>
      <c r="Q125" s="154">
        <f t="shared" si="40"/>
        <v>0</v>
      </c>
      <c r="R125" s="154">
        <f>(VLOOKUP($E125,$D$6:$AI$660,15,)/VLOOKUP($E125,$D$6:$AI$660,3,))*$F125</f>
        <v>0</v>
      </c>
      <c r="S125" s="154">
        <f>(VLOOKUP($E125,$D$6:$AI$660,16,)/VLOOKUP($E125,$D$6:$AI$660,3,))*$F125</f>
        <v>0</v>
      </c>
      <c r="T125" s="154">
        <f>(VLOOKUP($E125,$D$6:$AI$660,17,)/VLOOKUP($E125,$D$6:$AI$660,3,))*$F125</f>
        <v>0</v>
      </c>
      <c r="U125" s="155">
        <f>SUM(G125:M125)</f>
        <v>7964929.4958779896</v>
      </c>
      <c r="V125" s="140" t="str">
        <f>IF(ABS(F125-U125)&lt;0.01,"ok","err")</f>
        <v>ok</v>
      </c>
    </row>
    <row r="126" spans="1:22">
      <c r="A126" s="153" t="s">
        <v>689</v>
      </c>
      <c r="C126" s="147" t="s">
        <v>91</v>
      </c>
      <c r="D126" s="147" t="s">
        <v>268</v>
      </c>
      <c r="E126" s="147" t="s">
        <v>694</v>
      </c>
      <c r="F126" s="16">
        <f>VLOOKUP(C126,'Functional Assignment'!$C$1:$AR$731,14,)</f>
        <v>13332679.618439533</v>
      </c>
      <c r="G126" s="16">
        <f t="shared" si="38"/>
        <v>12328581.5174719</v>
      </c>
      <c r="H126" s="16">
        <f t="shared" si="38"/>
        <v>991635.17552968604</v>
      </c>
      <c r="I126" s="16">
        <f t="shared" si="38"/>
        <v>10485.687927968567</v>
      </c>
      <c r="J126" s="16">
        <f t="shared" si="38"/>
        <v>52.307870634379384</v>
      </c>
      <c r="K126" s="16">
        <f>(VLOOKUP($E126,$D$6:$AI$660,8,)/VLOOKUP($E126,$D$6:$AI$660,3,))*$F126</f>
        <v>1924.9296393451611</v>
      </c>
      <c r="L126" s="16">
        <f t="shared" si="39"/>
        <v>0</v>
      </c>
      <c r="M126" s="16">
        <f t="shared" si="39"/>
        <v>0</v>
      </c>
      <c r="N126" s="16">
        <f>(VLOOKUP($E126,$D$6:$AI$660,11,)/VLOOKUP($E126,$D$6:$AI$660,3,))*$F126</f>
        <v>0</v>
      </c>
      <c r="O126" s="16">
        <f t="shared" si="40"/>
        <v>0</v>
      </c>
      <c r="P126" s="16">
        <f t="shared" si="40"/>
        <v>0</v>
      </c>
      <c r="Q126" s="16">
        <f t="shared" si="40"/>
        <v>0</v>
      </c>
      <c r="R126" s="16">
        <f>(VLOOKUP($E126,$D$6:$AI$660,15,)/VLOOKUP($E126,$D$6:$AI$660,3,))*$F126</f>
        <v>0</v>
      </c>
      <c r="S126" s="16">
        <f>(VLOOKUP($E126,$D$6:$AI$660,16,)/VLOOKUP($E126,$D$6:$AI$660,3,))*$F126</f>
        <v>0</v>
      </c>
      <c r="T126" s="16">
        <f>(VLOOKUP($E126,$D$6:$AI$660,17,)/VLOOKUP($E126,$D$6:$AI$660,3,))*$F126</f>
        <v>0</v>
      </c>
      <c r="U126" s="155">
        <f>SUM(G126:M126)</f>
        <v>13332679.618439535</v>
      </c>
      <c r="V126" s="140" t="str">
        <f>IF(ABS(F126-U126)&lt;0.01,"ok","err")</f>
        <v>ok</v>
      </c>
    </row>
    <row r="127" spans="1:22">
      <c r="A127" s="153" t="s">
        <v>691</v>
      </c>
      <c r="C127" s="147" t="s">
        <v>91</v>
      </c>
      <c r="D127" s="147" t="s">
        <v>267</v>
      </c>
      <c r="E127" s="147" t="s">
        <v>321</v>
      </c>
      <c r="F127" s="16">
        <f>VLOOKUP(C127,'Functional Assignment'!$C$1:$AR$731,15,)</f>
        <v>1159042.8948385683</v>
      </c>
      <c r="G127" s="16">
        <f t="shared" si="38"/>
        <v>647988.92882263986</v>
      </c>
      <c r="H127" s="16">
        <f t="shared" si="38"/>
        <v>305515.06656224892</v>
      </c>
      <c r="I127" s="16">
        <f t="shared" si="38"/>
        <v>22246.834130652238</v>
      </c>
      <c r="J127" s="16">
        <f t="shared" si="38"/>
        <v>6032.1328178009717</v>
      </c>
      <c r="K127" s="16">
        <f>(VLOOKUP($E127,$D$6:$AI$660,8,)/VLOOKUP($E127,$D$6:$AI$660,3,))*$F127</f>
        <v>172955.63826047315</v>
      </c>
      <c r="L127" s="16">
        <f t="shared" si="39"/>
        <v>4304.2942447533242</v>
      </c>
      <c r="M127" s="16">
        <f t="shared" si="39"/>
        <v>0</v>
      </c>
      <c r="N127" s="16">
        <f>(VLOOKUP($E127,$D$6:$AI$660,11,)/VLOOKUP($E127,$D$6:$AI$660,3,))*$F127</f>
        <v>0</v>
      </c>
      <c r="O127" s="16">
        <f t="shared" si="40"/>
        <v>0</v>
      </c>
      <c r="P127" s="16">
        <f t="shared" si="40"/>
        <v>0</v>
      </c>
      <c r="Q127" s="16">
        <f t="shared" si="40"/>
        <v>0</v>
      </c>
      <c r="R127" s="16"/>
      <c r="S127" s="16"/>
      <c r="T127" s="16"/>
      <c r="U127" s="155"/>
      <c r="V127" s="140"/>
    </row>
    <row r="128" spans="1:22">
      <c r="A128" s="153" t="s">
        <v>688</v>
      </c>
      <c r="C128" s="147" t="s">
        <v>91</v>
      </c>
      <c r="D128" s="147" t="s">
        <v>267</v>
      </c>
      <c r="E128" s="147" t="s">
        <v>322</v>
      </c>
      <c r="F128" s="16">
        <f>VLOOKUP(C128,'Functional Assignment'!$C$1:$AR$731,16,)</f>
        <v>835295.00365783914</v>
      </c>
      <c r="G128" s="16">
        <f t="shared" si="38"/>
        <v>772292.31439352944</v>
      </c>
      <c r="H128" s="16">
        <f t="shared" si="38"/>
        <v>62118.437847738438</v>
      </c>
      <c r="I128" s="16">
        <f t="shared" si="38"/>
        <v>659.47033400034832</v>
      </c>
      <c r="J128" s="16">
        <f t="shared" si="38"/>
        <v>15.0727839624917</v>
      </c>
      <c r="K128" s="16">
        <f>(VLOOKUP($E128,$D$6:$AI$660,8,)/VLOOKUP($E128,$D$6:$AI$660,3,))*$F128</f>
        <v>207.08694487597293</v>
      </c>
      <c r="L128" s="16">
        <f t="shared" si="39"/>
        <v>2.6213537326072518</v>
      </c>
      <c r="M128" s="16">
        <f t="shared" si="39"/>
        <v>0</v>
      </c>
      <c r="N128" s="16">
        <f>(VLOOKUP($E128,$D$6:$AI$660,11,)/VLOOKUP($E128,$D$6:$AI$660,3,))*$F128</f>
        <v>0</v>
      </c>
      <c r="O128" s="16">
        <f t="shared" si="40"/>
        <v>0</v>
      </c>
      <c r="P128" s="16">
        <f t="shared" si="40"/>
        <v>0</v>
      </c>
      <c r="Q128" s="16">
        <f t="shared" si="40"/>
        <v>0</v>
      </c>
      <c r="R128" s="16"/>
      <c r="S128" s="16"/>
      <c r="T128" s="16"/>
      <c r="U128" s="155"/>
      <c r="V128" s="140"/>
    </row>
    <row r="129" spans="1:24">
      <c r="A129" s="147" t="s">
        <v>232</v>
      </c>
      <c r="F129" s="154">
        <f>SUM(F125:F128)</f>
        <v>23291947.012813929</v>
      </c>
      <c r="G129" s="154">
        <f t="shared" ref="G129:Q129" si="41">SUM(G125:G128)</f>
        <v>18806280.378143732</v>
      </c>
      <c r="H129" s="154">
        <f t="shared" si="41"/>
        <v>3693290.2013485534</v>
      </c>
      <c r="I129" s="154">
        <f t="shared" si="41"/>
        <v>199954.610428101</v>
      </c>
      <c r="J129" s="154">
        <f t="shared" si="41"/>
        <v>6099.9741672281025</v>
      </c>
      <c r="K129" s="154">
        <f t="shared" si="41"/>
        <v>582014.93312783027</v>
      </c>
      <c r="L129" s="154">
        <f t="shared" si="41"/>
        <v>4306.9155984859317</v>
      </c>
      <c r="M129" s="154">
        <f t="shared" si="41"/>
        <v>0</v>
      </c>
      <c r="N129" s="154">
        <f t="shared" si="41"/>
        <v>0</v>
      </c>
      <c r="O129" s="154">
        <f t="shared" si="41"/>
        <v>0</v>
      </c>
      <c r="P129" s="154">
        <f t="shared" si="41"/>
        <v>0</v>
      </c>
      <c r="Q129" s="154">
        <f t="shared" si="41"/>
        <v>0</v>
      </c>
      <c r="R129" s="154">
        <f>R125+R126</f>
        <v>0</v>
      </c>
      <c r="S129" s="154">
        <f>S125+S126</f>
        <v>0</v>
      </c>
      <c r="T129" s="154">
        <f>T125+T126</f>
        <v>0</v>
      </c>
      <c r="U129" s="155">
        <f>SUM(G129:M129)</f>
        <v>23291947.012813933</v>
      </c>
      <c r="V129" s="140" t="str">
        <f>IF(ABS(F129-U129)&lt;0.01,"ok","err")</f>
        <v>ok</v>
      </c>
    </row>
    <row r="130" spans="1:24">
      <c r="F130" s="16"/>
      <c r="U130" s="155"/>
    </row>
    <row r="131" spans="1:24">
      <c r="A131" s="141" t="s">
        <v>10</v>
      </c>
      <c r="F131" s="16"/>
      <c r="U131" s="155"/>
    </row>
    <row r="132" spans="1:24">
      <c r="A132" s="153" t="s">
        <v>210</v>
      </c>
      <c r="C132" s="147" t="s">
        <v>91</v>
      </c>
      <c r="D132" s="147" t="s">
        <v>262</v>
      </c>
      <c r="E132" s="147" t="s">
        <v>323</v>
      </c>
      <c r="F132" s="154">
        <f>VLOOKUP(C132,'Functional Assignment'!$C$1:$AR$731,17,)</f>
        <v>5466204.9186358228</v>
      </c>
      <c r="G132" s="154">
        <f>(VLOOKUP($E132,$D$6:$AI$660,G$2,)/VLOOKUP($E132,$D$6:$AI$660,3,))*$F132</f>
        <v>4596225.6086054202</v>
      </c>
      <c r="H132" s="154">
        <f>(VLOOKUP($E132,$D$6:$AI$660,H$2,)/VLOOKUP($E132,$D$6:$AI$660,3,))*$F132</f>
        <v>853728.2828072987</v>
      </c>
      <c r="I132" s="154">
        <f>(VLOOKUP($E132,$D$6:$AI$660,I$2,)/VLOOKUP($E132,$D$6:$AI$660,3,))*$F132</f>
        <v>7947.8619516964864</v>
      </c>
      <c r="J132" s="154">
        <f>(VLOOKUP($E132,$D$6:$AI$660,J$2,)/VLOOKUP($E132,$D$6:$AI$660,3,))*$F132</f>
        <v>2355.9343199320397</v>
      </c>
      <c r="K132" s="154">
        <f>(VLOOKUP($E132,$D$6:$AI$660,8,)/VLOOKUP($E132,$D$6:$AI$660,3,))*$F132</f>
        <v>5816.0420334285154</v>
      </c>
      <c r="L132" s="154">
        <f>(VLOOKUP($E132,$D$6:$AI$660,L$2,)/VLOOKUP($E132,$D$6:$AI$660,3,))*$F132</f>
        <v>131.18891804725976</v>
      </c>
      <c r="M132" s="154">
        <f>(VLOOKUP($E132,$D$6:$AI$660,M$2,)/VLOOKUP($E132,$D$6:$AI$660,3,))*$F132</f>
        <v>0</v>
      </c>
      <c r="N132" s="154">
        <f>(VLOOKUP($E132,$D$6:$AI$660,11,)/VLOOKUP($E132,$D$6:$AI$660,3,))*$F132</f>
        <v>0</v>
      </c>
      <c r="O132" s="154">
        <f>(VLOOKUP($E132,$D$6:$AI$660,O$2,)/VLOOKUP($E132,$D$6:$AI$660,3,))*$F132</f>
        <v>0</v>
      </c>
      <c r="P132" s="154">
        <f>(VLOOKUP($E132,$D$6:$AI$660,P$2,)/VLOOKUP($E132,$D$6:$AI$660,3,))*$F132</f>
        <v>0</v>
      </c>
      <c r="Q132" s="154">
        <f>(VLOOKUP($E132,$D$6:$AI$660,Q$2,)/VLOOKUP($E132,$D$6:$AI$660,3,))*$F132</f>
        <v>0</v>
      </c>
      <c r="R132" s="154">
        <f>(VLOOKUP($E132,$D$6:$AI$660,15,)/VLOOKUP($E132,$D$6:$AI$660,3,))*$F132</f>
        <v>0</v>
      </c>
      <c r="S132" s="154">
        <f>(VLOOKUP($E132,$D$6:$AI$660,16,)/VLOOKUP($E132,$D$6:$AI$660,3,))*$F132</f>
        <v>0</v>
      </c>
      <c r="T132" s="154">
        <f>(VLOOKUP($E132,$D$6:$AI$660,17,)/VLOOKUP($E132,$D$6:$AI$660,3,))*$F132</f>
        <v>0</v>
      </c>
      <c r="U132" s="155">
        <f>SUM(G132:M132)</f>
        <v>5466204.9186358238</v>
      </c>
      <c r="V132" s="140" t="str">
        <f>IF(ABS(F132-U132)&lt;0.01,"ok","err")</f>
        <v>ok</v>
      </c>
    </row>
    <row r="133" spans="1:24">
      <c r="F133" s="16"/>
      <c r="U133" s="155"/>
    </row>
    <row r="134" spans="1:24">
      <c r="A134" s="141" t="s">
        <v>11</v>
      </c>
      <c r="F134" s="16"/>
      <c r="U134" s="155"/>
    </row>
    <row r="135" spans="1:24">
      <c r="A135" s="153" t="s">
        <v>210</v>
      </c>
      <c r="C135" s="147" t="s">
        <v>91</v>
      </c>
      <c r="D135" s="147" t="s">
        <v>216</v>
      </c>
      <c r="E135" s="147" t="s">
        <v>324</v>
      </c>
      <c r="F135" s="154">
        <f>VLOOKUP(C135,'Functional Assignment'!$C$1:$AR$731,18,)</f>
        <v>4047170.0249206591</v>
      </c>
      <c r="G135" s="154">
        <f>(VLOOKUP($E135,$D$6:$AI$660,G$2,)/VLOOKUP($E135,$D$6:$AI$660,3,))*$F135</f>
        <v>2992407.3392796475</v>
      </c>
      <c r="H135" s="154">
        <f>(VLOOKUP($E135,$D$6:$AI$660,H$2,)/VLOOKUP($E135,$D$6:$AI$660,3,))*$F135</f>
        <v>940365.78802708222</v>
      </c>
      <c r="I135" s="154">
        <f>(VLOOKUP($E135,$D$6:$AI$660,I$2,)/VLOOKUP($E135,$D$6:$AI$660,3,))*$F135</f>
        <v>70805.54395326649</v>
      </c>
      <c r="J135" s="154">
        <f>(VLOOKUP($E135,$D$6:$AI$660,J$2,)/VLOOKUP($E135,$D$6:$AI$660,3,))*$F135</f>
        <v>2934.1278872453895</v>
      </c>
      <c r="K135" s="154">
        <f>(VLOOKUP($E135,$D$6:$AI$660,8,)/VLOOKUP($E135,$D$6:$AI$660,3,))*$F135</f>
        <v>40657.225773417129</v>
      </c>
      <c r="L135" s="154">
        <f>(VLOOKUP($E135,$D$6:$AI$660,L$2,)/VLOOKUP($E135,$D$6:$AI$660,3,))*$F135</f>
        <v>0</v>
      </c>
      <c r="M135" s="154">
        <f>(VLOOKUP($E135,$D$6:$AI$660,M$2,)/VLOOKUP($E135,$D$6:$AI$660,3,))*$F135</f>
        <v>0</v>
      </c>
      <c r="N135" s="154">
        <f>(VLOOKUP($E135,$D$6:$AI$660,11,)/VLOOKUP($E135,$D$6:$AI$660,3,))*$F135</f>
        <v>0</v>
      </c>
      <c r="O135" s="154">
        <f>(VLOOKUP($E135,$D$6:$AI$660,O$2,)/VLOOKUP($E135,$D$6:$AI$660,3,))*$F135</f>
        <v>0</v>
      </c>
      <c r="P135" s="154">
        <f>(VLOOKUP($E135,$D$6:$AI$660,P$2,)/VLOOKUP($E135,$D$6:$AI$660,3,))*$F135</f>
        <v>0</v>
      </c>
      <c r="Q135" s="154">
        <f>(VLOOKUP($E135,$D$6:$AI$660,Q$2,)/VLOOKUP($E135,$D$6:$AI$660,3,))*$F135</f>
        <v>0</v>
      </c>
      <c r="R135" s="154">
        <f>(VLOOKUP($E135,$D$6:$AI$660,15,)/VLOOKUP($E135,$D$6:$AI$660,3,))*$F135</f>
        <v>0</v>
      </c>
      <c r="S135" s="154">
        <f>(VLOOKUP($E135,$D$6:$AI$660,16,)/VLOOKUP($E135,$D$6:$AI$660,3,))*$F135</f>
        <v>0</v>
      </c>
      <c r="T135" s="154">
        <f>(VLOOKUP($E135,$D$6:$AI$660,17,)/VLOOKUP($E135,$D$6:$AI$660,3,))*$F135</f>
        <v>0</v>
      </c>
      <c r="U135" s="155">
        <f>SUM(G135:M135)</f>
        <v>4047170.0249206582</v>
      </c>
      <c r="V135" s="140" t="str">
        <f>IF(ABS(F135-U135)&lt;0.01,"ok","err")</f>
        <v>ok</v>
      </c>
    </row>
    <row r="136" spans="1:24">
      <c r="F136" s="16"/>
      <c r="U136" s="155"/>
    </row>
    <row r="137" spans="1:24">
      <c r="A137" s="141" t="s">
        <v>12</v>
      </c>
      <c r="F137" s="16"/>
      <c r="U137" s="155"/>
    </row>
    <row r="138" spans="1:24">
      <c r="A138" s="153" t="s">
        <v>210</v>
      </c>
      <c r="C138" s="147" t="s">
        <v>91</v>
      </c>
      <c r="D138" s="147" t="s">
        <v>269</v>
      </c>
      <c r="E138" s="147" t="s">
        <v>325</v>
      </c>
      <c r="F138" s="154">
        <f>VLOOKUP(C138,'Functional Assignment'!$C$1:$AR$731,19,)</f>
        <v>12561981.229815673</v>
      </c>
      <c r="G138" s="154">
        <f>(VLOOKUP($E138,$D$6:$AI$660,G$2,)/VLOOKUP($E138,$D$6:$AI$660,3,))*$F138</f>
        <v>10778507.751042889</v>
      </c>
      <c r="H138" s="154">
        <f>(VLOOKUP($E138,$D$6:$AI$660,H$2,)/VLOOKUP($E138,$D$6:$AI$660,3,))*$F138</f>
        <v>1733913.574810876</v>
      </c>
      <c r="I138" s="154">
        <f>(VLOOKUP($E138,$D$6:$AI$660,I$2,)/VLOOKUP($E138,$D$6:$AI$660,3,))*$F138</f>
        <v>18407.81262257542</v>
      </c>
      <c r="J138" s="154">
        <f>(VLOOKUP($E138,$D$6:$AI$660,J$2,)/VLOOKUP($E138,$D$6:$AI$660,3,))*$F138</f>
        <v>420.72701162924574</v>
      </c>
      <c r="K138" s="154">
        <f>(VLOOKUP($E138,$D$6:$AI$660,8,)/VLOOKUP($E138,$D$6:$AI$660,3,))*$F138</f>
        <v>28902.116451052534</v>
      </c>
      <c r="L138" s="154">
        <f>(VLOOKUP($E138,$D$6:$AI$660,L$2,)/VLOOKUP($E138,$D$6:$AI$660,3,))*$F138</f>
        <v>1829.2478766488944</v>
      </c>
      <c r="M138" s="154">
        <f>(VLOOKUP($E138,$D$6:$AI$660,M$2,)/VLOOKUP($E138,$D$6:$AI$660,3,))*$F138</f>
        <v>0</v>
      </c>
      <c r="N138" s="154">
        <f>(VLOOKUP($E138,$D$6:$AI$660,11,)/VLOOKUP($E138,$D$6:$AI$660,3,))*$F138</f>
        <v>0</v>
      </c>
      <c r="O138" s="154">
        <f>(VLOOKUP($E138,$D$6:$AI$660,O$2,)/VLOOKUP($E138,$D$6:$AI$660,3,))*$F138</f>
        <v>0</v>
      </c>
      <c r="P138" s="154">
        <f>(VLOOKUP($E138,$D$6:$AI$660,P$2,)/VLOOKUP($E138,$D$6:$AI$660,3,))*$F138</f>
        <v>0</v>
      </c>
      <c r="Q138" s="154">
        <f>(VLOOKUP($E138,$D$6:$AI$660,Q$2,)/VLOOKUP($E138,$D$6:$AI$660,3,))*$F138</f>
        <v>0</v>
      </c>
      <c r="R138" s="154">
        <f>(VLOOKUP($E138,$D$6:$AI$660,15,)/VLOOKUP($E138,$D$6:$AI$660,3,))*$F138</f>
        <v>0</v>
      </c>
      <c r="S138" s="154">
        <f>(VLOOKUP($E138,$D$6:$AI$660,16,)/VLOOKUP($E138,$D$6:$AI$660,3,))*$F138</f>
        <v>0</v>
      </c>
      <c r="T138" s="154">
        <f>(VLOOKUP($E138,$D$6:$AI$660,17,)/VLOOKUP($E138,$D$6:$AI$660,3,))*$F138</f>
        <v>0</v>
      </c>
      <c r="U138" s="155">
        <f>SUM(G138:M138)</f>
        <v>12561981.229815671</v>
      </c>
      <c r="V138" s="140" t="str">
        <f>IF(ABS(F138-U138)&lt;0.01,"ok","err")</f>
        <v>ok</v>
      </c>
    </row>
    <row r="139" spans="1:24">
      <c r="F139" s="16"/>
      <c r="U139" s="155"/>
    </row>
    <row r="140" spans="1:24">
      <c r="A140" s="141" t="s">
        <v>13</v>
      </c>
      <c r="F140" s="16"/>
      <c r="U140" s="155"/>
    </row>
    <row r="141" spans="1:24">
      <c r="A141" s="153" t="s">
        <v>210</v>
      </c>
      <c r="C141" s="147" t="s">
        <v>91</v>
      </c>
      <c r="D141" s="147" t="s">
        <v>215</v>
      </c>
      <c r="E141" s="147" t="s">
        <v>326</v>
      </c>
      <c r="F141" s="154">
        <f>VLOOKUP(C141,'Functional Assignment'!$C$1:$AR$731,20,)</f>
        <v>784048.98473172903</v>
      </c>
      <c r="G141" s="154">
        <f>(VLOOKUP($E141,$D$6:$AI$660,G$2,)/VLOOKUP($E141,$D$6:$AI$660,3,))*$F141</f>
        <v>672734.4918387729</v>
      </c>
      <c r="H141" s="154">
        <f>(VLOOKUP($E141,$D$6:$AI$660,H$2,)/VLOOKUP($E141,$D$6:$AI$660,3,))*$F141</f>
        <v>108221.23939465385</v>
      </c>
      <c r="I141" s="154">
        <f>(VLOOKUP($E141,$D$6:$AI$660,I$2,)/VLOOKUP($E141,$D$6:$AI$660,3,))*$F141</f>
        <v>1148.9132592879969</v>
      </c>
      <c r="J141" s="154">
        <f>(VLOOKUP($E141,$D$6:$AI$660,J$2,)/VLOOKUP($E141,$D$6:$AI$660,3,))*$F141</f>
        <v>26.2594395169276</v>
      </c>
      <c r="K141" s="154">
        <f>(VLOOKUP($E141,$D$6:$AI$660,8,)/VLOOKUP($E141,$D$6:$AI$660,3,))*$F141</f>
        <v>1803.9093233367657</v>
      </c>
      <c r="L141" s="154">
        <f>(VLOOKUP($E141,$D$6:$AI$660,L$2,)/VLOOKUP($E141,$D$6:$AI$660,3,))*$F141</f>
        <v>114.17147616055477</v>
      </c>
      <c r="M141" s="154">
        <f>(VLOOKUP($E141,$D$6:$AI$660,M$2,)/VLOOKUP($E141,$D$6:$AI$660,3,))*$F141</f>
        <v>0</v>
      </c>
      <c r="N141" s="154">
        <f>(VLOOKUP($E141,$D$6:$AI$660,11,)/VLOOKUP($E141,$D$6:$AI$660,3,))*$F141</f>
        <v>0</v>
      </c>
      <c r="O141" s="154">
        <f>(VLOOKUP($E141,$D$6:$AI$660,O$2,)/VLOOKUP($E141,$D$6:$AI$660,3,))*$F141</f>
        <v>0</v>
      </c>
      <c r="P141" s="154">
        <f>(VLOOKUP($E141,$D$6:$AI$660,P$2,)/VLOOKUP($E141,$D$6:$AI$660,3,))*$F141</f>
        <v>0</v>
      </c>
      <c r="Q141" s="154">
        <f>(VLOOKUP($E141,$D$6:$AI$660,Q$2,)/VLOOKUP($E141,$D$6:$AI$660,3,))*$F141</f>
        <v>0</v>
      </c>
      <c r="R141" s="154">
        <f>(VLOOKUP($E141,$D$6:$AI$660,15,)/VLOOKUP($E141,$D$6:$AI$660,3,))*$F141</f>
        <v>0</v>
      </c>
      <c r="S141" s="154">
        <f>(VLOOKUP($E141,$D$6:$AI$660,16,)/VLOOKUP($E141,$D$6:$AI$660,3,))*$F141</f>
        <v>0</v>
      </c>
      <c r="T141" s="154">
        <f>(VLOOKUP($E141,$D$6:$AI$660,17,)/VLOOKUP($E141,$D$6:$AI$660,3,))*$F141</f>
        <v>0</v>
      </c>
      <c r="U141" s="155">
        <f>SUM(G141:M141)</f>
        <v>784048.98473172891</v>
      </c>
      <c r="V141" s="140" t="str">
        <f>IF(ABS(F141-U141)&lt;0.01,"ok","err")</f>
        <v>ok</v>
      </c>
    </row>
    <row r="142" spans="1:24">
      <c r="F142" s="16"/>
      <c r="U142" s="155"/>
    </row>
    <row r="143" spans="1:24">
      <c r="A143" s="147" t="s">
        <v>14</v>
      </c>
      <c r="D143" s="147" t="s">
        <v>299</v>
      </c>
      <c r="F143" s="154">
        <f>F106+F111+F116+F119+F122+F129+F132+F135+F138+F141</f>
        <v>69416767.277806863</v>
      </c>
      <c r="G143" s="154">
        <f t="shared" ref="G143:T143" si="42">G106+G111+G116+G119+G122+G129+G132+G135+G138+G141</f>
        <v>52448152.551797725</v>
      </c>
      <c r="H143" s="154">
        <f t="shared" si="42"/>
        <v>14440988.761191713</v>
      </c>
      <c r="I143" s="154">
        <f t="shared" si="42"/>
        <v>934393.33039841417</v>
      </c>
      <c r="J143" s="154">
        <f t="shared" si="42"/>
        <v>41641.01311996732</v>
      </c>
      <c r="K143" s="154">
        <f t="shared" si="42"/>
        <v>1516584.1501017779</v>
      </c>
      <c r="L143" s="154">
        <f t="shared" si="42"/>
        <v>35007.47119725767</v>
      </c>
      <c r="M143" s="154">
        <f t="shared" si="42"/>
        <v>0</v>
      </c>
      <c r="N143" s="154">
        <f t="shared" si="42"/>
        <v>0</v>
      </c>
      <c r="O143" s="154">
        <f t="shared" si="42"/>
        <v>0</v>
      </c>
      <c r="P143" s="154">
        <f t="shared" si="42"/>
        <v>0</v>
      </c>
      <c r="Q143" s="154">
        <f t="shared" si="42"/>
        <v>0</v>
      </c>
      <c r="R143" s="154">
        <f t="shared" si="42"/>
        <v>0</v>
      </c>
      <c r="S143" s="154">
        <f t="shared" si="42"/>
        <v>0</v>
      </c>
      <c r="T143" s="154">
        <f t="shared" si="42"/>
        <v>0</v>
      </c>
      <c r="U143" s="155">
        <f>SUM(G143:M143)</f>
        <v>69416767.277806863</v>
      </c>
      <c r="V143" s="140" t="str">
        <f>IF(ABS(F143-U143)&lt;0.01,"ok","err")</f>
        <v>ok</v>
      </c>
      <c r="W143" s="155"/>
      <c r="X143" s="140"/>
    </row>
    <row r="144" spans="1:24">
      <c r="U144" s="155"/>
    </row>
    <row r="145" spans="1:23">
      <c r="U145" s="155"/>
    </row>
    <row r="146" spans="1:23">
      <c r="U146" s="155"/>
    </row>
    <row r="147" spans="1:23">
      <c r="A147" s="152" t="s">
        <v>348</v>
      </c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5"/>
      <c r="V147" s="140"/>
    </row>
    <row r="148" spans="1:23"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5"/>
      <c r="V148" s="140"/>
    </row>
    <row r="149" spans="1:23">
      <c r="A149" s="141" t="s">
        <v>461</v>
      </c>
      <c r="U149" s="155"/>
    </row>
    <row r="150" spans="1:23">
      <c r="A150" s="153" t="s">
        <v>209</v>
      </c>
      <c r="C150" s="147" t="s">
        <v>347</v>
      </c>
      <c r="D150" s="147" t="s">
        <v>364</v>
      </c>
      <c r="E150" s="147" t="s">
        <v>313</v>
      </c>
      <c r="F150" s="154">
        <f>VLOOKUP(C150,'Functional Assignment'!$C$1:$AR$731,5,)</f>
        <v>86314.853487113927</v>
      </c>
      <c r="G150" s="154">
        <f t="shared" ref="G150:J151" si="43">(VLOOKUP($E150,$D$6:$AI$660,G$2,)/VLOOKUP($E150,$D$6:$AI$660,3,))*$F150</f>
        <v>48256.254968361754</v>
      </c>
      <c r="H150" s="154">
        <f t="shared" si="43"/>
        <v>22751.951912961136</v>
      </c>
      <c r="I150" s="154">
        <f t="shared" si="43"/>
        <v>1656.7395711500596</v>
      </c>
      <c r="J150" s="154">
        <f t="shared" si="43"/>
        <v>449.21776640183845</v>
      </c>
      <c r="K150" s="154">
        <f>(VLOOKUP($E150,$D$6:$AI$660,8,)/VLOOKUP($E150,$D$6:$AI$660,3,))*$F150</f>
        <v>12880.145025436941</v>
      </c>
      <c r="L150" s="154">
        <f>(VLOOKUP($E150,$D$6:$AI$660,L$2,)/VLOOKUP($E150,$D$6:$AI$660,3,))*$F150</f>
        <v>320.54424280221048</v>
      </c>
      <c r="M150" s="154">
        <f>(VLOOKUP($E150,$D$6:$AI$660,M$2,)/VLOOKUP($E150,$D$6:$AI$660,3,))*$F150</f>
        <v>0</v>
      </c>
      <c r="N150" s="154">
        <f>(VLOOKUP($E150,$D$6:$AI$660,11,)/VLOOKUP($E150,$D$6:$AI$660,3,))*$F150</f>
        <v>0</v>
      </c>
      <c r="O150" s="154">
        <f t="shared" ref="O150:Q151" si="44">(VLOOKUP($E150,$D$6:$AI$660,O$2,)/VLOOKUP($E150,$D$6:$AI$660,3,))*$F150</f>
        <v>0</v>
      </c>
      <c r="P150" s="154">
        <f t="shared" si="44"/>
        <v>0</v>
      </c>
      <c r="Q150" s="154">
        <f t="shared" si="44"/>
        <v>0</v>
      </c>
      <c r="R150" s="154">
        <f>(VLOOKUP($E150,$D$6:$AI$660,15,)/VLOOKUP($E150,$D$6:$AI$660,3,))*$F150</f>
        <v>0</v>
      </c>
      <c r="S150" s="154">
        <f>(VLOOKUP($E150,$D$6:$AI$660,16,)/VLOOKUP($E150,$D$6:$AI$660,3,))*$F150</f>
        <v>0</v>
      </c>
      <c r="T150" s="154">
        <f>(VLOOKUP($E150,$D$6:$AI$660,17,)/VLOOKUP($E150,$D$6:$AI$660,3,))*$F150</f>
        <v>0</v>
      </c>
      <c r="U150" s="155">
        <f>SUM(G150:M150)</f>
        <v>86314.853487113942</v>
      </c>
      <c r="V150" s="140" t="str">
        <f>IF(ABS(F150-U150)&lt;0.01,"ok","err")</f>
        <v>ok</v>
      </c>
    </row>
    <row r="151" spans="1:23">
      <c r="A151" s="153" t="s">
        <v>229</v>
      </c>
      <c r="C151" s="147" t="s">
        <v>347</v>
      </c>
      <c r="D151" s="147" t="s">
        <v>349</v>
      </c>
      <c r="E151" s="147" t="s">
        <v>314</v>
      </c>
      <c r="F151" s="16">
        <f>VLOOKUP(C151,'Functional Assignment'!$C$1:$AR$731,6,)</f>
        <v>648905.3636092568</v>
      </c>
      <c r="G151" s="16">
        <f t="shared" si="43"/>
        <v>292737.02823213913</v>
      </c>
      <c r="H151" s="16">
        <f t="shared" si="43"/>
        <v>152833.08246257278</v>
      </c>
      <c r="I151" s="16">
        <f t="shared" si="43"/>
        <v>19561.026080830536</v>
      </c>
      <c r="J151" s="16">
        <f t="shared" si="43"/>
        <v>5841.8837055625081</v>
      </c>
      <c r="K151" s="16">
        <f>(VLOOKUP($E151,$D$6:$AI$660,8,)/VLOOKUP($E151,$D$6:$AI$660,3,))*$F151</f>
        <v>169244.04870808637</v>
      </c>
      <c r="L151" s="16">
        <f>(VLOOKUP($E151,$D$6:$AI$660,L$2,)/VLOOKUP($E151,$D$6:$AI$660,3,))*$F151</f>
        <v>8688.2944200654711</v>
      </c>
      <c r="M151" s="16">
        <f>(VLOOKUP($E151,$D$6:$AI$660,M$2,)/VLOOKUP($E151,$D$6:$AI$660,3,))*$F151</f>
        <v>0</v>
      </c>
      <c r="N151" s="16">
        <f>(VLOOKUP($E151,$D$6:$AI$660,11,)/VLOOKUP($E151,$D$6:$AI$660,3,))*$F151</f>
        <v>0</v>
      </c>
      <c r="O151" s="16">
        <f t="shared" si="44"/>
        <v>0</v>
      </c>
      <c r="P151" s="16">
        <f t="shared" si="44"/>
        <v>0</v>
      </c>
      <c r="Q151" s="16">
        <f t="shared" si="44"/>
        <v>0</v>
      </c>
      <c r="R151" s="16">
        <f>(VLOOKUP($E151,$D$6:$AI$660,15,)/VLOOKUP($E151,$D$6:$AI$660,3,))*$F151</f>
        <v>0</v>
      </c>
      <c r="S151" s="16">
        <f>(VLOOKUP($E151,$D$6:$AI$660,16,)/VLOOKUP($E151,$D$6:$AI$660,3,))*$F151</f>
        <v>0</v>
      </c>
      <c r="T151" s="16">
        <f>(VLOOKUP($E151,$D$6:$AI$660,17,)/VLOOKUP($E151,$D$6:$AI$660,3,))*$F151</f>
        <v>0</v>
      </c>
      <c r="U151" s="155">
        <f>SUM(G151:M151)</f>
        <v>648905.3636092568</v>
      </c>
      <c r="V151" s="140" t="str">
        <f>IF(ABS(F151-U151)&lt;0.01,"ok","err")</f>
        <v>ok</v>
      </c>
    </row>
    <row r="152" spans="1:23">
      <c r="A152" s="147" t="s">
        <v>667</v>
      </c>
      <c r="D152" s="147" t="s">
        <v>350</v>
      </c>
      <c r="F152" s="154">
        <f t="shared" ref="F152:T152" si="45">F150+F151</f>
        <v>735220.21709637076</v>
      </c>
      <c r="G152" s="154">
        <f t="shared" si="45"/>
        <v>340993.28320050088</v>
      </c>
      <c r="H152" s="154">
        <f t="shared" si="45"/>
        <v>175585.03437553393</v>
      </c>
      <c r="I152" s="154">
        <f t="shared" si="45"/>
        <v>21217.765651980597</v>
      </c>
      <c r="J152" s="154">
        <f t="shared" si="45"/>
        <v>6291.1014719643463</v>
      </c>
      <c r="K152" s="154">
        <f t="shared" si="45"/>
        <v>182124.19373352331</v>
      </c>
      <c r="L152" s="154">
        <f t="shared" si="45"/>
        <v>9008.8386628676817</v>
      </c>
      <c r="M152" s="154">
        <f t="shared" si="45"/>
        <v>0</v>
      </c>
      <c r="N152" s="154">
        <f t="shared" si="45"/>
        <v>0</v>
      </c>
      <c r="O152" s="154">
        <f t="shared" si="45"/>
        <v>0</v>
      </c>
      <c r="P152" s="154">
        <f t="shared" si="45"/>
        <v>0</v>
      </c>
      <c r="Q152" s="154">
        <f t="shared" si="45"/>
        <v>0</v>
      </c>
      <c r="R152" s="154">
        <f t="shared" si="45"/>
        <v>0</v>
      </c>
      <c r="S152" s="154">
        <f t="shared" si="45"/>
        <v>0</v>
      </c>
      <c r="T152" s="154">
        <f t="shared" si="45"/>
        <v>0</v>
      </c>
      <c r="U152" s="155">
        <f>SUM(G152:M152)</f>
        <v>735220.21709637088</v>
      </c>
      <c r="V152" s="140" t="str">
        <f>IF(ABS(F152-U152)&lt;0.01,"ok","err")</f>
        <v>ok</v>
      </c>
    </row>
    <row r="153" spans="1:23">
      <c r="F153" s="16"/>
      <c r="G153" s="16"/>
      <c r="U153" s="155"/>
    </row>
    <row r="154" spans="1:23">
      <c r="A154" s="141" t="s">
        <v>3</v>
      </c>
      <c r="F154" s="16"/>
      <c r="G154" s="16"/>
      <c r="U154" s="155"/>
    </row>
    <row r="155" spans="1:23">
      <c r="A155" s="153" t="s">
        <v>209</v>
      </c>
      <c r="C155" s="147" t="s">
        <v>347</v>
      </c>
      <c r="D155" s="147" t="s">
        <v>351</v>
      </c>
      <c r="E155" s="147" t="s">
        <v>315</v>
      </c>
      <c r="F155" s="154">
        <f>VLOOKUP(C155,'Functional Assignment'!$C$1:$AR$731,7,)</f>
        <v>2292101.2151381527</v>
      </c>
      <c r="G155" s="154">
        <f t="shared" ref="G155:J156" si="46">(VLOOKUP($E155,$D$6:$AI$660,G$2,)/VLOOKUP($E155,$D$6:$AI$660,3,))*$F155</f>
        <v>1510163.2531497537</v>
      </c>
      <c r="H155" s="154">
        <f t="shared" si="46"/>
        <v>722513.47684772557</v>
      </c>
      <c r="I155" s="154">
        <f t="shared" si="46"/>
        <v>59424.485140673401</v>
      </c>
      <c r="J155" s="154">
        <f t="shared" si="46"/>
        <v>0</v>
      </c>
      <c r="K155" s="154">
        <f>(VLOOKUP($E155,$D$6:$AI$660,8,)/VLOOKUP($E155,$D$6:$AI$660,3,))*$F155</f>
        <v>0</v>
      </c>
      <c r="L155" s="154">
        <f>(VLOOKUP($E155,$D$6:$AI$660,L$2,)/VLOOKUP($E155,$D$6:$AI$660,3,))*$F155</f>
        <v>0</v>
      </c>
      <c r="M155" s="154">
        <f>(VLOOKUP($E155,$D$6:$AI$660,M$2,)/VLOOKUP($E155,$D$6:$AI$660,3,))*$F155</f>
        <v>0</v>
      </c>
      <c r="N155" s="154">
        <f>(VLOOKUP($E155,$D$6:$AI$660,11,)/VLOOKUP($E155,$D$6:$AI$660,3,))*$F155</f>
        <v>0</v>
      </c>
      <c r="O155" s="154">
        <f t="shared" ref="O155:Q156" si="47">(VLOOKUP($E155,$D$6:$AI$660,O$2,)/VLOOKUP($E155,$D$6:$AI$660,3,))*$F155</f>
        <v>0</v>
      </c>
      <c r="P155" s="154">
        <f t="shared" si="47"/>
        <v>0</v>
      </c>
      <c r="Q155" s="154">
        <f t="shared" si="47"/>
        <v>0</v>
      </c>
      <c r="R155" s="154">
        <f>(VLOOKUP($E155,$D$6:$AI$660,15,)/VLOOKUP($E155,$D$6:$AI$660,3,))*$F155</f>
        <v>0</v>
      </c>
      <c r="S155" s="154">
        <f>(VLOOKUP($E155,$D$6:$AI$660,16,)/VLOOKUP($E155,$D$6:$AI$660,3,))*$F155</f>
        <v>0</v>
      </c>
      <c r="T155" s="154">
        <f>(VLOOKUP($E155,$D$6:$AI$660,17,)/VLOOKUP($E155,$D$6:$AI$660,3,))*$F155</f>
        <v>0</v>
      </c>
      <c r="U155" s="155">
        <f>SUM(G155:M155)</f>
        <v>2292101.2151381527</v>
      </c>
      <c r="V155" s="140" t="str">
        <f>IF(ABS(F155-U155)&lt;0.01,"ok","err")</f>
        <v>ok</v>
      </c>
    </row>
    <row r="156" spans="1:23">
      <c r="A156" s="147" t="s">
        <v>229</v>
      </c>
      <c r="C156" s="147" t="s">
        <v>347</v>
      </c>
      <c r="D156" s="147" t="s">
        <v>352</v>
      </c>
      <c r="E156" s="147" t="s">
        <v>316</v>
      </c>
      <c r="F156" s="16">
        <f>VLOOKUP(C156,'Functional Assignment'!$C$1:$AR$731,8,)</f>
        <v>2307234.8215756929</v>
      </c>
      <c r="G156" s="16">
        <f t="shared" si="46"/>
        <v>1488788.6598801669</v>
      </c>
      <c r="H156" s="16">
        <f t="shared" si="46"/>
        <v>744088.44607405562</v>
      </c>
      <c r="I156" s="16">
        <f t="shared" si="46"/>
        <v>74357.715621470343</v>
      </c>
      <c r="J156" s="16">
        <f t="shared" si="46"/>
        <v>0</v>
      </c>
      <c r="K156" s="16">
        <f>(VLOOKUP($E156,$D$6:$AI$660,8,)/VLOOKUP($E156,$D$6:$AI$660,3,))*$F156</f>
        <v>0</v>
      </c>
      <c r="L156" s="16">
        <f>(VLOOKUP($E156,$D$6:$AI$660,L$2,)/VLOOKUP($E156,$D$6:$AI$660,3,))*$F156</f>
        <v>0</v>
      </c>
      <c r="M156" s="16">
        <f>(VLOOKUP($E156,$D$6:$AI$660,M$2,)/VLOOKUP($E156,$D$6:$AI$660,3,))*$F156</f>
        <v>0</v>
      </c>
      <c r="N156" s="16">
        <f>(VLOOKUP($E156,$D$6:$AI$660,11,)/VLOOKUP($E156,$D$6:$AI$660,3,))*$F156</f>
        <v>0</v>
      </c>
      <c r="O156" s="16">
        <f t="shared" si="47"/>
        <v>0</v>
      </c>
      <c r="P156" s="16">
        <f t="shared" si="47"/>
        <v>0</v>
      </c>
      <c r="Q156" s="16">
        <f t="shared" si="47"/>
        <v>0</v>
      </c>
      <c r="R156" s="16">
        <f>(VLOOKUP($E156,$D$6:$AI$660,15,)/VLOOKUP($E156,$D$6:$AI$660,3,))*$F156</f>
        <v>0</v>
      </c>
      <c r="S156" s="16">
        <f>(VLOOKUP($E156,$D$6:$AI$660,16,)/VLOOKUP($E156,$D$6:$AI$660,3,))*$F156</f>
        <v>0</v>
      </c>
      <c r="T156" s="16">
        <f>(VLOOKUP($E156,$D$6:$AI$660,17,)/VLOOKUP($E156,$D$6:$AI$660,3,))*$F156</f>
        <v>0</v>
      </c>
      <c r="U156" s="155">
        <f>SUM(G156:M156)</f>
        <v>2307234.8215756929</v>
      </c>
      <c r="V156" s="140" t="str">
        <f>IF(ABS(F156-U156)&lt;0.01,"ok","err")</f>
        <v>ok</v>
      </c>
      <c r="W156" s="156"/>
    </row>
    <row r="157" spans="1:23">
      <c r="A157" s="147" t="s">
        <v>230</v>
      </c>
      <c r="D157" s="147" t="s">
        <v>353</v>
      </c>
      <c r="F157" s="154">
        <f>SUM(F155:F156)</f>
        <v>4599336.036713846</v>
      </c>
      <c r="G157" s="154">
        <f t="shared" ref="G157:T157" si="48">G155+G156</f>
        <v>2998951.9130299203</v>
      </c>
      <c r="H157" s="154">
        <f t="shared" si="48"/>
        <v>1466601.9229217812</v>
      </c>
      <c r="I157" s="154">
        <f t="shared" si="48"/>
        <v>133782.20076214374</v>
      </c>
      <c r="J157" s="154">
        <f t="shared" si="48"/>
        <v>0</v>
      </c>
      <c r="K157" s="154">
        <f t="shared" si="48"/>
        <v>0</v>
      </c>
      <c r="L157" s="154">
        <f t="shared" si="48"/>
        <v>0</v>
      </c>
      <c r="M157" s="154">
        <f t="shared" si="48"/>
        <v>0</v>
      </c>
      <c r="N157" s="154">
        <f t="shared" si="48"/>
        <v>0</v>
      </c>
      <c r="O157" s="154">
        <f t="shared" si="48"/>
        <v>0</v>
      </c>
      <c r="P157" s="154">
        <f t="shared" si="48"/>
        <v>0</v>
      </c>
      <c r="Q157" s="154">
        <f t="shared" si="48"/>
        <v>0</v>
      </c>
      <c r="R157" s="154">
        <f t="shared" si="48"/>
        <v>0</v>
      </c>
      <c r="S157" s="154">
        <f t="shared" si="48"/>
        <v>0</v>
      </c>
      <c r="T157" s="154">
        <f t="shared" si="48"/>
        <v>0</v>
      </c>
      <c r="U157" s="155">
        <f>SUM(G157:M157)</f>
        <v>4599336.0367138451</v>
      </c>
      <c r="V157" s="140" t="str">
        <f>IF(ABS(F157-U157)&lt;0.01,"ok","err")</f>
        <v>ok</v>
      </c>
    </row>
    <row r="158" spans="1:23">
      <c r="F158" s="16"/>
      <c r="G158" s="16"/>
      <c r="U158" s="155"/>
    </row>
    <row r="159" spans="1:23">
      <c r="A159" s="141" t="s">
        <v>4</v>
      </c>
      <c r="F159" s="16"/>
      <c r="G159" s="16"/>
      <c r="U159" s="155"/>
    </row>
    <row r="160" spans="1:23">
      <c r="A160" s="153" t="s">
        <v>209</v>
      </c>
      <c r="C160" s="147" t="s">
        <v>347</v>
      </c>
      <c r="D160" s="147" t="s">
        <v>354</v>
      </c>
      <c r="E160" s="147" t="s">
        <v>317</v>
      </c>
      <c r="F160" s="154">
        <f>VLOOKUP(C160,'Functional Assignment'!$C$1:$AR$731,9,)</f>
        <v>1043943.6519271344</v>
      </c>
      <c r="G160" s="154">
        <f t="shared" ref="G160:J161" si="49">(VLOOKUP($E160,$D$6:$AI$660,G$2,)/VLOOKUP($E160,$D$6:$AI$660,3,))*$F160</f>
        <v>687807.907908767</v>
      </c>
      <c r="H160" s="154">
        <f t="shared" si="49"/>
        <v>329070.70272702759</v>
      </c>
      <c r="I160" s="154">
        <f t="shared" si="49"/>
        <v>27065.04129133984</v>
      </c>
      <c r="J160" s="154">
        <f t="shared" si="49"/>
        <v>0</v>
      </c>
      <c r="K160" s="154">
        <f>(VLOOKUP($E160,$D$6:$AI$660,8,)/VLOOKUP($E160,$D$6:$AI$660,3,))*$F160</f>
        <v>0</v>
      </c>
      <c r="L160" s="154">
        <f>(VLOOKUP($E160,$D$6:$AI$660,L$2,)/VLOOKUP($E160,$D$6:$AI$660,3,))*$F160</f>
        <v>0</v>
      </c>
      <c r="M160" s="154">
        <f>(VLOOKUP($E160,$D$6:$AI$660,M$2,)/VLOOKUP($E160,$D$6:$AI$660,3,))*$F160</f>
        <v>0</v>
      </c>
      <c r="N160" s="154">
        <f>(VLOOKUP($E160,$D$6:$AI$660,11,)/VLOOKUP($E160,$D$6:$AI$660,3,))*$F160</f>
        <v>0</v>
      </c>
      <c r="O160" s="154">
        <f t="shared" ref="O160:Q161" si="50">(VLOOKUP($E160,$D$6:$AI$660,O$2,)/VLOOKUP($E160,$D$6:$AI$660,3,))*$F160</f>
        <v>0</v>
      </c>
      <c r="P160" s="154">
        <f t="shared" si="50"/>
        <v>0</v>
      </c>
      <c r="Q160" s="154">
        <f t="shared" si="50"/>
        <v>0</v>
      </c>
      <c r="R160" s="154">
        <f>(VLOOKUP($E160,$D$6:$AI$660,15,)/VLOOKUP($E160,$D$6:$AI$660,3,))*$F160</f>
        <v>0</v>
      </c>
      <c r="S160" s="154">
        <f>(VLOOKUP($E160,$D$6:$AI$660,16,)/VLOOKUP($E160,$D$6:$AI$660,3,))*$F160</f>
        <v>0</v>
      </c>
      <c r="T160" s="154">
        <f>(VLOOKUP($E160,$D$6:$AI$660,17,)/VLOOKUP($E160,$D$6:$AI$660,3,))*$F160</f>
        <v>0</v>
      </c>
      <c r="U160" s="155">
        <f>SUM(G160:M160)</f>
        <v>1043943.6519271344</v>
      </c>
      <c r="V160" s="140" t="str">
        <f>IF(ABS(F160-U160)&lt;0.01,"ok","err")</f>
        <v>ok</v>
      </c>
    </row>
    <row r="161" spans="1:23">
      <c r="A161" s="147" t="s">
        <v>229</v>
      </c>
      <c r="C161" s="147" t="s">
        <v>347</v>
      </c>
      <c r="D161" s="147" t="s">
        <v>355</v>
      </c>
      <c r="E161" s="147" t="s">
        <v>318</v>
      </c>
      <c r="F161" s="16">
        <f>VLOOKUP(C161,'Functional Assignment'!$C$1:$AR$731,10,)</f>
        <v>0</v>
      </c>
      <c r="G161" s="16">
        <f t="shared" si="49"/>
        <v>0</v>
      </c>
      <c r="H161" s="16">
        <f t="shared" si="49"/>
        <v>0</v>
      </c>
      <c r="I161" s="16">
        <f t="shared" si="49"/>
        <v>0</v>
      </c>
      <c r="J161" s="16">
        <f t="shared" si="49"/>
        <v>0</v>
      </c>
      <c r="K161" s="16">
        <f>(VLOOKUP($E161,$D$6:$AI$660,8,)/VLOOKUP($E161,$D$6:$AI$660,3,))*$F161</f>
        <v>0</v>
      </c>
      <c r="L161" s="16">
        <f>(VLOOKUP($E161,$D$6:$AI$660,L$2,)/VLOOKUP($E161,$D$6:$AI$660,3,))*$F161</f>
        <v>0</v>
      </c>
      <c r="M161" s="16">
        <f>(VLOOKUP($E161,$D$6:$AI$660,M$2,)/VLOOKUP($E161,$D$6:$AI$660,3,))*$F161</f>
        <v>0</v>
      </c>
      <c r="N161" s="16">
        <f>(VLOOKUP($E161,$D$6:$AI$660,11,)/VLOOKUP($E161,$D$6:$AI$660,3,))*$F161</f>
        <v>0</v>
      </c>
      <c r="O161" s="16">
        <f t="shared" si="50"/>
        <v>0</v>
      </c>
      <c r="P161" s="16">
        <f t="shared" si="50"/>
        <v>0</v>
      </c>
      <c r="Q161" s="16">
        <f t="shared" si="50"/>
        <v>0</v>
      </c>
      <c r="R161" s="16">
        <f>(VLOOKUP($E161,$D$6:$AI$660,15,)/VLOOKUP($E161,$D$6:$AI$660,3,))*$F161</f>
        <v>0</v>
      </c>
      <c r="S161" s="16">
        <f>(VLOOKUP($E161,$D$6:$AI$660,16,)/VLOOKUP($E161,$D$6:$AI$660,3,))*$F161</f>
        <v>0</v>
      </c>
      <c r="T161" s="16">
        <f>(VLOOKUP($E161,$D$6:$AI$660,17,)/VLOOKUP($E161,$D$6:$AI$660,3,))*$F161</f>
        <v>0</v>
      </c>
      <c r="U161" s="155">
        <f>SUM(G161:M161)</f>
        <v>0</v>
      </c>
      <c r="V161" s="140" t="str">
        <f>IF(ABS(F161-U161)&lt;0.01,"ok","err")</f>
        <v>ok</v>
      </c>
    </row>
    <row r="162" spans="1:23">
      <c r="A162" s="147" t="s">
        <v>231</v>
      </c>
      <c r="D162" s="147" t="s">
        <v>674</v>
      </c>
      <c r="F162" s="154">
        <f>SUM(F160:F161)</f>
        <v>1043943.6519271344</v>
      </c>
      <c r="G162" s="154">
        <f t="shared" ref="G162:T162" si="51">G160+G161</f>
        <v>687807.907908767</v>
      </c>
      <c r="H162" s="154">
        <f t="shared" si="51"/>
        <v>329070.70272702759</v>
      </c>
      <c r="I162" s="154">
        <f t="shared" si="51"/>
        <v>27065.04129133984</v>
      </c>
      <c r="J162" s="154">
        <f t="shared" si="51"/>
        <v>0</v>
      </c>
      <c r="K162" s="154">
        <f t="shared" si="51"/>
        <v>0</v>
      </c>
      <c r="L162" s="154">
        <f t="shared" si="51"/>
        <v>0</v>
      </c>
      <c r="M162" s="154">
        <f t="shared" si="51"/>
        <v>0</v>
      </c>
      <c r="N162" s="154">
        <f t="shared" si="51"/>
        <v>0</v>
      </c>
      <c r="O162" s="154">
        <f t="shared" si="51"/>
        <v>0</v>
      </c>
      <c r="P162" s="154">
        <f t="shared" si="51"/>
        <v>0</v>
      </c>
      <c r="Q162" s="154">
        <f t="shared" si="51"/>
        <v>0</v>
      </c>
      <c r="R162" s="154">
        <f t="shared" si="51"/>
        <v>0</v>
      </c>
      <c r="S162" s="154">
        <f t="shared" si="51"/>
        <v>0</v>
      </c>
      <c r="T162" s="154">
        <f t="shared" si="51"/>
        <v>0</v>
      </c>
      <c r="U162" s="155">
        <f>SUM(G162:M162)</f>
        <v>1043943.6519271344</v>
      </c>
      <c r="V162" s="140" t="str">
        <f>IF(ABS(F162-U162)&lt;0.01,"ok","err")</f>
        <v>ok</v>
      </c>
    </row>
    <row r="163" spans="1:23">
      <c r="F163" s="16"/>
      <c r="U163" s="155"/>
    </row>
    <row r="164" spans="1:23">
      <c r="A164" s="141" t="s">
        <v>6</v>
      </c>
      <c r="F164" s="16"/>
      <c r="U164" s="155"/>
    </row>
    <row r="165" spans="1:23">
      <c r="A165" s="147" t="s">
        <v>229</v>
      </c>
      <c r="C165" s="147" t="s">
        <v>347</v>
      </c>
      <c r="D165" s="147" t="s">
        <v>357</v>
      </c>
      <c r="E165" s="147" t="s">
        <v>319</v>
      </c>
      <c r="F165" s="154">
        <f>VLOOKUP(C165,'Functional Assignment'!$C$1:$AR$731,11,)</f>
        <v>386884.14566790557</v>
      </c>
      <c r="G165" s="154">
        <f>(VLOOKUP($E165,$D$6:$AI$660,G$2,)/VLOOKUP($E165,$D$6:$AI$660,3,))*$F165</f>
        <v>174532.8693894881</v>
      </c>
      <c r="H165" s="154">
        <f>(VLOOKUP($E165,$D$6:$AI$660,H$2,)/VLOOKUP($E165,$D$6:$AI$660,3,))*$F165</f>
        <v>91120.677766395878</v>
      </c>
      <c r="I165" s="154">
        <f>(VLOOKUP($E165,$D$6:$AI$660,I$2,)/VLOOKUP($E165,$D$6:$AI$660,3,))*$F165</f>
        <v>11662.487764898147</v>
      </c>
      <c r="J165" s="154">
        <f>(VLOOKUP($E165,$D$6:$AI$660,J$2,)/VLOOKUP($E165,$D$6:$AI$660,3,))*$F165</f>
        <v>3482.9919943130026</v>
      </c>
      <c r="K165" s="154">
        <f>(VLOOKUP($E165,$D$6:$AI$660,8,)/VLOOKUP($E165,$D$6:$AI$660,3,))*$F165</f>
        <v>100905.0670033194</v>
      </c>
      <c r="L165" s="154">
        <f>(VLOOKUP($E165,$D$6:$AI$660,L$2,)/VLOOKUP($E165,$D$6:$AI$660,3,))*$F165</f>
        <v>5180.0517494910564</v>
      </c>
      <c r="M165" s="154">
        <f>(VLOOKUP($E165,$D$6:$AI$660,M$2,)/VLOOKUP($E165,$D$6:$AI$660,3,))*$F165</f>
        <v>0</v>
      </c>
      <c r="N165" s="154">
        <f>(VLOOKUP($E165,$D$6:$AI$660,11,)/VLOOKUP($E165,$D$6:$AI$660,3,))*$F165</f>
        <v>0</v>
      </c>
      <c r="O165" s="154">
        <f>(VLOOKUP($E165,$D$6:$AI$660,O$2,)/VLOOKUP($E165,$D$6:$AI$660,3,))*$F165</f>
        <v>0</v>
      </c>
      <c r="P165" s="154">
        <f>(VLOOKUP($E165,$D$6:$AI$660,P$2,)/VLOOKUP($E165,$D$6:$AI$660,3,))*$F165</f>
        <v>0</v>
      </c>
      <c r="Q165" s="154">
        <f>(VLOOKUP($E165,$D$6:$AI$660,Q$2,)/VLOOKUP($E165,$D$6:$AI$660,3,))*$F165</f>
        <v>0</v>
      </c>
      <c r="R165" s="154">
        <f>(VLOOKUP($E165,$D$6:$AI$660,15,)/VLOOKUP($E165,$D$6:$AI$660,3,))*$F165</f>
        <v>0</v>
      </c>
      <c r="S165" s="154">
        <f>(VLOOKUP($E165,$D$6:$AI$660,16,)/VLOOKUP($E165,$D$6:$AI$660,3,))*$F165</f>
        <v>0</v>
      </c>
      <c r="T165" s="154">
        <f>(VLOOKUP($E165,$D$6:$AI$660,17,)/VLOOKUP($E165,$D$6:$AI$660,3,))*$F165</f>
        <v>0</v>
      </c>
      <c r="U165" s="155">
        <f>SUM(G165:M165)</f>
        <v>386884.14566790563</v>
      </c>
      <c r="V165" s="140" t="str">
        <f>IF(ABS(F165-U165)&lt;0.01,"ok","err")</f>
        <v>ok</v>
      </c>
    </row>
    <row r="166" spans="1:23">
      <c r="A166" s="153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55"/>
      <c r="V166" s="140"/>
    </row>
    <row r="167" spans="1:23">
      <c r="A167" s="141" t="s">
        <v>7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55"/>
      <c r="V167" s="140"/>
    </row>
    <row r="168" spans="1:23">
      <c r="A168" s="153" t="s">
        <v>209</v>
      </c>
      <c r="C168" s="147" t="s">
        <v>347</v>
      </c>
      <c r="D168" s="147" t="s">
        <v>358</v>
      </c>
      <c r="E168" s="147" t="s">
        <v>320</v>
      </c>
      <c r="F168" s="154">
        <f>VLOOKUP(C168,'Functional Assignment'!$C$1:$AR$731,12,)</f>
        <v>1379021.3318572263</v>
      </c>
      <c r="G168" s="154">
        <f>(VLOOKUP($E168,$D$6:$AI$660,G$2,)/VLOOKUP($E168,$D$6:$AI$660,3,))*$F168</f>
        <v>770972.80836892035</v>
      </c>
      <c r="H168" s="154">
        <f>(VLOOKUP($E168,$D$6:$AI$660,H$2,)/VLOOKUP($E168,$D$6:$AI$660,3,))*$F168</f>
        <v>363499.74264912953</v>
      </c>
      <c r="I168" s="154">
        <f>(VLOOKUP($E168,$D$6:$AI$660,I$2,)/VLOOKUP($E168,$D$6:$AI$660,3,))*$F168</f>
        <v>26469.131530055929</v>
      </c>
      <c r="J168" s="154">
        <f>(VLOOKUP($E168,$D$6:$AI$660,J$2,)/VLOOKUP($E168,$D$6:$AI$660,3,))*$F168</f>
        <v>7176.9904887792554</v>
      </c>
      <c r="K168" s="154">
        <f>(VLOOKUP($E168,$D$6:$AI$660,8,)/VLOOKUP($E168,$D$6:$AI$660,3,))*$F168</f>
        <v>205781.43888228916</v>
      </c>
      <c r="L168" s="154">
        <f>(VLOOKUP($E168,$D$6:$AI$660,L$2,)/VLOOKUP($E168,$D$6:$AI$660,3,))*$F168</f>
        <v>5121.2199380522934</v>
      </c>
      <c r="M168" s="154">
        <f>(VLOOKUP($E168,$D$6:$AI$660,M$2,)/VLOOKUP($E168,$D$6:$AI$660,3,))*$F168</f>
        <v>0</v>
      </c>
      <c r="N168" s="154">
        <f>(VLOOKUP($E168,$D$6:$AI$660,11,)/VLOOKUP($E168,$D$6:$AI$660,3,))*$F168</f>
        <v>0</v>
      </c>
      <c r="O168" s="154">
        <f>(VLOOKUP($E168,$D$6:$AI$660,O$2,)/VLOOKUP($E168,$D$6:$AI$660,3,))*$F168</f>
        <v>0</v>
      </c>
      <c r="P168" s="154">
        <f>(VLOOKUP($E168,$D$6:$AI$660,P$2,)/VLOOKUP($E168,$D$6:$AI$660,3,))*$F168</f>
        <v>0</v>
      </c>
      <c r="Q168" s="154">
        <f>(VLOOKUP($E168,$D$6:$AI$660,Q$2,)/VLOOKUP($E168,$D$6:$AI$660,3,))*$F168</f>
        <v>0</v>
      </c>
      <c r="R168" s="154">
        <f>(VLOOKUP($E168,$D$6:$AI$660,15,)/VLOOKUP($E168,$D$6:$AI$660,3,))*$F168</f>
        <v>0</v>
      </c>
      <c r="S168" s="154">
        <f>(VLOOKUP($E168,$D$6:$AI$660,16,)/VLOOKUP($E168,$D$6:$AI$660,3,))*$F168</f>
        <v>0</v>
      </c>
      <c r="T168" s="154">
        <f>(VLOOKUP($E168,$D$6:$AI$660,17,)/VLOOKUP($E168,$D$6:$AI$660,3,))*$F168</f>
        <v>0</v>
      </c>
      <c r="U168" s="155">
        <f>SUM(G168:M168)</f>
        <v>1379021.3318572268</v>
      </c>
      <c r="V168" s="140" t="str">
        <f>IF(ABS(F168-U168)&lt;0.01,"ok","err")</f>
        <v>ok</v>
      </c>
    </row>
    <row r="169" spans="1:23">
      <c r="F169" s="16"/>
      <c r="U169" s="155"/>
    </row>
    <row r="170" spans="1:23">
      <c r="A170" s="141" t="s">
        <v>8</v>
      </c>
      <c r="F170" s="16"/>
      <c r="U170" s="155"/>
    </row>
    <row r="171" spans="1:23">
      <c r="A171" s="153" t="s">
        <v>690</v>
      </c>
      <c r="C171" s="147" t="s">
        <v>347</v>
      </c>
      <c r="D171" s="147" t="s">
        <v>359</v>
      </c>
      <c r="E171" s="147" t="s">
        <v>695</v>
      </c>
      <c r="F171" s="154">
        <f>VLOOKUP(C171,'Functional Assignment'!$C$1:$AR$731,13,)</f>
        <v>2854768.646962746</v>
      </c>
      <c r="G171" s="154">
        <f t="shared" ref="G171:J174" si="52">(VLOOKUP($E171,$D$6:$AI$660,G$2,)/VLOOKUP($E171,$D$6:$AI$660,3,))*$F171</f>
        <v>1812666.0451145598</v>
      </c>
      <c r="H171" s="154">
        <f t="shared" si="52"/>
        <v>836553.7277012486</v>
      </c>
      <c r="I171" s="154">
        <f t="shared" si="52"/>
        <v>59698.926395996226</v>
      </c>
      <c r="J171" s="154">
        <f t="shared" si="52"/>
        <v>0.16512100426313475</v>
      </c>
      <c r="K171" s="154">
        <f>(VLOOKUP($E171,$D$6:$AI$660,8,)/VLOOKUP($E171,$D$6:$AI$660,3,))*$F171</f>
        <v>145849.78262993731</v>
      </c>
      <c r="L171" s="154">
        <f t="shared" ref="L171:M174" si="53">(VLOOKUP($E171,$D$6:$AI$660,L$2,)/VLOOKUP($E171,$D$6:$AI$660,3,))*$F171</f>
        <v>0</v>
      </c>
      <c r="M171" s="154">
        <f t="shared" si="53"/>
        <v>0</v>
      </c>
      <c r="N171" s="154">
        <f>(VLOOKUP($E171,$D$6:$AI$660,11,)/VLOOKUP($E171,$D$6:$AI$660,3,))*$F171</f>
        <v>0</v>
      </c>
      <c r="O171" s="154">
        <f t="shared" ref="O171:Q174" si="54">(VLOOKUP($E171,$D$6:$AI$660,O$2,)/VLOOKUP($E171,$D$6:$AI$660,3,))*$F171</f>
        <v>0</v>
      </c>
      <c r="P171" s="154">
        <f t="shared" si="54"/>
        <v>0</v>
      </c>
      <c r="Q171" s="154">
        <f t="shared" si="54"/>
        <v>0</v>
      </c>
      <c r="R171" s="154">
        <f>(VLOOKUP($E171,$D$6:$AI$660,15,)/VLOOKUP($E171,$D$6:$AI$660,3,))*$F171</f>
        <v>0</v>
      </c>
      <c r="S171" s="154">
        <f>(VLOOKUP($E171,$D$6:$AI$660,16,)/VLOOKUP($E171,$D$6:$AI$660,3,))*$F171</f>
        <v>0</v>
      </c>
      <c r="T171" s="154">
        <f>(VLOOKUP($E171,$D$6:$AI$660,17,)/VLOOKUP($E171,$D$6:$AI$660,3,))*$F171</f>
        <v>0</v>
      </c>
      <c r="U171" s="155">
        <f>SUM(G171:M171)</f>
        <v>2854768.6469627465</v>
      </c>
      <c r="V171" s="140" t="str">
        <f>IF(ABS(F171-U171)&lt;0.01,"ok","err")</f>
        <v>ok</v>
      </c>
    </row>
    <row r="172" spans="1:23">
      <c r="A172" s="153" t="s">
        <v>689</v>
      </c>
      <c r="C172" s="147" t="s">
        <v>347</v>
      </c>
      <c r="D172" s="147" t="s">
        <v>360</v>
      </c>
      <c r="E172" s="147" t="s">
        <v>694</v>
      </c>
      <c r="F172" s="16">
        <f>VLOOKUP(C172,'Functional Assignment'!$C$1:$AR$731,14,)</f>
        <v>4778663.2354270192</v>
      </c>
      <c r="G172" s="16">
        <f t="shared" si="52"/>
        <v>4418777.0897177961</v>
      </c>
      <c r="H172" s="16">
        <f t="shared" si="52"/>
        <v>355419.21743219311</v>
      </c>
      <c r="I172" s="16">
        <f t="shared" si="52"/>
        <v>3758.2521168695826</v>
      </c>
      <c r="J172" s="16">
        <f t="shared" si="52"/>
        <v>18.748046565093794</v>
      </c>
      <c r="K172" s="16">
        <f>(VLOOKUP($E172,$D$6:$AI$660,8,)/VLOOKUP($E172,$D$6:$AI$660,3,))*$F172</f>
        <v>689.92811359545169</v>
      </c>
      <c r="L172" s="16">
        <f t="shared" si="53"/>
        <v>0</v>
      </c>
      <c r="M172" s="16">
        <f t="shared" si="53"/>
        <v>0</v>
      </c>
      <c r="N172" s="16">
        <f>(VLOOKUP($E172,$D$6:$AI$660,11,)/VLOOKUP($E172,$D$6:$AI$660,3,))*$F172</f>
        <v>0</v>
      </c>
      <c r="O172" s="16">
        <f t="shared" si="54"/>
        <v>0</v>
      </c>
      <c r="P172" s="16">
        <f t="shared" si="54"/>
        <v>0</v>
      </c>
      <c r="Q172" s="16">
        <f t="shared" si="54"/>
        <v>0</v>
      </c>
      <c r="R172" s="16">
        <f>(VLOOKUP($E172,$D$6:$AI$660,15,)/VLOOKUP($E172,$D$6:$AI$660,3,))*$F172</f>
        <v>0</v>
      </c>
      <c r="S172" s="16">
        <f>(VLOOKUP($E172,$D$6:$AI$660,16,)/VLOOKUP($E172,$D$6:$AI$660,3,))*$F172</f>
        <v>0</v>
      </c>
      <c r="T172" s="16">
        <f>(VLOOKUP($E172,$D$6:$AI$660,17,)/VLOOKUP($E172,$D$6:$AI$660,3,))*$F172</f>
        <v>0</v>
      </c>
      <c r="U172" s="155">
        <f>SUM(G172:M172)</f>
        <v>4778663.2354270192</v>
      </c>
      <c r="V172" s="140" t="str">
        <f>IF(ABS(F172-U172)&lt;0.01,"ok","err")</f>
        <v>ok</v>
      </c>
      <c r="W172" s="156"/>
    </row>
    <row r="173" spans="1:23">
      <c r="A173" s="153" t="s">
        <v>691</v>
      </c>
      <c r="C173" s="147" t="s">
        <v>347</v>
      </c>
      <c r="D173" s="147" t="s">
        <v>360</v>
      </c>
      <c r="E173" s="147" t="s">
        <v>321</v>
      </c>
      <c r="F173" s="16">
        <f>VLOOKUP(C173,'Functional Assignment'!$C$1:$AR$731,15,)</f>
        <v>415421.04275781149</v>
      </c>
      <c r="G173" s="16">
        <f t="shared" si="52"/>
        <v>232250.45225311606</v>
      </c>
      <c r="H173" s="16">
        <f t="shared" si="52"/>
        <v>109501.88995998178</v>
      </c>
      <c r="I173" s="16">
        <f t="shared" si="52"/>
        <v>7973.6505644192084</v>
      </c>
      <c r="J173" s="16">
        <f t="shared" si="52"/>
        <v>2162.020850465171</v>
      </c>
      <c r="K173" s="16">
        <f>(VLOOKUP($E173,$D$6:$AI$660,8,)/VLOOKUP($E173,$D$6:$AI$660,3,))*$F173</f>
        <v>61990.295542095351</v>
      </c>
      <c r="L173" s="16">
        <f t="shared" si="53"/>
        <v>1542.7335877339715</v>
      </c>
      <c r="M173" s="16">
        <f t="shared" si="53"/>
        <v>0</v>
      </c>
      <c r="N173" s="16">
        <f>(VLOOKUP($E173,$D$6:$AI$660,11,)/VLOOKUP($E173,$D$6:$AI$660,3,))*$F173</f>
        <v>0</v>
      </c>
      <c r="O173" s="16">
        <f t="shared" si="54"/>
        <v>0</v>
      </c>
      <c r="P173" s="16">
        <f t="shared" si="54"/>
        <v>0</v>
      </c>
      <c r="Q173" s="16">
        <f t="shared" si="54"/>
        <v>0</v>
      </c>
      <c r="R173" s="16"/>
      <c r="S173" s="16"/>
      <c r="T173" s="16"/>
      <c r="U173" s="155"/>
      <c r="V173" s="140"/>
    </row>
    <row r="174" spans="1:23">
      <c r="A174" s="153" t="s">
        <v>688</v>
      </c>
      <c r="C174" s="147" t="s">
        <v>347</v>
      </c>
      <c r="D174" s="147" t="s">
        <v>360</v>
      </c>
      <c r="E174" s="147" t="s">
        <v>322</v>
      </c>
      <c r="F174" s="16">
        <f>VLOOKUP(C174,'Functional Assignment'!$C$1:$AR$731,16,)</f>
        <v>299384.192746602</v>
      </c>
      <c r="G174" s="16">
        <f t="shared" si="52"/>
        <v>276802.93799988163</v>
      </c>
      <c r="H174" s="16">
        <f t="shared" si="52"/>
        <v>22264.323727887546</v>
      </c>
      <c r="I174" s="16">
        <f t="shared" si="52"/>
        <v>236.36558667349735</v>
      </c>
      <c r="J174" s="16">
        <f t="shared" si="52"/>
        <v>5.4023467628725079</v>
      </c>
      <c r="K174" s="16">
        <f>(VLOOKUP($E174,$D$6:$AI$660,8,)/VLOOKUP($E174,$D$6:$AI$660,3,))*$F174</f>
        <v>74.22354682903098</v>
      </c>
      <c r="L174" s="16">
        <f t="shared" si="53"/>
        <v>0.93953856745608821</v>
      </c>
      <c r="M174" s="16">
        <f t="shared" si="53"/>
        <v>0</v>
      </c>
      <c r="N174" s="16">
        <f>(VLOOKUP($E174,$D$6:$AI$660,11,)/VLOOKUP($E174,$D$6:$AI$660,3,))*$F174</f>
        <v>0</v>
      </c>
      <c r="O174" s="16">
        <f t="shared" si="54"/>
        <v>0</v>
      </c>
      <c r="P174" s="16">
        <f t="shared" si="54"/>
        <v>0</v>
      </c>
      <c r="Q174" s="16">
        <f t="shared" si="54"/>
        <v>0</v>
      </c>
      <c r="R174" s="16"/>
      <c r="S174" s="16"/>
      <c r="T174" s="16"/>
      <c r="U174" s="155"/>
      <c r="V174" s="140"/>
    </row>
    <row r="175" spans="1:23">
      <c r="A175" s="147" t="s">
        <v>232</v>
      </c>
      <c r="F175" s="154">
        <f>SUM(F171:F174)</f>
        <v>8348237.1178941783</v>
      </c>
      <c r="G175" s="154">
        <f t="shared" ref="G175:Q175" si="55">SUM(G171:G174)</f>
        <v>6740496.5250853542</v>
      </c>
      <c r="H175" s="154">
        <f t="shared" si="55"/>
        <v>1323739.1588213108</v>
      </c>
      <c r="I175" s="154">
        <f t="shared" si="55"/>
        <v>71667.194663958508</v>
      </c>
      <c r="J175" s="154">
        <f t="shared" si="55"/>
        <v>2186.3363647974006</v>
      </c>
      <c r="K175" s="154">
        <f t="shared" si="55"/>
        <v>208604.22983245717</v>
      </c>
      <c r="L175" s="154">
        <f t="shared" si="55"/>
        <v>1543.6731263014276</v>
      </c>
      <c r="M175" s="154">
        <f t="shared" si="55"/>
        <v>0</v>
      </c>
      <c r="N175" s="154">
        <f t="shared" si="55"/>
        <v>0</v>
      </c>
      <c r="O175" s="154">
        <f t="shared" si="55"/>
        <v>0</v>
      </c>
      <c r="P175" s="154">
        <f t="shared" si="55"/>
        <v>0</v>
      </c>
      <c r="Q175" s="154">
        <f t="shared" si="55"/>
        <v>0</v>
      </c>
      <c r="R175" s="154">
        <f>R171+R172</f>
        <v>0</v>
      </c>
      <c r="S175" s="154">
        <f>S171+S172</f>
        <v>0</v>
      </c>
      <c r="T175" s="154">
        <f>T171+T172</f>
        <v>0</v>
      </c>
      <c r="U175" s="155">
        <f>SUM(G175:M175)</f>
        <v>8348237.1178941801</v>
      </c>
      <c r="V175" s="140" t="str">
        <f>IF(ABS(F175-U175)&lt;0.01,"ok","err")</f>
        <v>ok</v>
      </c>
      <c r="W175" s="156"/>
    </row>
    <row r="176" spans="1:23">
      <c r="F176" s="16"/>
      <c r="U176" s="155"/>
    </row>
    <row r="177" spans="1:24">
      <c r="A177" s="141" t="s">
        <v>10</v>
      </c>
      <c r="F177" s="16"/>
      <c r="U177" s="155"/>
    </row>
    <row r="178" spans="1:24">
      <c r="A178" s="153" t="s">
        <v>210</v>
      </c>
      <c r="C178" s="147" t="s">
        <v>347</v>
      </c>
      <c r="D178" s="147" t="s">
        <v>352</v>
      </c>
      <c r="E178" s="147" t="s">
        <v>323</v>
      </c>
      <c r="F178" s="154">
        <f>VLOOKUP(C178,'Functional Assignment'!$C$1:$AR$731,17,)</f>
        <v>1369757.303700597</v>
      </c>
      <c r="G178" s="154">
        <f>(VLOOKUP($E178,$D$6:$AI$660,G$2,)/VLOOKUP($E178,$D$6:$AI$660,3,))*$F178</f>
        <v>1151752.2102728249</v>
      </c>
      <c r="H178" s="154">
        <f>(VLOOKUP($E178,$D$6:$AI$660,H$2,)/VLOOKUP($E178,$D$6:$AI$660,3,))*$F178</f>
        <v>213932.80496387032</v>
      </c>
      <c r="I178" s="154">
        <f>(VLOOKUP($E178,$D$6:$AI$660,I$2,)/VLOOKUP($E178,$D$6:$AI$660,3,))*$F178</f>
        <v>1991.627119580668</v>
      </c>
      <c r="J178" s="154">
        <f>(VLOOKUP($E178,$D$6:$AI$660,J$2,)/VLOOKUP($E178,$D$6:$AI$660,3,))*$F178</f>
        <v>590.36539789495737</v>
      </c>
      <c r="K178" s="154">
        <f>(VLOOKUP($E178,$D$6:$AI$660,8,)/VLOOKUP($E178,$D$6:$AI$660,3,))*$F178</f>
        <v>1457.4217711374354</v>
      </c>
      <c r="L178" s="154">
        <f>(VLOOKUP($E178,$D$6:$AI$660,L$2,)/VLOOKUP($E178,$D$6:$AI$660,3,))*$F178</f>
        <v>32.874175288814328</v>
      </c>
      <c r="M178" s="154">
        <f>(VLOOKUP($E178,$D$6:$AI$660,M$2,)/VLOOKUP($E178,$D$6:$AI$660,3,))*$F178</f>
        <v>0</v>
      </c>
      <c r="N178" s="154">
        <f>(VLOOKUP($E178,$D$6:$AI$660,11,)/VLOOKUP($E178,$D$6:$AI$660,3,))*$F178</f>
        <v>0</v>
      </c>
      <c r="O178" s="154">
        <f>(VLOOKUP($E178,$D$6:$AI$660,O$2,)/VLOOKUP($E178,$D$6:$AI$660,3,))*$F178</f>
        <v>0</v>
      </c>
      <c r="P178" s="154">
        <f>(VLOOKUP($E178,$D$6:$AI$660,P$2,)/VLOOKUP($E178,$D$6:$AI$660,3,))*$F178</f>
        <v>0</v>
      </c>
      <c r="Q178" s="154">
        <f>(VLOOKUP($E178,$D$6:$AI$660,Q$2,)/VLOOKUP($E178,$D$6:$AI$660,3,))*$F178</f>
        <v>0</v>
      </c>
      <c r="R178" s="154">
        <f>(VLOOKUP($E178,$D$6:$AI$660,15,)/VLOOKUP($E178,$D$6:$AI$660,3,))*$F178</f>
        <v>0</v>
      </c>
      <c r="S178" s="154">
        <f>(VLOOKUP($E178,$D$6:$AI$660,16,)/VLOOKUP($E178,$D$6:$AI$660,3,))*$F178</f>
        <v>0</v>
      </c>
      <c r="T178" s="154">
        <f>(VLOOKUP($E178,$D$6:$AI$660,17,)/VLOOKUP($E178,$D$6:$AI$660,3,))*$F178</f>
        <v>0</v>
      </c>
      <c r="U178" s="155">
        <f>SUM(G178:M178)</f>
        <v>1369757.3037005973</v>
      </c>
      <c r="V178" s="140" t="str">
        <f>IF(ABS(F178-U178)&lt;0.01,"ok","err")</f>
        <v>ok</v>
      </c>
      <c r="W178" s="156"/>
    </row>
    <row r="179" spans="1:24">
      <c r="F179" s="16"/>
      <c r="U179" s="155"/>
    </row>
    <row r="180" spans="1:24">
      <c r="A180" s="141" t="s">
        <v>11</v>
      </c>
      <c r="F180" s="16"/>
      <c r="U180" s="155"/>
    </row>
    <row r="181" spans="1:24">
      <c r="A181" s="153" t="s">
        <v>210</v>
      </c>
      <c r="C181" s="147" t="s">
        <v>347</v>
      </c>
      <c r="D181" s="147" t="s">
        <v>361</v>
      </c>
      <c r="E181" s="147" t="s">
        <v>324</v>
      </c>
      <c r="F181" s="154">
        <f>VLOOKUP(C181,'Functional Assignment'!$C$1:$AR$731,18,)</f>
        <v>1400874.1276890817</v>
      </c>
      <c r="G181" s="154">
        <f>(VLOOKUP($E181,$D$6:$AI$660,G$2,)/VLOOKUP($E181,$D$6:$AI$660,3,))*$F181</f>
        <v>1035782.039126454</v>
      </c>
      <c r="H181" s="154">
        <f>(VLOOKUP($E181,$D$6:$AI$660,H$2,)/VLOOKUP($E181,$D$6:$AI$660,3,))*$F181</f>
        <v>325495.12249288807</v>
      </c>
      <c r="I181" s="154">
        <f>(VLOOKUP($E181,$D$6:$AI$660,I$2,)/VLOOKUP($E181,$D$6:$AI$660,3,))*$F181</f>
        <v>24508.39821661005</v>
      </c>
      <c r="J181" s="154">
        <f>(VLOOKUP($E181,$D$6:$AI$660,J$2,)/VLOOKUP($E181,$D$6:$AI$660,3,))*$F181</f>
        <v>1015.6093811881976</v>
      </c>
      <c r="K181" s="154">
        <f>(VLOOKUP($E181,$D$6:$AI$660,8,)/VLOOKUP($E181,$D$6:$AI$660,3,))*$F181</f>
        <v>14072.958471941227</v>
      </c>
      <c r="L181" s="154">
        <f>(VLOOKUP($E181,$D$6:$AI$660,L$2,)/VLOOKUP($E181,$D$6:$AI$660,3,))*$F181</f>
        <v>0</v>
      </c>
      <c r="M181" s="154">
        <f>(VLOOKUP($E181,$D$6:$AI$660,M$2,)/VLOOKUP($E181,$D$6:$AI$660,3,))*$F181</f>
        <v>0</v>
      </c>
      <c r="N181" s="154">
        <f>(VLOOKUP($E181,$D$6:$AI$660,11,)/VLOOKUP($E181,$D$6:$AI$660,3,))*$F181</f>
        <v>0</v>
      </c>
      <c r="O181" s="154">
        <f>(VLOOKUP($E181,$D$6:$AI$660,O$2,)/VLOOKUP($E181,$D$6:$AI$660,3,))*$F181</f>
        <v>0</v>
      </c>
      <c r="P181" s="154">
        <f>(VLOOKUP($E181,$D$6:$AI$660,P$2,)/VLOOKUP($E181,$D$6:$AI$660,3,))*$F181</f>
        <v>0</v>
      </c>
      <c r="Q181" s="154">
        <f>(VLOOKUP($E181,$D$6:$AI$660,Q$2,)/VLOOKUP($E181,$D$6:$AI$660,3,))*$F181</f>
        <v>0</v>
      </c>
      <c r="R181" s="154">
        <f>(VLOOKUP($E181,$D$6:$AI$660,15,)/VLOOKUP($E181,$D$6:$AI$660,3,))*$F181</f>
        <v>0</v>
      </c>
      <c r="S181" s="154">
        <f>(VLOOKUP($E181,$D$6:$AI$660,16,)/VLOOKUP($E181,$D$6:$AI$660,3,))*$F181</f>
        <v>0</v>
      </c>
      <c r="T181" s="154">
        <f>(VLOOKUP($E181,$D$6:$AI$660,17,)/VLOOKUP($E181,$D$6:$AI$660,3,))*$F181</f>
        <v>0</v>
      </c>
      <c r="U181" s="155">
        <f>SUM(G181:M181)</f>
        <v>1400874.1276890817</v>
      </c>
      <c r="V181" s="140" t="str">
        <f>IF(ABS(F181-U181)&lt;0.01,"ok","err")</f>
        <v>ok</v>
      </c>
    </row>
    <row r="182" spans="1:24">
      <c r="F182" s="16"/>
      <c r="U182" s="155"/>
    </row>
    <row r="183" spans="1:24">
      <c r="A183" s="141" t="s">
        <v>12</v>
      </c>
      <c r="F183" s="16"/>
      <c r="U183" s="155"/>
    </row>
    <row r="184" spans="1:24">
      <c r="A184" s="153" t="s">
        <v>210</v>
      </c>
      <c r="C184" s="147" t="s">
        <v>347</v>
      </c>
      <c r="D184" s="147" t="s">
        <v>362</v>
      </c>
      <c r="E184" s="147" t="s">
        <v>325</v>
      </c>
      <c r="F184" s="154">
        <f>VLOOKUP(C184,'Functional Assignment'!$C$1:$AR$731,19,)</f>
        <v>4356151.6234059818</v>
      </c>
      <c r="G184" s="154">
        <f>(VLOOKUP($E184,$D$6:$AI$660,G$2,)/VLOOKUP($E184,$D$6:$AI$660,3,))*$F184</f>
        <v>3737691.7843307746</v>
      </c>
      <c r="H184" s="154">
        <f>(VLOOKUP($E184,$D$6:$AI$660,H$2,)/VLOOKUP($E184,$D$6:$AI$660,3,))*$F184</f>
        <v>601273.81943786726</v>
      </c>
      <c r="I184" s="154">
        <f>(VLOOKUP($E184,$D$6:$AI$660,I$2,)/VLOOKUP($E184,$D$6:$AI$660,3,))*$F184</f>
        <v>6383.3261149015152</v>
      </c>
      <c r="J184" s="154">
        <f>(VLOOKUP($E184,$D$6:$AI$660,J$2,)/VLOOKUP($E184,$D$6:$AI$660,3,))*$F184</f>
        <v>145.89662420203911</v>
      </c>
      <c r="K184" s="154">
        <f>(VLOOKUP($E184,$D$6:$AI$660,8,)/VLOOKUP($E184,$D$6:$AI$660,3,))*$F184</f>
        <v>10022.463749531382</v>
      </c>
      <c r="L184" s="154">
        <f>(VLOOKUP($E184,$D$6:$AI$660,L$2,)/VLOOKUP($E184,$D$6:$AI$660,3,))*$F184</f>
        <v>634.33314870451773</v>
      </c>
      <c r="M184" s="154">
        <f>(VLOOKUP($E184,$D$6:$AI$660,M$2,)/VLOOKUP($E184,$D$6:$AI$660,3,))*$F184</f>
        <v>0</v>
      </c>
      <c r="N184" s="154">
        <f>(VLOOKUP($E184,$D$6:$AI$660,11,)/VLOOKUP($E184,$D$6:$AI$660,3,))*$F184</f>
        <v>0</v>
      </c>
      <c r="O184" s="154">
        <f>(VLOOKUP($E184,$D$6:$AI$660,O$2,)/VLOOKUP($E184,$D$6:$AI$660,3,))*$F184</f>
        <v>0</v>
      </c>
      <c r="P184" s="154">
        <f>(VLOOKUP($E184,$D$6:$AI$660,P$2,)/VLOOKUP($E184,$D$6:$AI$660,3,))*$F184</f>
        <v>0</v>
      </c>
      <c r="Q184" s="154">
        <f>(VLOOKUP($E184,$D$6:$AI$660,Q$2,)/VLOOKUP($E184,$D$6:$AI$660,3,))*$F184</f>
        <v>0</v>
      </c>
      <c r="R184" s="154">
        <f>(VLOOKUP($E184,$D$6:$AI$660,15,)/VLOOKUP($E184,$D$6:$AI$660,3,))*$F184</f>
        <v>0</v>
      </c>
      <c r="S184" s="154">
        <f>(VLOOKUP($E184,$D$6:$AI$660,16,)/VLOOKUP($E184,$D$6:$AI$660,3,))*$F184</f>
        <v>0</v>
      </c>
      <c r="T184" s="154">
        <f>(VLOOKUP($E184,$D$6:$AI$660,17,)/VLOOKUP($E184,$D$6:$AI$660,3,))*$F184</f>
        <v>0</v>
      </c>
      <c r="U184" s="155">
        <f>SUM(G184:M184)</f>
        <v>4356151.6234059818</v>
      </c>
      <c r="V184" s="140" t="str">
        <f>IF(ABS(F184-U184)&lt;0.01,"ok","err")</f>
        <v>ok</v>
      </c>
    </row>
    <row r="185" spans="1:24">
      <c r="F185" s="16"/>
      <c r="U185" s="155"/>
    </row>
    <row r="186" spans="1:24">
      <c r="A186" s="141" t="s">
        <v>13</v>
      </c>
      <c r="F186" s="16"/>
      <c r="U186" s="155"/>
    </row>
    <row r="187" spans="1:24">
      <c r="A187" s="153" t="s">
        <v>210</v>
      </c>
      <c r="C187" s="147" t="s">
        <v>347</v>
      </c>
      <c r="D187" s="147" t="s">
        <v>363</v>
      </c>
      <c r="E187" s="147" t="s">
        <v>326</v>
      </c>
      <c r="F187" s="154">
        <f>VLOOKUP(C187,'Functional Assignment'!$C$1:$AR$731,20,)</f>
        <v>373944.46404767863</v>
      </c>
      <c r="G187" s="154">
        <f>(VLOOKUP($E187,$D$6:$AI$660,G$2,)/VLOOKUP($E187,$D$6:$AI$660,3,))*$F187</f>
        <v>320854.1097506978</v>
      </c>
      <c r="H187" s="154">
        <f>(VLOOKUP($E187,$D$6:$AI$660,H$2,)/VLOOKUP($E187,$D$6:$AI$660,3,))*$F187</f>
        <v>51615.057416158998</v>
      </c>
      <c r="I187" s="154">
        <f>(VLOOKUP($E187,$D$6:$AI$660,I$2,)/VLOOKUP($E187,$D$6:$AI$660,3,))*$F187</f>
        <v>547.96289689568846</v>
      </c>
      <c r="J187" s="154">
        <f>(VLOOKUP($E187,$D$6:$AI$660,J$2,)/VLOOKUP($E187,$D$6:$AI$660,3,))*$F187</f>
        <v>12.524181814621951</v>
      </c>
      <c r="K187" s="154">
        <f>(VLOOKUP($E187,$D$6:$AI$660,8,)/VLOOKUP($E187,$D$6:$AI$660,3,))*$F187</f>
        <v>860.35683770011667</v>
      </c>
      <c r="L187" s="154">
        <f>(VLOOKUP($E187,$D$6:$AI$660,L$2,)/VLOOKUP($E187,$D$6:$AI$660,3,))*$F187</f>
        <v>54.452964411399783</v>
      </c>
      <c r="M187" s="154">
        <f>(VLOOKUP($E187,$D$6:$AI$660,M$2,)/VLOOKUP($E187,$D$6:$AI$660,3,))*$F187</f>
        <v>0</v>
      </c>
      <c r="N187" s="154">
        <f>(VLOOKUP($E187,$D$6:$AI$660,11,)/VLOOKUP($E187,$D$6:$AI$660,3,))*$F187</f>
        <v>0</v>
      </c>
      <c r="O187" s="154">
        <f>(VLOOKUP($E187,$D$6:$AI$660,O$2,)/VLOOKUP($E187,$D$6:$AI$660,3,))*$F187</f>
        <v>0</v>
      </c>
      <c r="P187" s="154">
        <f>(VLOOKUP($E187,$D$6:$AI$660,P$2,)/VLOOKUP($E187,$D$6:$AI$660,3,))*$F187</f>
        <v>0</v>
      </c>
      <c r="Q187" s="154">
        <f>(VLOOKUP($E187,$D$6:$AI$660,Q$2,)/VLOOKUP($E187,$D$6:$AI$660,3,))*$F187</f>
        <v>0</v>
      </c>
      <c r="R187" s="154">
        <f>(VLOOKUP($E187,$D$6:$AI$660,15,)/VLOOKUP($E187,$D$6:$AI$660,3,))*$F187</f>
        <v>0</v>
      </c>
      <c r="S187" s="154">
        <f>(VLOOKUP($E187,$D$6:$AI$660,16,)/VLOOKUP($E187,$D$6:$AI$660,3,))*$F187</f>
        <v>0</v>
      </c>
      <c r="T187" s="154">
        <f>(VLOOKUP($E187,$D$6:$AI$660,17,)/VLOOKUP($E187,$D$6:$AI$660,3,))*$F187</f>
        <v>0</v>
      </c>
      <c r="U187" s="155">
        <f>SUM(G187:M187)</f>
        <v>373944.46404767869</v>
      </c>
      <c r="V187" s="140" t="str">
        <f>IF(ABS(F187-U187)&lt;0.01,"ok","err")</f>
        <v>ok</v>
      </c>
    </row>
    <row r="188" spans="1:24">
      <c r="F188" s="16"/>
      <c r="U188" s="155"/>
    </row>
    <row r="189" spans="1:24">
      <c r="A189" s="147" t="s">
        <v>14</v>
      </c>
      <c r="D189" s="147" t="s">
        <v>356</v>
      </c>
      <c r="F189" s="154">
        <f>F152+F157+F162+F165+F168+F175+F178+F181+F184+F187</f>
        <v>23993370.02</v>
      </c>
      <c r="G189" s="154">
        <f t="shared" ref="G189:T189" si="56">G152+G157+G162+G165+G168+G175+G178+G181+G184+G187</f>
        <v>17959835.450463705</v>
      </c>
      <c r="H189" s="154">
        <f t="shared" si="56"/>
        <v>4941934.043571963</v>
      </c>
      <c r="I189" s="154">
        <f t="shared" si="56"/>
        <v>325295.13601236476</v>
      </c>
      <c r="J189" s="154">
        <f t="shared" si="56"/>
        <v>20901.815904953823</v>
      </c>
      <c r="K189" s="154">
        <f t="shared" si="56"/>
        <v>723828.13028189912</v>
      </c>
      <c r="L189" s="154">
        <f t="shared" si="56"/>
        <v>21575.44376511719</v>
      </c>
      <c r="M189" s="154">
        <f t="shared" si="56"/>
        <v>0</v>
      </c>
      <c r="N189" s="154">
        <f t="shared" si="56"/>
        <v>0</v>
      </c>
      <c r="O189" s="154">
        <f t="shared" si="56"/>
        <v>0</v>
      </c>
      <c r="P189" s="154">
        <f t="shared" si="56"/>
        <v>0</v>
      </c>
      <c r="Q189" s="154">
        <f t="shared" si="56"/>
        <v>0</v>
      </c>
      <c r="R189" s="154">
        <f t="shared" si="56"/>
        <v>0</v>
      </c>
      <c r="S189" s="154">
        <f t="shared" si="56"/>
        <v>0</v>
      </c>
      <c r="T189" s="154">
        <f t="shared" si="56"/>
        <v>0</v>
      </c>
      <c r="U189" s="155">
        <f>SUM(G189:M189)</f>
        <v>23993370.020000003</v>
      </c>
      <c r="V189" s="140" t="str">
        <f>IF(ABS(F189-U189)&lt;0.01,"ok","err")</f>
        <v>ok</v>
      </c>
      <c r="W189" s="155"/>
      <c r="X189" s="140"/>
    </row>
    <row r="190" spans="1:24">
      <c r="U190" s="155"/>
    </row>
    <row r="191" spans="1:24">
      <c r="U191" s="155"/>
    </row>
    <row r="192" spans="1:24"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5"/>
      <c r="V192" s="140"/>
    </row>
    <row r="193" spans="1:22">
      <c r="U193" s="155"/>
    </row>
    <row r="194" spans="1:22">
      <c r="A194" s="152" t="s">
        <v>174</v>
      </c>
      <c r="U194" s="155"/>
    </row>
    <row r="195" spans="1:22">
      <c r="U195" s="155"/>
    </row>
    <row r="196" spans="1:22">
      <c r="A196" s="141" t="s">
        <v>461</v>
      </c>
      <c r="U196" s="155"/>
    </row>
    <row r="197" spans="1:22">
      <c r="A197" s="153" t="s">
        <v>209</v>
      </c>
      <c r="C197" s="147" t="s">
        <v>205</v>
      </c>
      <c r="D197" s="147" t="s">
        <v>283</v>
      </c>
      <c r="E197" s="147" t="s">
        <v>313</v>
      </c>
      <c r="F197" s="154">
        <f>VLOOKUP(C197,'Functional Assignment'!$C$1:$AR$731,5,)</f>
        <v>0</v>
      </c>
      <c r="G197" s="154">
        <f t="shared" ref="G197:J198" si="57">(VLOOKUP($E197,$D$6:$AI$660,G$2,)/VLOOKUP($E197,$D$6:$AI$660,3,))*$F197</f>
        <v>0</v>
      </c>
      <c r="H197" s="154">
        <f t="shared" si="57"/>
        <v>0</v>
      </c>
      <c r="I197" s="154">
        <f t="shared" si="57"/>
        <v>0</v>
      </c>
      <c r="J197" s="154">
        <f t="shared" si="57"/>
        <v>0</v>
      </c>
      <c r="K197" s="154">
        <f>(VLOOKUP($E197,$D$6:$AI$660,8,)/VLOOKUP($E197,$D$6:$AI$660,3,))*$F197</f>
        <v>0</v>
      </c>
      <c r="L197" s="154">
        <f>(VLOOKUP($E197,$D$6:$AI$660,L$2,)/VLOOKUP($E197,$D$6:$AI$660,3,))*$F197</f>
        <v>0</v>
      </c>
      <c r="M197" s="154">
        <f>(VLOOKUP($E197,$D$6:$AI$660,M$2,)/VLOOKUP($E197,$D$6:$AI$660,3,))*$F197</f>
        <v>0</v>
      </c>
      <c r="N197" s="154">
        <f>(VLOOKUP($E197,$D$6:$AI$660,11,)/VLOOKUP($E197,$D$6:$AI$660,3,))*$F197</f>
        <v>0</v>
      </c>
      <c r="O197" s="154">
        <f t="shared" ref="O197:Q198" si="58">(VLOOKUP($E197,$D$6:$AI$660,O$2,)/VLOOKUP($E197,$D$6:$AI$660,3,))*$F197</f>
        <v>0</v>
      </c>
      <c r="P197" s="154">
        <f t="shared" si="58"/>
        <v>0</v>
      </c>
      <c r="Q197" s="154">
        <f t="shared" si="58"/>
        <v>0</v>
      </c>
      <c r="R197" s="154">
        <f>(VLOOKUP($E197,$D$6:$AI$660,15,)/VLOOKUP($E197,$D$6:$AI$660,3,))*$F197</f>
        <v>0</v>
      </c>
      <c r="S197" s="154">
        <f>(VLOOKUP($E197,$D$6:$AI$660,16,)/VLOOKUP($E197,$D$6:$AI$660,3,))*$F197</f>
        <v>0</v>
      </c>
      <c r="T197" s="154">
        <f>(VLOOKUP($E197,$D$6:$AI$660,17,)/VLOOKUP($E197,$D$6:$AI$660,3,))*$F197</f>
        <v>0</v>
      </c>
      <c r="U197" s="155">
        <f>SUM(G197:M197)</f>
        <v>0</v>
      </c>
      <c r="V197" s="140" t="str">
        <f>IF(ABS(F197-U197)&lt;0.01,"ok","err")</f>
        <v>ok</v>
      </c>
    </row>
    <row r="198" spans="1:22">
      <c r="A198" s="153" t="s">
        <v>229</v>
      </c>
      <c r="C198" s="147" t="s">
        <v>205</v>
      </c>
      <c r="D198" s="147" t="s">
        <v>271</v>
      </c>
      <c r="E198" s="147" t="s">
        <v>314</v>
      </c>
      <c r="F198" s="16">
        <f>VLOOKUP(C198,'Functional Assignment'!$C$1:$AR$731,6,)</f>
        <v>0</v>
      </c>
      <c r="G198" s="16">
        <f t="shared" si="57"/>
        <v>0</v>
      </c>
      <c r="H198" s="16">
        <f t="shared" si="57"/>
        <v>0</v>
      </c>
      <c r="I198" s="16">
        <f t="shared" si="57"/>
        <v>0</v>
      </c>
      <c r="J198" s="16">
        <f t="shared" si="57"/>
        <v>0</v>
      </c>
      <c r="K198" s="16">
        <f>(VLOOKUP($E198,$D$6:$AI$660,8,)/VLOOKUP($E198,$D$6:$AI$660,3,))*$F198</f>
        <v>0</v>
      </c>
      <c r="L198" s="16">
        <f>(VLOOKUP($E198,$D$6:$AI$660,L$2,)/VLOOKUP($E198,$D$6:$AI$660,3,))*$F198</f>
        <v>0</v>
      </c>
      <c r="M198" s="16">
        <f>(VLOOKUP($E198,$D$6:$AI$660,M$2,)/VLOOKUP($E198,$D$6:$AI$660,3,))*$F198</f>
        <v>0</v>
      </c>
      <c r="N198" s="16">
        <f>(VLOOKUP($E198,$D$6:$AI$660,11,)/VLOOKUP($E198,$D$6:$AI$660,3,))*$F198</f>
        <v>0</v>
      </c>
      <c r="O198" s="16">
        <f t="shared" si="58"/>
        <v>0</v>
      </c>
      <c r="P198" s="16">
        <f t="shared" si="58"/>
        <v>0</v>
      </c>
      <c r="Q198" s="16">
        <f t="shared" si="58"/>
        <v>0</v>
      </c>
      <c r="R198" s="16">
        <f>(VLOOKUP($E198,$D$6:$AI$660,15,)/VLOOKUP($E198,$D$6:$AI$660,3,))*$F198</f>
        <v>0</v>
      </c>
      <c r="S198" s="16">
        <f>(VLOOKUP($E198,$D$6:$AI$660,16,)/VLOOKUP($E198,$D$6:$AI$660,3,))*$F198</f>
        <v>0</v>
      </c>
      <c r="T198" s="16">
        <f>(VLOOKUP($E198,$D$6:$AI$660,17,)/VLOOKUP($E198,$D$6:$AI$660,3,))*$F198</f>
        <v>0</v>
      </c>
      <c r="U198" s="155">
        <f>SUM(G198:M198)</f>
        <v>0</v>
      </c>
      <c r="V198" s="140" t="str">
        <f>IF(ABS(F198-U198)&lt;0.01,"ok","err")</f>
        <v>ok</v>
      </c>
    </row>
    <row r="199" spans="1:22">
      <c r="A199" s="147" t="s">
        <v>667</v>
      </c>
      <c r="D199" s="147" t="s">
        <v>341</v>
      </c>
      <c r="F199" s="154">
        <f t="shared" ref="F199:T199" si="59">F197+F198</f>
        <v>0</v>
      </c>
      <c r="G199" s="154">
        <f t="shared" si="59"/>
        <v>0</v>
      </c>
      <c r="H199" s="154">
        <f t="shared" si="59"/>
        <v>0</v>
      </c>
      <c r="I199" s="154">
        <f t="shared" si="59"/>
        <v>0</v>
      </c>
      <c r="J199" s="154">
        <f t="shared" si="59"/>
        <v>0</v>
      </c>
      <c r="K199" s="154">
        <f t="shared" si="59"/>
        <v>0</v>
      </c>
      <c r="L199" s="154">
        <f t="shared" si="59"/>
        <v>0</v>
      </c>
      <c r="M199" s="154">
        <f t="shared" si="59"/>
        <v>0</v>
      </c>
      <c r="N199" s="154">
        <f t="shared" si="59"/>
        <v>0</v>
      </c>
      <c r="O199" s="154">
        <f t="shared" si="59"/>
        <v>0</v>
      </c>
      <c r="P199" s="154">
        <f t="shared" si="59"/>
        <v>0</v>
      </c>
      <c r="Q199" s="154">
        <f t="shared" si="59"/>
        <v>0</v>
      </c>
      <c r="R199" s="154">
        <f t="shared" si="59"/>
        <v>0</v>
      </c>
      <c r="S199" s="154">
        <f t="shared" si="59"/>
        <v>0</v>
      </c>
      <c r="T199" s="154">
        <f t="shared" si="59"/>
        <v>0</v>
      </c>
      <c r="U199" s="155">
        <f>SUM(G199:M199)</f>
        <v>0</v>
      </c>
      <c r="V199" s="140" t="str">
        <f>IF(ABS(F199-U199)&lt;0.01,"ok","err")</f>
        <v>ok</v>
      </c>
    </row>
    <row r="200" spans="1:22">
      <c r="F200" s="16"/>
      <c r="G200" s="16"/>
      <c r="U200" s="155"/>
    </row>
    <row r="201" spans="1:22">
      <c r="A201" s="141" t="s">
        <v>3</v>
      </c>
      <c r="F201" s="16"/>
      <c r="G201" s="16"/>
      <c r="U201" s="155"/>
    </row>
    <row r="202" spans="1:22">
      <c r="A202" s="153" t="s">
        <v>209</v>
      </c>
      <c r="C202" s="147" t="s">
        <v>205</v>
      </c>
      <c r="D202" s="147" t="s">
        <v>272</v>
      </c>
      <c r="E202" s="147" t="s">
        <v>315</v>
      </c>
      <c r="F202" s="154">
        <f>VLOOKUP(C202,'Functional Assignment'!$C$1:$AR$731,7,)</f>
        <v>4167849.8657019786</v>
      </c>
      <c r="G202" s="154">
        <f t="shared" ref="G202:J203" si="60">(VLOOKUP($E202,$D$6:$AI$660,G$2,)/VLOOKUP($E202,$D$6:$AI$660,3,))*$F202</f>
        <v>2746010.3726042896</v>
      </c>
      <c r="H202" s="154">
        <f t="shared" si="60"/>
        <v>1313784.7829578328</v>
      </c>
      <c r="I202" s="154">
        <f t="shared" si="60"/>
        <v>108054.71013985603</v>
      </c>
      <c r="J202" s="154">
        <f t="shared" si="60"/>
        <v>0</v>
      </c>
      <c r="K202" s="154">
        <f>(VLOOKUP($E202,$D$6:$AI$660,8,)/VLOOKUP($E202,$D$6:$AI$660,3,))*$F202</f>
        <v>0</v>
      </c>
      <c r="L202" s="154">
        <f>(VLOOKUP($E202,$D$6:$AI$660,L$2,)/VLOOKUP($E202,$D$6:$AI$660,3,))*$F202</f>
        <v>0</v>
      </c>
      <c r="M202" s="154">
        <f>(VLOOKUP($E202,$D$6:$AI$660,M$2,)/VLOOKUP($E202,$D$6:$AI$660,3,))*$F202</f>
        <v>0</v>
      </c>
      <c r="N202" s="154">
        <f>(VLOOKUP($E202,$D$6:$AI$660,11,)/VLOOKUP($E202,$D$6:$AI$660,3,))*$F202</f>
        <v>0</v>
      </c>
      <c r="O202" s="154">
        <f t="shared" ref="O202:Q203" si="61">(VLOOKUP($E202,$D$6:$AI$660,O$2,)/VLOOKUP($E202,$D$6:$AI$660,3,))*$F202</f>
        <v>0</v>
      </c>
      <c r="P202" s="154">
        <f t="shared" si="61"/>
        <v>0</v>
      </c>
      <c r="Q202" s="154">
        <f t="shared" si="61"/>
        <v>0</v>
      </c>
      <c r="R202" s="154">
        <f>(VLOOKUP($E202,$D$6:$AI$660,15,)/VLOOKUP($E202,$D$6:$AI$660,3,))*$F202</f>
        <v>0</v>
      </c>
      <c r="S202" s="154">
        <f>(VLOOKUP($E202,$D$6:$AI$660,16,)/VLOOKUP($E202,$D$6:$AI$660,3,))*$F202</f>
        <v>0</v>
      </c>
      <c r="T202" s="154">
        <f>(VLOOKUP($E202,$D$6:$AI$660,17,)/VLOOKUP($E202,$D$6:$AI$660,3,))*$F202</f>
        <v>0</v>
      </c>
      <c r="U202" s="155">
        <f>SUM(G202:M202)</f>
        <v>4167849.8657019786</v>
      </c>
      <c r="V202" s="140" t="str">
        <f>IF(ABS(F202-U202)&lt;0.01,"ok","err")</f>
        <v>ok</v>
      </c>
    </row>
    <row r="203" spans="1:22">
      <c r="A203" s="147" t="s">
        <v>229</v>
      </c>
      <c r="C203" s="147" t="s">
        <v>205</v>
      </c>
      <c r="D203" s="147" t="s">
        <v>273</v>
      </c>
      <c r="E203" s="147" t="s">
        <v>316</v>
      </c>
      <c r="F203" s="16">
        <f>VLOOKUP(C203,'Functional Assignment'!$C$1:$AR$731,8,)</f>
        <v>0</v>
      </c>
      <c r="G203" s="16">
        <f t="shared" si="60"/>
        <v>0</v>
      </c>
      <c r="H203" s="16">
        <f t="shared" si="60"/>
        <v>0</v>
      </c>
      <c r="I203" s="16">
        <f t="shared" si="60"/>
        <v>0</v>
      </c>
      <c r="J203" s="16">
        <f t="shared" si="60"/>
        <v>0</v>
      </c>
      <c r="K203" s="16">
        <f>(VLOOKUP($E203,$D$6:$AI$660,8,)/VLOOKUP($E203,$D$6:$AI$660,3,))*$F203</f>
        <v>0</v>
      </c>
      <c r="L203" s="16">
        <f>(VLOOKUP($E203,$D$6:$AI$660,L$2,)/VLOOKUP($E203,$D$6:$AI$660,3,))*$F203</f>
        <v>0</v>
      </c>
      <c r="M203" s="16">
        <f>(VLOOKUP($E203,$D$6:$AI$660,M$2,)/VLOOKUP($E203,$D$6:$AI$660,3,))*$F203</f>
        <v>0</v>
      </c>
      <c r="N203" s="16">
        <f>(VLOOKUP($E203,$D$6:$AI$660,11,)/VLOOKUP($E203,$D$6:$AI$660,3,))*$F203</f>
        <v>0</v>
      </c>
      <c r="O203" s="16">
        <f t="shared" si="61"/>
        <v>0</v>
      </c>
      <c r="P203" s="16">
        <f t="shared" si="61"/>
        <v>0</v>
      </c>
      <c r="Q203" s="16">
        <f t="shared" si="61"/>
        <v>0</v>
      </c>
      <c r="R203" s="16">
        <f>(VLOOKUP($E203,$D$6:$AI$660,15,)/VLOOKUP($E203,$D$6:$AI$660,3,))*$F203</f>
        <v>0</v>
      </c>
      <c r="S203" s="16">
        <f>(VLOOKUP($E203,$D$6:$AI$660,16,)/VLOOKUP($E203,$D$6:$AI$660,3,))*$F203</f>
        <v>0</v>
      </c>
      <c r="T203" s="16">
        <f>(VLOOKUP($E203,$D$6:$AI$660,17,)/VLOOKUP($E203,$D$6:$AI$660,3,))*$F203</f>
        <v>0</v>
      </c>
      <c r="U203" s="155">
        <f>SUM(G203:M203)</f>
        <v>0</v>
      </c>
      <c r="V203" s="140" t="str">
        <f>IF(ABS(F203-U203)&lt;0.01,"ok","err")</f>
        <v>ok</v>
      </c>
    </row>
    <row r="204" spans="1:22">
      <c r="A204" s="147" t="s">
        <v>230</v>
      </c>
      <c r="D204" s="147" t="s">
        <v>342</v>
      </c>
      <c r="F204" s="154">
        <f>SUM(F202:F203)</f>
        <v>4167849.8657019786</v>
      </c>
      <c r="G204" s="154">
        <f t="shared" ref="G204:T204" si="62">G202+G203</f>
        <v>2746010.3726042896</v>
      </c>
      <c r="H204" s="154">
        <f t="shared" si="62"/>
        <v>1313784.7829578328</v>
      </c>
      <c r="I204" s="154">
        <f t="shared" si="62"/>
        <v>108054.71013985603</v>
      </c>
      <c r="J204" s="154">
        <f t="shared" si="62"/>
        <v>0</v>
      </c>
      <c r="K204" s="154">
        <f t="shared" si="62"/>
        <v>0</v>
      </c>
      <c r="L204" s="154">
        <f t="shared" si="62"/>
        <v>0</v>
      </c>
      <c r="M204" s="154">
        <f t="shared" si="62"/>
        <v>0</v>
      </c>
      <c r="N204" s="154">
        <f t="shared" si="62"/>
        <v>0</v>
      </c>
      <c r="O204" s="154">
        <f t="shared" si="62"/>
        <v>0</v>
      </c>
      <c r="P204" s="154">
        <f t="shared" si="62"/>
        <v>0</v>
      </c>
      <c r="Q204" s="154">
        <f t="shared" si="62"/>
        <v>0</v>
      </c>
      <c r="R204" s="154">
        <f t="shared" si="62"/>
        <v>0</v>
      </c>
      <c r="S204" s="154">
        <f t="shared" si="62"/>
        <v>0</v>
      </c>
      <c r="T204" s="154">
        <f t="shared" si="62"/>
        <v>0</v>
      </c>
      <c r="U204" s="155">
        <f>SUM(G204:M204)</f>
        <v>4167849.8657019786</v>
      </c>
      <c r="V204" s="140" t="str">
        <f>IF(ABS(F204-U204)&lt;0.01,"ok","err")</f>
        <v>ok</v>
      </c>
    </row>
    <row r="205" spans="1:22">
      <c r="F205" s="16"/>
      <c r="G205" s="16"/>
      <c r="U205" s="155"/>
    </row>
    <row r="206" spans="1:22">
      <c r="A206" s="141" t="s">
        <v>4</v>
      </c>
      <c r="F206" s="16"/>
      <c r="G206" s="16"/>
      <c r="U206" s="155"/>
    </row>
    <row r="207" spans="1:22">
      <c r="A207" s="153" t="s">
        <v>209</v>
      </c>
      <c r="C207" s="147" t="s">
        <v>205</v>
      </c>
      <c r="D207" s="147" t="s">
        <v>274</v>
      </c>
      <c r="E207" s="147" t="s">
        <v>317</v>
      </c>
      <c r="F207" s="154">
        <f>VLOOKUP(C207,'Functional Assignment'!$C$1:$AR$731,9,)</f>
        <v>853348.58437127585</v>
      </c>
      <c r="G207" s="154">
        <f t="shared" ref="G207:J208" si="63">(VLOOKUP($E207,$D$6:$AI$660,G$2,)/VLOOKUP($E207,$D$6:$AI$660,3,))*$F207</f>
        <v>562233.31925034081</v>
      </c>
      <c r="H207" s="154">
        <f t="shared" si="63"/>
        <v>268991.54739988799</v>
      </c>
      <c r="I207" s="154">
        <f t="shared" si="63"/>
        <v>22123.717721047113</v>
      </c>
      <c r="J207" s="154">
        <f t="shared" si="63"/>
        <v>0</v>
      </c>
      <c r="K207" s="154">
        <f>(VLOOKUP($E207,$D$6:$AI$660,8,)/VLOOKUP($E207,$D$6:$AI$660,3,))*$F207</f>
        <v>0</v>
      </c>
      <c r="L207" s="154">
        <f>(VLOOKUP($E207,$D$6:$AI$660,L$2,)/VLOOKUP($E207,$D$6:$AI$660,3,))*$F207</f>
        <v>0</v>
      </c>
      <c r="M207" s="154">
        <f>(VLOOKUP($E207,$D$6:$AI$660,M$2,)/VLOOKUP($E207,$D$6:$AI$660,3,))*$F207</f>
        <v>0</v>
      </c>
      <c r="N207" s="154">
        <f>(VLOOKUP($E207,$D$6:$AI$660,11,)/VLOOKUP($E207,$D$6:$AI$660,3,))*$F207</f>
        <v>0</v>
      </c>
      <c r="O207" s="154">
        <f t="shared" ref="O207:Q208" si="64">(VLOOKUP($E207,$D$6:$AI$660,O$2,)/VLOOKUP($E207,$D$6:$AI$660,3,))*$F207</f>
        <v>0</v>
      </c>
      <c r="P207" s="154">
        <f t="shared" si="64"/>
        <v>0</v>
      </c>
      <c r="Q207" s="154">
        <f t="shared" si="64"/>
        <v>0</v>
      </c>
      <c r="R207" s="154">
        <f>(VLOOKUP($E207,$D$6:$AI$660,15,)/VLOOKUP($E207,$D$6:$AI$660,3,))*$F207</f>
        <v>0</v>
      </c>
      <c r="S207" s="154">
        <f>(VLOOKUP($E207,$D$6:$AI$660,16,)/VLOOKUP($E207,$D$6:$AI$660,3,))*$F207</f>
        <v>0</v>
      </c>
      <c r="T207" s="154">
        <f>(VLOOKUP($E207,$D$6:$AI$660,17,)/VLOOKUP($E207,$D$6:$AI$660,3,))*$F207</f>
        <v>0</v>
      </c>
      <c r="U207" s="155">
        <f>SUM(G207:M207)</f>
        <v>853348.58437127597</v>
      </c>
      <c r="V207" s="140" t="str">
        <f>IF(ABS(F207-U207)&lt;0.01,"ok","err")</f>
        <v>ok</v>
      </c>
    </row>
    <row r="208" spans="1:22">
      <c r="A208" s="147" t="s">
        <v>229</v>
      </c>
      <c r="C208" s="147" t="s">
        <v>205</v>
      </c>
      <c r="D208" s="147" t="s">
        <v>275</v>
      </c>
      <c r="E208" s="147" t="s">
        <v>318</v>
      </c>
      <c r="F208" s="16">
        <f>VLOOKUP(C208,'Functional Assignment'!$C$1:$AR$731,10,)</f>
        <v>0</v>
      </c>
      <c r="G208" s="16">
        <f t="shared" si="63"/>
        <v>0</v>
      </c>
      <c r="H208" s="16">
        <f t="shared" si="63"/>
        <v>0</v>
      </c>
      <c r="I208" s="16">
        <f t="shared" si="63"/>
        <v>0</v>
      </c>
      <c r="J208" s="16">
        <f t="shared" si="63"/>
        <v>0</v>
      </c>
      <c r="K208" s="16">
        <f>(VLOOKUP($E208,$D$6:$AI$660,8,)/VLOOKUP($E208,$D$6:$AI$660,3,))*$F208</f>
        <v>0</v>
      </c>
      <c r="L208" s="16">
        <f>(VLOOKUP($E208,$D$6:$AI$660,L$2,)/VLOOKUP($E208,$D$6:$AI$660,3,))*$F208</f>
        <v>0</v>
      </c>
      <c r="M208" s="16">
        <f>(VLOOKUP($E208,$D$6:$AI$660,M$2,)/VLOOKUP($E208,$D$6:$AI$660,3,))*$F208</f>
        <v>0</v>
      </c>
      <c r="N208" s="16">
        <f>(VLOOKUP($E208,$D$6:$AI$660,11,)/VLOOKUP($E208,$D$6:$AI$660,3,))*$F208</f>
        <v>0</v>
      </c>
      <c r="O208" s="16">
        <f t="shared" si="64"/>
        <v>0</v>
      </c>
      <c r="P208" s="16">
        <f t="shared" si="64"/>
        <v>0</v>
      </c>
      <c r="Q208" s="16">
        <f t="shared" si="64"/>
        <v>0</v>
      </c>
      <c r="R208" s="16">
        <f>(VLOOKUP($E208,$D$6:$AI$660,15,)/VLOOKUP($E208,$D$6:$AI$660,3,))*$F208</f>
        <v>0</v>
      </c>
      <c r="S208" s="16">
        <f>(VLOOKUP($E208,$D$6:$AI$660,16,)/VLOOKUP($E208,$D$6:$AI$660,3,))*$F208</f>
        <v>0</v>
      </c>
      <c r="T208" s="16">
        <f>(VLOOKUP($E208,$D$6:$AI$660,17,)/VLOOKUP($E208,$D$6:$AI$660,3,))*$F208</f>
        <v>0</v>
      </c>
      <c r="U208" s="155">
        <f>SUM(G208:M208)</f>
        <v>0</v>
      </c>
      <c r="V208" s="140" t="str">
        <f>IF(ABS(F208-U208)&lt;0.01,"ok","err")</f>
        <v>ok</v>
      </c>
    </row>
    <row r="209" spans="1:23">
      <c r="A209" s="147" t="s">
        <v>231</v>
      </c>
      <c r="D209" s="147" t="s">
        <v>343</v>
      </c>
      <c r="F209" s="154">
        <f>SUM(F207:F208)</f>
        <v>853348.58437127585</v>
      </c>
      <c r="G209" s="154">
        <f t="shared" ref="G209:T209" si="65">G207+G208</f>
        <v>562233.31925034081</v>
      </c>
      <c r="H209" s="154">
        <f t="shared" si="65"/>
        <v>268991.54739988799</v>
      </c>
      <c r="I209" s="154">
        <f t="shared" si="65"/>
        <v>22123.717721047113</v>
      </c>
      <c r="J209" s="154">
        <f t="shared" si="65"/>
        <v>0</v>
      </c>
      <c r="K209" s="154">
        <f t="shared" si="65"/>
        <v>0</v>
      </c>
      <c r="L209" s="154">
        <f t="shared" si="65"/>
        <v>0</v>
      </c>
      <c r="M209" s="154">
        <f t="shared" si="65"/>
        <v>0</v>
      </c>
      <c r="N209" s="154">
        <f t="shared" si="65"/>
        <v>0</v>
      </c>
      <c r="O209" s="154">
        <f t="shared" si="65"/>
        <v>0</v>
      </c>
      <c r="P209" s="154">
        <f t="shared" si="65"/>
        <v>0</v>
      </c>
      <c r="Q209" s="154">
        <f t="shared" si="65"/>
        <v>0</v>
      </c>
      <c r="R209" s="154">
        <f t="shared" si="65"/>
        <v>0</v>
      </c>
      <c r="S209" s="154">
        <f t="shared" si="65"/>
        <v>0</v>
      </c>
      <c r="T209" s="154">
        <f t="shared" si="65"/>
        <v>0</v>
      </c>
      <c r="U209" s="155">
        <f>SUM(G209:M209)</f>
        <v>853348.58437127597</v>
      </c>
      <c r="V209" s="140" t="str">
        <f>IF(ABS(F209-U209)&lt;0.01,"ok","err")</f>
        <v>ok</v>
      </c>
    </row>
    <row r="210" spans="1:23">
      <c r="F210" s="16"/>
      <c r="U210" s="155"/>
    </row>
    <row r="211" spans="1:23">
      <c r="A211" s="141" t="s">
        <v>6</v>
      </c>
      <c r="F211" s="16"/>
      <c r="U211" s="155"/>
    </row>
    <row r="212" spans="1:23">
      <c r="A212" s="147" t="s">
        <v>229</v>
      </c>
      <c r="C212" s="147" t="s">
        <v>205</v>
      </c>
      <c r="D212" s="147" t="s">
        <v>276</v>
      </c>
      <c r="E212" s="147" t="s">
        <v>319</v>
      </c>
      <c r="F212" s="154">
        <f>VLOOKUP(C212,'Functional Assignment'!$C$1:$AR$731,11,)</f>
        <v>0</v>
      </c>
      <c r="G212" s="154">
        <f>(VLOOKUP($E212,$D$6:$AI$660,G$2,)/VLOOKUP($E212,$D$6:$AI$660,3,))*$F212</f>
        <v>0</v>
      </c>
      <c r="H212" s="154">
        <f>(VLOOKUP($E212,$D$6:$AI$660,H$2,)/VLOOKUP($E212,$D$6:$AI$660,3,))*$F212</f>
        <v>0</v>
      </c>
      <c r="I212" s="154">
        <f>(VLOOKUP($E212,$D$6:$AI$660,I$2,)/VLOOKUP($E212,$D$6:$AI$660,3,))*$F212</f>
        <v>0</v>
      </c>
      <c r="J212" s="154">
        <f>(VLOOKUP($E212,$D$6:$AI$660,J$2,)/VLOOKUP($E212,$D$6:$AI$660,3,))*$F212</f>
        <v>0</v>
      </c>
      <c r="K212" s="154">
        <f>(VLOOKUP($E212,$D$6:$AI$660,8,)/VLOOKUP($E212,$D$6:$AI$660,3,))*$F212</f>
        <v>0</v>
      </c>
      <c r="L212" s="154">
        <f>(VLOOKUP($E212,$D$6:$AI$660,L$2,)/VLOOKUP($E212,$D$6:$AI$660,3,))*$F212</f>
        <v>0</v>
      </c>
      <c r="M212" s="154">
        <f>(VLOOKUP($E212,$D$6:$AI$660,M$2,)/VLOOKUP($E212,$D$6:$AI$660,3,))*$F212</f>
        <v>0</v>
      </c>
      <c r="N212" s="154">
        <f>(VLOOKUP($E212,$D$6:$AI$660,11,)/VLOOKUP($E212,$D$6:$AI$660,3,))*$F212</f>
        <v>0</v>
      </c>
      <c r="O212" s="154">
        <f>(VLOOKUP($E212,$D$6:$AI$660,O$2,)/VLOOKUP($E212,$D$6:$AI$660,3,))*$F212</f>
        <v>0</v>
      </c>
      <c r="P212" s="154">
        <f>(VLOOKUP($E212,$D$6:$AI$660,P$2,)/VLOOKUP($E212,$D$6:$AI$660,3,))*$F212</f>
        <v>0</v>
      </c>
      <c r="Q212" s="154">
        <f>(VLOOKUP($E212,$D$6:$AI$660,Q$2,)/VLOOKUP($E212,$D$6:$AI$660,3,))*$F212</f>
        <v>0</v>
      </c>
      <c r="R212" s="154">
        <f>(VLOOKUP($E212,$D$6:$AI$660,15,)/VLOOKUP($E212,$D$6:$AI$660,3,))*$F212</f>
        <v>0</v>
      </c>
      <c r="S212" s="154">
        <f>(VLOOKUP($E212,$D$6:$AI$660,16,)/VLOOKUP($E212,$D$6:$AI$660,3,))*$F212</f>
        <v>0</v>
      </c>
      <c r="T212" s="154">
        <f>(VLOOKUP($E212,$D$6:$AI$660,17,)/VLOOKUP($E212,$D$6:$AI$660,3,))*$F212</f>
        <v>0</v>
      </c>
      <c r="U212" s="155">
        <f>SUM(G212:M212)</f>
        <v>0</v>
      </c>
      <c r="V212" s="140" t="str">
        <f>IF(ABS(F212-U212)&lt;0.01,"ok","err")</f>
        <v>ok</v>
      </c>
    </row>
    <row r="213" spans="1:23">
      <c r="A213" s="153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55"/>
      <c r="V213" s="140"/>
    </row>
    <row r="214" spans="1:23">
      <c r="A214" s="141" t="s">
        <v>7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55"/>
      <c r="V214" s="140"/>
    </row>
    <row r="215" spans="1:23">
      <c r="A215" s="153" t="s">
        <v>209</v>
      </c>
      <c r="C215" s="147" t="s">
        <v>205</v>
      </c>
      <c r="D215" s="147" t="s">
        <v>277</v>
      </c>
      <c r="E215" s="147" t="s">
        <v>320</v>
      </c>
      <c r="F215" s="154">
        <f>VLOOKUP(C215,'Functional Assignment'!$C$1:$AR$731,12,)</f>
        <v>876517.16116854222</v>
      </c>
      <c r="G215" s="154">
        <f>(VLOOKUP($E215,$D$6:$AI$660,G$2,)/VLOOKUP($E215,$D$6:$AI$660,3,))*$F215</f>
        <v>490036.58008651377</v>
      </c>
      <c r="H215" s="154">
        <f>(VLOOKUP($E215,$D$6:$AI$660,H$2,)/VLOOKUP($E215,$D$6:$AI$660,3,))*$F215</f>
        <v>231043.3893602</v>
      </c>
      <c r="I215" s="154">
        <f>(VLOOKUP($E215,$D$6:$AI$660,I$2,)/VLOOKUP($E215,$D$6:$AI$660,3,))*$F215</f>
        <v>16823.995025570352</v>
      </c>
      <c r="J215" s="154">
        <f>(VLOOKUP($E215,$D$6:$AI$660,J$2,)/VLOOKUP($E215,$D$6:$AI$660,3,))*$F215</f>
        <v>4561.7534577845963</v>
      </c>
      <c r="K215" s="154">
        <f>(VLOOKUP($E215,$D$6:$AI$660,8,)/VLOOKUP($E215,$D$6:$AI$660,3,))*$F215</f>
        <v>130796.35424302214</v>
      </c>
      <c r="L215" s="154">
        <f>(VLOOKUP($E215,$D$6:$AI$660,L$2,)/VLOOKUP($E215,$D$6:$AI$660,3,))*$F215</f>
        <v>3255.0889954515042</v>
      </c>
      <c r="M215" s="154">
        <f>(VLOOKUP($E215,$D$6:$AI$660,M$2,)/VLOOKUP($E215,$D$6:$AI$660,3,))*$F215</f>
        <v>0</v>
      </c>
      <c r="N215" s="154">
        <f>(VLOOKUP($E215,$D$6:$AI$660,11,)/VLOOKUP($E215,$D$6:$AI$660,3,))*$F215</f>
        <v>0</v>
      </c>
      <c r="O215" s="154">
        <f>(VLOOKUP($E215,$D$6:$AI$660,O$2,)/VLOOKUP($E215,$D$6:$AI$660,3,))*$F215</f>
        <v>0</v>
      </c>
      <c r="P215" s="154">
        <f>(VLOOKUP($E215,$D$6:$AI$660,P$2,)/VLOOKUP($E215,$D$6:$AI$660,3,))*$F215</f>
        <v>0</v>
      </c>
      <c r="Q215" s="154">
        <f>(VLOOKUP($E215,$D$6:$AI$660,Q$2,)/VLOOKUP($E215,$D$6:$AI$660,3,))*$F215</f>
        <v>0</v>
      </c>
      <c r="R215" s="154">
        <f>(VLOOKUP($E215,$D$6:$AI$660,15,)/VLOOKUP($E215,$D$6:$AI$660,3,))*$F215</f>
        <v>0</v>
      </c>
      <c r="S215" s="154">
        <f>(VLOOKUP($E215,$D$6:$AI$660,16,)/VLOOKUP($E215,$D$6:$AI$660,3,))*$F215</f>
        <v>0</v>
      </c>
      <c r="T215" s="154">
        <f>(VLOOKUP($E215,$D$6:$AI$660,17,)/VLOOKUP($E215,$D$6:$AI$660,3,))*$F215</f>
        <v>0</v>
      </c>
      <c r="U215" s="155">
        <f>SUM(G215:M215)</f>
        <v>876517.16116854246</v>
      </c>
      <c r="V215" s="140" t="str">
        <f>IF(ABS(F215-U215)&lt;0.01,"ok","err")</f>
        <v>ok</v>
      </c>
    </row>
    <row r="216" spans="1:23">
      <c r="F216" s="16"/>
      <c r="U216" s="155"/>
    </row>
    <row r="217" spans="1:23">
      <c r="A217" s="141" t="s">
        <v>8</v>
      </c>
      <c r="F217" s="16"/>
      <c r="U217" s="155"/>
    </row>
    <row r="218" spans="1:23">
      <c r="A218" s="153" t="s">
        <v>690</v>
      </c>
      <c r="C218" s="147" t="s">
        <v>205</v>
      </c>
      <c r="D218" s="147" t="s">
        <v>278</v>
      </c>
      <c r="E218" s="147" t="s">
        <v>695</v>
      </c>
      <c r="F218" s="154">
        <f>VLOOKUP(C218,'Functional Assignment'!$C$1:$AR$731,13,)</f>
        <v>3305338.621530558</v>
      </c>
      <c r="G218" s="154">
        <f t="shared" ref="G218:J221" si="66">(VLOOKUP($E218,$D$6:$AI$660,G$2,)/VLOOKUP($E218,$D$6:$AI$660,3,))*$F218</f>
        <v>2098760.2947190399</v>
      </c>
      <c r="H218" s="154">
        <f t="shared" si="66"/>
        <v>968587.54144513281</v>
      </c>
      <c r="I218" s="154">
        <f t="shared" si="66"/>
        <v>69121.246406616934</v>
      </c>
      <c r="J218" s="154">
        <f t="shared" si="66"/>
        <v>0.19118215873553185</v>
      </c>
      <c r="K218" s="154">
        <f>(VLOOKUP($E218,$D$6:$AI$660,8,)/VLOOKUP($E218,$D$6:$AI$660,3,))*$F218</f>
        <v>168869.3477776098</v>
      </c>
      <c r="L218" s="154">
        <f t="shared" ref="L218:M221" si="67">(VLOOKUP($E218,$D$6:$AI$660,L$2,)/VLOOKUP($E218,$D$6:$AI$660,3,))*$F218</f>
        <v>0</v>
      </c>
      <c r="M218" s="154">
        <f t="shared" si="67"/>
        <v>0</v>
      </c>
      <c r="N218" s="154">
        <f>(VLOOKUP($E218,$D$6:$AI$660,11,)/VLOOKUP($E218,$D$6:$AI$660,3,))*$F218</f>
        <v>0</v>
      </c>
      <c r="O218" s="154">
        <f t="shared" ref="O218:Q221" si="68">(VLOOKUP($E218,$D$6:$AI$660,O$2,)/VLOOKUP($E218,$D$6:$AI$660,3,))*$F218</f>
        <v>0</v>
      </c>
      <c r="P218" s="154">
        <f t="shared" si="68"/>
        <v>0</v>
      </c>
      <c r="Q218" s="154">
        <f t="shared" si="68"/>
        <v>0</v>
      </c>
      <c r="R218" s="154">
        <f>(VLOOKUP($E218,$D$6:$AI$660,15,)/VLOOKUP($E218,$D$6:$AI$660,3,))*$F218</f>
        <v>0</v>
      </c>
      <c r="S218" s="154">
        <f>(VLOOKUP($E218,$D$6:$AI$660,16,)/VLOOKUP($E218,$D$6:$AI$660,3,))*$F218</f>
        <v>0</v>
      </c>
      <c r="T218" s="154">
        <f>(VLOOKUP($E218,$D$6:$AI$660,17,)/VLOOKUP($E218,$D$6:$AI$660,3,))*$F218</f>
        <v>0</v>
      </c>
      <c r="U218" s="155">
        <f>SUM(G218:M218)</f>
        <v>3305338.6215305584</v>
      </c>
      <c r="V218" s="140" t="str">
        <f>IF(ABS(F218-U218)&lt;0.01,"ok","err")</f>
        <v>ok</v>
      </c>
    </row>
    <row r="219" spans="1:23">
      <c r="A219" s="153" t="s">
        <v>689</v>
      </c>
      <c r="C219" s="147" t="s">
        <v>205</v>
      </c>
      <c r="D219" s="147" t="s">
        <v>279</v>
      </c>
      <c r="E219" s="147" t="s">
        <v>694</v>
      </c>
      <c r="F219" s="16">
        <f>VLOOKUP(C219,'Functional Assignment'!$C$1:$AR$731,14,)</f>
        <v>5532882.7322486779</v>
      </c>
      <c r="G219" s="16">
        <f t="shared" si="66"/>
        <v>5116195.5243265741</v>
      </c>
      <c r="H219" s="16">
        <f t="shared" si="66"/>
        <v>411515.26147755305</v>
      </c>
      <c r="I219" s="16">
        <f t="shared" si="66"/>
        <v>4351.4194695091574</v>
      </c>
      <c r="J219" s="16">
        <f t="shared" si="66"/>
        <v>21.707062831794687</v>
      </c>
      <c r="K219" s="16">
        <f>(VLOOKUP($E219,$D$6:$AI$660,8,)/VLOOKUP($E219,$D$6:$AI$660,3,))*$F219</f>
        <v>798.81991221004455</v>
      </c>
      <c r="L219" s="16">
        <f t="shared" si="67"/>
        <v>0</v>
      </c>
      <c r="M219" s="16">
        <f t="shared" si="67"/>
        <v>0</v>
      </c>
      <c r="N219" s="16">
        <f>(VLOOKUP($E219,$D$6:$AI$660,11,)/VLOOKUP($E219,$D$6:$AI$660,3,))*$F219</f>
        <v>0</v>
      </c>
      <c r="O219" s="16">
        <f t="shared" si="68"/>
        <v>0</v>
      </c>
      <c r="P219" s="16">
        <f t="shared" si="68"/>
        <v>0</v>
      </c>
      <c r="Q219" s="16">
        <f t="shared" si="68"/>
        <v>0</v>
      </c>
      <c r="R219" s="16">
        <f>(VLOOKUP($E219,$D$6:$AI$660,15,)/VLOOKUP($E219,$D$6:$AI$660,3,))*$F219</f>
        <v>0</v>
      </c>
      <c r="S219" s="16">
        <f>(VLOOKUP($E219,$D$6:$AI$660,16,)/VLOOKUP($E219,$D$6:$AI$660,3,))*$F219</f>
        <v>0</v>
      </c>
      <c r="T219" s="16">
        <f>(VLOOKUP($E219,$D$6:$AI$660,17,)/VLOOKUP($E219,$D$6:$AI$660,3,))*$F219</f>
        <v>0</v>
      </c>
      <c r="U219" s="155">
        <f>SUM(G219:M219)</f>
        <v>5532882.7322486788</v>
      </c>
      <c r="V219" s="140" t="str">
        <f>IF(ABS(F219-U219)&lt;0.01,"ok","err")</f>
        <v>ok</v>
      </c>
      <c r="W219" s="156"/>
    </row>
    <row r="220" spans="1:23">
      <c r="A220" s="153" t="s">
        <v>691</v>
      </c>
      <c r="C220" s="147" t="s">
        <v>205</v>
      </c>
      <c r="D220" s="147" t="s">
        <v>278</v>
      </c>
      <c r="E220" s="147" t="s">
        <v>321</v>
      </c>
      <c r="F220" s="16">
        <f>VLOOKUP(C220,'Functional Assignment'!$C$1:$AR$731,15,)</f>
        <v>480987.2135469793</v>
      </c>
      <c r="G220" s="16">
        <f t="shared" si="66"/>
        <v>268906.69074599131</v>
      </c>
      <c r="H220" s="16">
        <f t="shared" si="66"/>
        <v>126784.64379255187</v>
      </c>
      <c r="I220" s="16">
        <f t="shared" si="66"/>
        <v>9232.1369695593658</v>
      </c>
      <c r="J220" s="16">
        <f t="shared" si="66"/>
        <v>2503.2539940495321</v>
      </c>
      <c r="K220" s="16">
        <f>(VLOOKUP($E220,$D$6:$AI$660,8,)/VLOOKUP($E220,$D$6:$AI$660,3,))*$F220</f>
        <v>71774.263821125394</v>
      </c>
      <c r="L220" s="16">
        <f t="shared" si="67"/>
        <v>1786.22422370188</v>
      </c>
      <c r="M220" s="16">
        <f t="shared" si="67"/>
        <v>0</v>
      </c>
      <c r="N220" s="16">
        <f>(VLOOKUP($E220,$D$6:$AI$660,11,)/VLOOKUP($E220,$D$6:$AI$660,3,))*$F220</f>
        <v>0</v>
      </c>
      <c r="O220" s="16">
        <f t="shared" si="68"/>
        <v>0</v>
      </c>
      <c r="P220" s="16">
        <f t="shared" si="68"/>
        <v>0</v>
      </c>
      <c r="Q220" s="16">
        <f t="shared" si="68"/>
        <v>0</v>
      </c>
      <c r="R220" s="16"/>
      <c r="S220" s="16"/>
      <c r="T220" s="16"/>
      <c r="U220" s="155"/>
      <c r="V220" s="140"/>
    </row>
    <row r="221" spans="1:23">
      <c r="A221" s="153" t="s">
        <v>688</v>
      </c>
      <c r="C221" s="147" t="s">
        <v>205</v>
      </c>
      <c r="D221" s="147" t="s">
        <v>279</v>
      </c>
      <c r="E221" s="147" t="s">
        <v>322</v>
      </c>
      <c r="F221" s="16">
        <f>VLOOKUP(C221,'Functional Assignment'!$C$1:$AR$731,16,)</f>
        <v>346636.19274854881</v>
      </c>
      <c r="G221" s="16">
        <f t="shared" si="66"/>
        <v>320490.9240185013</v>
      </c>
      <c r="H221" s="16">
        <f t="shared" si="66"/>
        <v>25778.316284348017</v>
      </c>
      <c r="I221" s="16">
        <f t="shared" si="66"/>
        <v>273.67131948287602</v>
      </c>
      <c r="J221" s="16">
        <f t="shared" si="66"/>
        <v>6.2550026326025119</v>
      </c>
      <c r="K221" s="16">
        <f>(VLOOKUP($E221,$D$6:$AI$660,8,)/VLOOKUP($E221,$D$6:$AI$660,3,))*$F221</f>
        <v>85.938297039234513</v>
      </c>
      <c r="L221" s="16">
        <f t="shared" si="67"/>
        <v>1.0878265448004367</v>
      </c>
      <c r="M221" s="16">
        <f t="shared" si="67"/>
        <v>0</v>
      </c>
      <c r="N221" s="16">
        <f>(VLOOKUP($E221,$D$6:$AI$660,11,)/VLOOKUP($E221,$D$6:$AI$660,3,))*$F221</f>
        <v>0</v>
      </c>
      <c r="O221" s="16">
        <f t="shared" si="68"/>
        <v>0</v>
      </c>
      <c r="P221" s="16">
        <f t="shared" si="68"/>
        <v>0</v>
      </c>
      <c r="Q221" s="16">
        <f t="shared" si="68"/>
        <v>0</v>
      </c>
      <c r="R221" s="16"/>
      <c r="S221" s="16"/>
      <c r="T221" s="16"/>
      <c r="U221" s="155"/>
      <c r="V221" s="140"/>
    </row>
    <row r="222" spans="1:23">
      <c r="A222" s="147" t="s">
        <v>232</v>
      </c>
      <c r="F222" s="154">
        <f>SUM(F218:F221)</f>
        <v>9665844.7600747645</v>
      </c>
      <c r="G222" s="154">
        <f t="shared" ref="G222:Q222" si="69">SUM(G218:G221)</f>
        <v>7804353.4338101074</v>
      </c>
      <c r="H222" s="154">
        <f t="shared" si="69"/>
        <v>1532665.7629995858</v>
      </c>
      <c r="I222" s="154">
        <f t="shared" si="69"/>
        <v>82978.474165168329</v>
      </c>
      <c r="J222" s="154">
        <f t="shared" si="69"/>
        <v>2531.4072416726649</v>
      </c>
      <c r="K222" s="154">
        <f t="shared" si="69"/>
        <v>241528.36980798451</v>
      </c>
      <c r="L222" s="154">
        <f t="shared" si="69"/>
        <v>1787.3120502466804</v>
      </c>
      <c r="M222" s="154">
        <f t="shared" si="69"/>
        <v>0</v>
      </c>
      <c r="N222" s="154">
        <f t="shared" si="69"/>
        <v>0</v>
      </c>
      <c r="O222" s="154">
        <f t="shared" si="69"/>
        <v>0</v>
      </c>
      <c r="P222" s="154">
        <f t="shared" si="69"/>
        <v>0</v>
      </c>
      <c r="Q222" s="154">
        <f t="shared" si="69"/>
        <v>0</v>
      </c>
      <c r="R222" s="154">
        <f>R218+R219</f>
        <v>0</v>
      </c>
      <c r="S222" s="154">
        <f>S218+S219</f>
        <v>0</v>
      </c>
      <c r="T222" s="154">
        <f>T218+T219</f>
        <v>0</v>
      </c>
      <c r="U222" s="155">
        <f>SUM(G222:M222)</f>
        <v>9665844.7600747664</v>
      </c>
      <c r="V222" s="140" t="str">
        <f>IF(ABS(F222-U222)&lt;0.01,"ok","err")</f>
        <v>ok</v>
      </c>
      <c r="W222" s="156"/>
    </row>
    <row r="223" spans="1:23">
      <c r="F223" s="16"/>
      <c r="U223" s="155"/>
    </row>
    <row r="224" spans="1:23">
      <c r="A224" s="141" t="s">
        <v>10</v>
      </c>
      <c r="F224" s="16"/>
      <c r="U224" s="155"/>
    </row>
    <row r="225" spans="1:24">
      <c r="A225" s="153" t="s">
        <v>210</v>
      </c>
      <c r="C225" s="147" t="s">
        <v>205</v>
      </c>
      <c r="D225" s="147" t="s">
        <v>273</v>
      </c>
      <c r="E225" s="147" t="s">
        <v>323</v>
      </c>
      <c r="F225" s="154">
        <f>VLOOKUP(C225,'Functional Assignment'!$C$1:$AR$731,17,)</f>
        <v>9760624.6981374584</v>
      </c>
      <c r="G225" s="154">
        <f>(VLOOKUP($E225,$D$6:$AI$660,G$2,)/VLOOKUP($E225,$D$6:$AI$660,3,))*$F225</f>
        <v>8207162.7136806939</v>
      </c>
      <c r="H225" s="154">
        <f>(VLOOKUP($E225,$D$6:$AI$660,H$2,)/VLOOKUP($E225,$D$6:$AI$660,3,))*$F225</f>
        <v>1524443.6472292026</v>
      </c>
      <c r="I225" s="154">
        <f>(VLOOKUP($E225,$D$6:$AI$660,I$2,)/VLOOKUP($E225,$D$6:$AI$660,3,))*$F225</f>
        <v>14191.948311091865</v>
      </c>
      <c r="J225" s="154">
        <f>(VLOOKUP($E225,$D$6:$AI$660,J$2,)/VLOOKUP($E225,$D$6:$AI$660,3,))*$F225</f>
        <v>4206.8292448972443</v>
      </c>
      <c r="K225" s="154">
        <f>(VLOOKUP($E225,$D$6:$AI$660,8,)/VLOOKUP($E225,$D$6:$AI$660,3,))*$F225</f>
        <v>10385.304678818256</v>
      </c>
      <c r="L225" s="154">
        <f>(VLOOKUP($E225,$D$6:$AI$660,L$2,)/VLOOKUP($E225,$D$6:$AI$660,3,))*$F225</f>
        <v>234.25499275529901</v>
      </c>
      <c r="M225" s="154">
        <f>(VLOOKUP($E225,$D$6:$AI$660,M$2,)/VLOOKUP($E225,$D$6:$AI$660,3,))*$F225</f>
        <v>0</v>
      </c>
      <c r="N225" s="154">
        <f>(VLOOKUP($E225,$D$6:$AI$660,11,)/VLOOKUP($E225,$D$6:$AI$660,3,))*$F225</f>
        <v>0</v>
      </c>
      <c r="O225" s="154">
        <f>(VLOOKUP($E225,$D$6:$AI$660,O$2,)/VLOOKUP($E225,$D$6:$AI$660,3,))*$F225</f>
        <v>0</v>
      </c>
      <c r="P225" s="154">
        <f>(VLOOKUP($E225,$D$6:$AI$660,P$2,)/VLOOKUP($E225,$D$6:$AI$660,3,))*$F225</f>
        <v>0</v>
      </c>
      <c r="Q225" s="154">
        <f>(VLOOKUP($E225,$D$6:$AI$660,Q$2,)/VLOOKUP($E225,$D$6:$AI$660,3,))*$F225</f>
        <v>0</v>
      </c>
      <c r="R225" s="154">
        <f>(VLOOKUP($E225,$D$6:$AI$660,15,)/VLOOKUP($E225,$D$6:$AI$660,3,))*$F225</f>
        <v>0</v>
      </c>
      <c r="S225" s="154">
        <f>(VLOOKUP($E225,$D$6:$AI$660,16,)/VLOOKUP($E225,$D$6:$AI$660,3,))*$F225</f>
        <v>0</v>
      </c>
      <c r="T225" s="154">
        <f>(VLOOKUP($E225,$D$6:$AI$660,17,)/VLOOKUP($E225,$D$6:$AI$660,3,))*$F225</f>
        <v>0</v>
      </c>
      <c r="U225" s="155">
        <f>SUM(G225:M225)</f>
        <v>9760624.6981374584</v>
      </c>
      <c r="V225" s="140" t="str">
        <f>IF(ABS(F225-U225)&lt;0.01,"ok","err")</f>
        <v>ok</v>
      </c>
      <c r="W225" s="156"/>
    </row>
    <row r="226" spans="1:24">
      <c r="F226" s="16"/>
      <c r="U226" s="155"/>
    </row>
    <row r="227" spans="1:24">
      <c r="A227" s="141" t="s">
        <v>11</v>
      </c>
      <c r="F227" s="16"/>
      <c r="U227" s="155"/>
    </row>
    <row r="228" spans="1:24">
      <c r="A228" s="153" t="s">
        <v>210</v>
      </c>
      <c r="C228" s="147" t="s">
        <v>205</v>
      </c>
      <c r="D228" s="147" t="s">
        <v>280</v>
      </c>
      <c r="E228" s="147" t="s">
        <v>324</v>
      </c>
      <c r="F228" s="154">
        <f>VLOOKUP(C228,'Functional Assignment'!$C$1:$AR$731,18,)</f>
        <v>3832634.8648141338</v>
      </c>
      <c r="G228" s="154">
        <f>(VLOOKUP($E228,$D$6:$AI$660,G$2,)/VLOOKUP($E228,$D$6:$AI$660,3,))*$F228</f>
        <v>2833783.7618951304</v>
      </c>
      <c r="H228" s="154">
        <f>(VLOOKUP($E228,$D$6:$AI$660,H$2,)/VLOOKUP($E228,$D$6:$AI$660,3,))*$F228</f>
        <v>890518.23439062631</v>
      </c>
      <c r="I228" s="154">
        <f>(VLOOKUP($E228,$D$6:$AI$660,I$2,)/VLOOKUP($E228,$D$6:$AI$660,3,))*$F228</f>
        <v>67052.235193093657</v>
      </c>
      <c r="J228" s="154">
        <f>(VLOOKUP($E228,$D$6:$AI$660,J$2,)/VLOOKUP($E228,$D$6:$AI$660,3,))*$F228</f>
        <v>2778.593626962971</v>
      </c>
      <c r="K228" s="154">
        <f>(VLOOKUP($E228,$D$6:$AI$660,8,)/VLOOKUP($E228,$D$6:$AI$660,3,))*$F228</f>
        <v>38502.039708320153</v>
      </c>
      <c r="L228" s="154">
        <f>(VLOOKUP($E228,$D$6:$AI$660,L$2,)/VLOOKUP($E228,$D$6:$AI$660,3,))*$F228</f>
        <v>0</v>
      </c>
      <c r="M228" s="154">
        <f>(VLOOKUP($E228,$D$6:$AI$660,M$2,)/VLOOKUP($E228,$D$6:$AI$660,3,))*$F228</f>
        <v>0</v>
      </c>
      <c r="N228" s="154">
        <f>(VLOOKUP($E228,$D$6:$AI$660,11,)/VLOOKUP($E228,$D$6:$AI$660,3,))*$F228</f>
        <v>0</v>
      </c>
      <c r="O228" s="154">
        <f>(VLOOKUP($E228,$D$6:$AI$660,O$2,)/VLOOKUP($E228,$D$6:$AI$660,3,))*$F228</f>
        <v>0</v>
      </c>
      <c r="P228" s="154">
        <f>(VLOOKUP($E228,$D$6:$AI$660,P$2,)/VLOOKUP($E228,$D$6:$AI$660,3,))*$F228</f>
        <v>0</v>
      </c>
      <c r="Q228" s="154">
        <f>(VLOOKUP($E228,$D$6:$AI$660,Q$2,)/VLOOKUP($E228,$D$6:$AI$660,3,))*$F228</f>
        <v>0</v>
      </c>
      <c r="R228" s="154">
        <f>(VLOOKUP($E228,$D$6:$AI$660,15,)/VLOOKUP($E228,$D$6:$AI$660,3,))*$F228</f>
        <v>0</v>
      </c>
      <c r="S228" s="154">
        <f>(VLOOKUP($E228,$D$6:$AI$660,16,)/VLOOKUP($E228,$D$6:$AI$660,3,))*$F228</f>
        <v>0</v>
      </c>
      <c r="T228" s="154">
        <f>(VLOOKUP($E228,$D$6:$AI$660,17,)/VLOOKUP($E228,$D$6:$AI$660,3,))*$F228</f>
        <v>0</v>
      </c>
      <c r="U228" s="155">
        <f>SUM(G228:M228)</f>
        <v>3832634.8648141334</v>
      </c>
      <c r="V228" s="140" t="str">
        <f>IF(ABS(F228-U228)&lt;0.01,"ok","err")</f>
        <v>ok</v>
      </c>
    </row>
    <row r="229" spans="1:24">
      <c r="F229" s="16"/>
      <c r="U229" s="155"/>
    </row>
    <row r="230" spans="1:24">
      <c r="A230" s="141" t="s">
        <v>12</v>
      </c>
      <c r="F230" s="16"/>
      <c r="U230" s="155"/>
    </row>
    <row r="231" spans="1:24">
      <c r="A231" s="153" t="s">
        <v>210</v>
      </c>
      <c r="C231" s="147" t="s">
        <v>205</v>
      </c>
      <c r="D231" s="147" t="s">
        <v>281</v>
      </c>
      <c r="E231" s="147" t="s">
        <v>325</v>
      </c>
      <c r="F231" s="154">
        <f>VLOOKUP(C231,'Functional Assignment'!$C$1:$AR$731,19,)</f>
        <v>0</v>
      </c>
      <c r="G231" s="154">
        <f>(VLOOKUP($E231,$D$6:$AI$660,G$2,)/VLOOKUP($E231,$D$6:$AI$660,3,))*$F231</f>
        <v>0</v>
      </c>
      <c r="H231" s="154">
        <f>(VLOOKUP($E231,$D$6:$AI$660,H$2,)/VLOOKUP($E231,$D$6:$AI$660,3,))*$F231</f>
        <v>0</v>
      </c>
      <c r="I231" s="154">
        <f>(VLOOKUP($E231,$D$6:$AI$660,I$2,)/VLOOKUP($E231,$D$6:$AI$660,3,))*$F231</f>
        <v>0</v>
      </c>
      <c r="J231" s="154">
        <f>(VLOOKUP($E231,$D$6:$AI$660,J$2,)/VLOOKUP($E231,$D$6:$AI$660,3,))*$F231</f>
        <v>0</v>
      </c>
      <c r="K231" s="154">
        <f>(VLOOKUP($E231,$D$6:$AI$660,8,)/VLOOKUP($E231,$D$6:$AI$660,3,))*$F231</f>
        <v>0</v>
      </c>
      <c r="L231" s="154">
        <f>(VLOOKUP($E231,$D$6:$AI$660,L$2,)/VLOOKUP($E231,$D$6:$AI$660,3,))*$F231</f>
        <v>0</v>
      </c>
      <c r="M231" s="154">
        <f>(VLOOKUP($E231,$D$6:$AI$660,M$2,)/VLOOKUP($E231,$D$6:$AI$660,3,))*$F231</f>
        <v>0</v>
      </c>
      <c r="N231" s="154">
        <f>(VLOOKUP($E231,$D$6:$AI$660,11,)/VLOOKUP($E231,$D$6:$AI$660,3,))*$F231</f>
        <v>0</v>
      </c>
      <c r="O231" s="154">
        <f>(VLOOKUP($E231,$D$6:$AI$660,O$2,)/VLOOKUP($E231,$D$6:$AI$660,3,))*$F231</f>
        <v>0</v>
      </c>
      <c r="P231" s="154">
        <f>(VLOOKUP($E231,$D$6:$AI$660,P$2,)/VLOOKUP($E231,$D$6:$AI$660,3,))*$F231</f>
        <v>0</v>
      </c>
      <c r="Q231" s="154">
        <f>(VLOOKUP($E231,$D$6:$AI$660,Q$2,)/VLOOKUP($E231,$D$6:$AI$660,3,))*$F231</f>
        <v>0</v>
      </c>
      <c r="R231" s="154">
        <f>(VLOOKUP($E231,$D$6:$AI$660,15,)/VLOOKUP($E231,$D$6:$AI$660,3,))*$F231</f>
        <v>0</v>
      </c>
      <c r="S231" s="154">
        <f>(VLOOKUP($E231,$D$6:$AI$660,16,)/VLOOKUP($E231,$D$6:$AI$660,3,))*$F231</f>
        <v>0</v>
      </c>
      <c r="T231" s="154">
        <f>(VLOOKUP($E231,$D$6:$AI$660,17,)/VLOOKUP($E231,$D$6:$AI$660,3,))*$F231</f>
        <v>0</v>
      </c>
      <c r="U231" s="155">
        <f>SUM(G231:M231)</f>
        <v>0</v>
      </c>
      <c r="V231" s="140" t="str">
        <f>IF(ABS(F231-U231)&lt;0.01,"ok","err")</f>
        <v>ok</v>
      </c>
    </row>
    <row r="232" spans="1:24">
      <c r="F232" s="16"/>
      <c r="U232" s="155"/>
    </row>
    <row r="233" spans="1:24">
      <c r="A233" s="141" t="s">
        <v>13</v>
      </c>
      <c r="F233" s="16"/>
      <c r="U233" s="155"/>
    </row>
    <row r="234" spans="1:24">
      <c r="A234" s="153" t="s">
        <v>210</v>
      </c>
      <c r="C234" s="147" t="s">
        <v>205</v>
      </c>
      <c r="D234" s="147" t="s">
        <v>282</v>
      </c>
      <c r="E234" s="147" t="s">
        <v>326</v>
      </c>
      <c r="F234" s="154">
        <f>VLOOKUP(C234,'Functional Assignment'!$C$1:$AR$731,20,)</f>
        <v>0</v>
      </c>
      <c r="G234" s="154">
        <f>(VLOOKUP($E234,$D$6:$AI$660,G$2,)/VLOOKUP($E234,$D$6:$AI$660,3,))*$F234</f>
        <v>0</v>
      </c>
      <c r="H234" s="154">
        <f>(VLOOKUP($E234,$D$6:$AI$660,H$2,)/VLOOKUP($E234,$D$6:$AI$660,3,))*$F234</f>
        <v>0</v>
      </c>
      <c r="I234" s="154">
        <f>(VLOOKUP($E234,$D$6:$AI$660,I$2,)/VLOOKUP($E234,$D$6:$AI$660,3,))*$F234</f>
        <v>0</v>
      </c>
      <c r="J234" s="154">
        <f>(VLOOKUP($E234,$D$6:$AI$660,J$2,)/VLOOKUP($E234,$D$6:$AI$660,3,))*$F234</f>
        <v>0</v>
      </c>
      <c r="K234" s="154">
        <f>(VLOOKUP($E234,$D$6:$AI$660,8,)/VLOOKUP($E234,$D$6:$AI$660,3,))*$F234</f>
        <v>0</v>
      </c>
      <c r="L234" s="154">
        <f>(VLOOKUP($E234,$D$6:$AI$660,L$2,)/VLOOKUP($E234,$D$6:$AI$660,3,))*$F234</f>
        <v>0</v>
      </c>
      <c r="M234" s="154">
        <f>(VLOOKUP($E234,$D$6:$AI$660,M$2,)/VLOOKUP($E234,$D$6:$AI$660,3,))*$F234</f>
        <v>0</v>
      </c>
      <c r="N234" s="154">
        <f>(VLOOKUP($E234,$D$6:$AI$660,11,)/VLOOKUP($E234,$D$6:$AI$660,3,))*$F234</f>
        <v>0</v>
      </c>
      <c r="O234" s="154">
        <f>(VLOOKUP($E234,$D$6:$AI$660,O$2,)/VLOOKUP($E234,$D$6:$AI$660,3,))*$F234</f>
        <v>0</v>
      </c>
      <c r="P234" s="154">
        <f>(VLOOKUP($E234,$D$6:$AI$660,P$2,)/VLOOKUP($E234,$D$6:$AI$660,3,))*$F234</f>
        <v>0</v>
      </c>
      <c r="Q234" s="154">
        <f>(VLOOKUP($E234,$D$6:$AI$660,Q$2,)/VLOOKUP($E234,$D$6:$AI$660,3,))*$F234</f>
        <v>0</v>
      </c>
      <c r="R234" s="154">
        <f>(VLOOKUP($E234,$D$6:$AI$660,15,)/VLOOKUP($E234,$D$6:$AI$660,3,))*$F234</f>
        <v>0</v>
      </c>
      <c r="S234" s="154">
        <f>(VLOOKUP($E234,$D$6:$AI$660,16,)/VLOOKUP($E234,$D$6:$AI$660,3,))*$F234</f>
        <v>0</v>
      </c>
      <c r="T234" s="154">
        <f>(VLOOKUP($E234,$D$6:$AI$660,17,)/VLOOKUP($E234,$D$6:$AI$660,3,))*$F234</f>
        <v>0</v>
      </c>
      <c r="U234" s="155">
        <f>SUM(G234:M234)</f>
        <v>0</v>
      </c>
      <c r="V234" s="140" t="str">
        <f>IF(ABS(F234-U234)&lt;0.01,"ok","err")</f>
        <v>ok</v>
      </c>
    </row>
    <row r="235" spans="1:24">
      <c r="F235" s="16"/>
      <c r="U235" s="155"/>
    </row>
    <row r="236" spans="1:24">
      <c r="A236" s="147" t="s">
        <v>14</v>
      </c>
      <c r="D236" s="147" t="s">
        <v>297</v>
      </c>
      <c r="F236" s="154">
        <f t="shared" ref="F236:T236" si="70">F199+F204+F209+F212+F215+F222+F225+F228+F231+F234</f>
        <v>29156819.934268154</v>
      </c>
      <c r="G236" s="154">
        <f t="shared" si="70"/>
        <v>22643580.181327078</v>
      </c>
      <c r="H236" s="154">
        <f t="shared" si="70"/>
        <v>5761447.3643373353</v>
      </c>
      <c r="I236" s="154">
        <f t="shared" si="70"/>
        <v>311225.08055582736</v>
      </c>
      <c r="J236" s="154">
        <f t="shared" si="70"/>
        <v>14078.583571317477</v>
      </c>
      <c r="K236" s="154">
        <f t="shared" si="70"/>
        <v>421212.0684381451</v>
      </c>
      <c r="L236" s="154">
        <f t="shared" si="70"/>
        <v>5276.6560384534841</v>
      </c>
      <c r="M236" s="154">
        <f t="shared" si="70"/>
        <v>0</v>
      </c>
      <c r="N236" s="154">
        <f t="shared" si="70"/>
        <v>0</v>
      </c>
      <c r="O236" s="154">
        <f t="shared" si="70"/>
        <v>0</v>
      </c>
      <c r="P236" s="154">
        <f t="shared" si="70"/>
        <v>0</v>
      </c>
      <c r="Q236" s="154">
        <f t="shared" si="70"/>
        <v>0</v>
      </c>
      <c r="R236" s="154">
        <f t="shared" si="70"/>
        <v>0</v>
      </c>
      <c r="S236" s="154">
        <f t="shared" si="70"/>
        <v>0</v>
      </c>
      <c r="T236" s="154">
        <f t="shared" si="70"/>
        <v>0</v>
      </c>
      <c r="U236" s="155">
        <f>SUM(G236:M236)</f>
        <v>29156819.934268158</v>
      </c>
      <c r="V236" s="140" t="str">
        <f>IF(ABS(F236-U236)&lt;0.01,"ok","err")</f>
        <v>ok</v>
      </c>
      <c r="W236" s="155"/>
      <c r="X236" s="140"/>
    </row>
    <row r="237" spans="1:24">
      <c r="U237" s="155"/>
    </row>
    <row r="238" spans="1:24">
      <c r="U238" s="155"/>
    </row>
    <row r="239" spans="1:24">
      <c r="A239" s="152" t="s">
        <v>737</v>
      </c>
      <c r="U239" s="155"/>
    </row>
    <row r="240" spans="1:24">
      <c r="U240" s="155"/>
    </row>
    <row r="241" spans="1:22">
      <c r="A241" s="141" t="s">
        <v>461</v>
      </c>
      <c r="U241" s="155"/>
    </row>
    <row r="242" spans="1:22">
      <c r="A242" s="153" t="s">
        <v>209</v>
      </c>
      <c r="C242" s="157" t="s">
        <v>741</v>
      </c>
      <c r="D242" s="147" t="s">
        <v>283</v>
      </c>
      <c r="E242" s="147" t="s">
        <v>313</v>
      </c>
      <c r="F242" s="154">
        <f>VLOOKUP(C242,'Functional Assignment'!$C$1:$AR$731,5,)</f>
        <v>0</v>
      </c>
      <c r="G242" s="154">
        <f t="shared" ref="G242:J243" si="71">(VLOOKUP($E242,$D$6:$AI$660,G$2,)/VLOOKUP($E242,$D$6:$AI$660,3,))*$F242</f>
        <v>0</v>
      </c>
      <c r="H242" s="154">
        <f t="shared" si="71"/>
        <v>0</v>
      </c>
      <c r="I242" s="154">
        <f t="shared" si="71"/>
        <v>0</v>
      </c>
      <c r="J242" s="154">
        <f t="shared" si="71"/>
        <v>0</v>
      </c>
      <c r="K242" s="154">
        <f>(VLOOKUP($E242,$D$6:$AI$660,8,)/VLOOKUP($E242,$D$6:$AI$660,3,))*$F242</f>
        <v>0</v>
      </c>
      <c r="L242" s="154">
        <f>(VLOOKUP($E242,$D$6:$AI$660,L$2,)/VLOOKUP($E242,$D$6:$AI$660,3,))*$F242</f>
        <v>0</v>
      </c>
      <c r="M242" s="154">
        <f>(VLOOKUP($E242,$D$6:$AI$660,M$2,)/VLOOKUP($E242,$D$6:$AI$660,3,))*$F242</f>
        <v>0</v>
      </c>
      <c r="N242" s="154">
        <f>(VLOOKUP($E242,$D$6:$AI$660,11,)/VLOOKUP($E242,$D$6:$AI$660,3,))*$F242</f>
        <v>0</v>
      </c>
      <c r="O242" s="154">
        <f t="shared" ref="O242:Q243" si="72">(VLOOKUP($E242,$D$6:$AI$660,O$2,)/VLOOKUP($E242,$D$6:$AI$660,3,))*$F242</f>
        <v>0</v>
      </c>
      <c r="P242" s="154">
        <f t="shared" si="72"/>
        <v>0</v>
      </c>
      <c r="Q242" s="154">
        <f t="shared" si="72"/>
        <v>0</v>
      </c>
      <c r="R242" s="154">
        <f>(VLOOKUP($E242,$D$6:$AI$660,15,)/VLOOKUP($E242,$D$6:$AI$660,3,))*$F242</f>
        <v>0</v>
      </c>
      <c r="S242" s="154">
        <f>(VLOOKUP($E242,$D$6:$AI$660,16,)/VLOOKUP($E242,$D$6:$AI$660,3,))*$F242</f>
        <v>0</v>
      </c>
      <c r="T242" s="154">
        <f>(VLOOKUP($E242,$D$6:$AI$660,17,)/VLOOKUP($E242,$D$6:$AI$660,3,))*$F242</f>
        <v>0</v>
      </c>
      <c r="U242" s="155">
        <f>SUM(G242:M242)</f>
        <v>0</v>
      </c>
      <c r="V242" s="140" t="str">
        <f>IF(ABS(F242-U242)&lt;0.01,"ok","err")</f>
        <v>ok</v>
      </c>
    </row>
    <row r="243" spans="1:22">
      <c r="A243" s="153" t="s">
        <v>229</v>
      </c>
      <c r="C243" s="157" t="s">
        <v>741</v>
      </c>
      <c r="D243" s="147" t="s">
        <v>271</v>
      </c>
      <c r="E243" s="147" t="s">
        <v>314</v>
      </c>
      <c r="F243" s="16">
        <f>VLOOKUP(C243,'Functional Assignment'!$C$1:$AR$731,6,)</f>
        <v>0</v>
      </c>
      <c r="G243" s="16">
        <f t="shared" si="71"/>
        <v>0</v>
      </c>
      <c r="H243" s="16">
        <f t="shared" si="71"/>
        <v>0</v>
      </c>
      <c r="I243" s="16">
        <f t="shared" si="71"/>
        <v>0</v>
      </c>
      <c r="J243" s="16">
        <f t="shared" si="71"/>
        <v>0</v>
      </c>
      <c r="K243" s="16">
        <f>(VLOOKUP($E243,$D$6:$AI$660,8,)/VLOOKUP($E243,$D$6:$AI$660,3,))*$F243</f>
        <v>0</v>
      </c>
      <c r="L243" s="16">
        <f>(VLOOKUP($E243,$D$6:$AI$660,L$2,)/VLOOKUP($E243,$D$6:$AI$660,3,))*$F243</f>
        <v>0</v>
      </c>
      <c r="M243" s="16">
        <f>(VLOOKUP($E243,$D$6:$AI$660,M$2,)/VLOOKUP($E243,$D$6:$AI$660,3,))*$F243</f>
        <v>0</v>
      </c>
      <c r="N243" s="16">
        <f>(VLOOKUP($E243,$D$6:$AI$660,11,)/VLOOKUP($E243,$D$6:$AI$660,3,))*$F243</f>
        <v>0</v>
      </c>
      <c r="O243" s="16">
        <f t="shared" si="72"/>
        <v>0</v>
      </c>
      <c r="P243" s="16">
        <f t="shared" si="72"/>
        <v>0</v>
      </c>
      <c r="Q243" s="16">
        <f t="shared" si="72"/>
        <v>0</v>
      </c>
      <c r="R243" s="16">
        <f>(VLOOKUP($E243,$D$6:$AI$660,15,)/VLOOKUP($E243,$D$6:$AI$660,3,))*$F243</f>
        <v>0</v>
      </c>
      <c r="S243" s="16">
        <f>(VLOOKUP($E243,$D$6:$AI$660,16,)/VLOOKUP($E243,$D$6:$AI$660,3,))*$F243</f>
        <v>0</v>
      </c>
      <c r="T243" s="16">
        <f>(VLOOKUP($E243,$D$6:$AI$660,17,)/VLOOKUP($E243,$D$6:$AI$660,3,))*$F243</f>
        <v>0</v>
      </c>
      <c r="U243" s="155">
        <f>SUM(G243:M243)</f>
        <v>0</v>
      </c>
      <c r="V243" s="140" t="str">
        <f>IF(ABS(F243-U243)&lt;0.01,"ok","err")</f>
        <v>ok</v>
      </c>
    </row>
    <row r="244" spans="1:22">
      <c r="A244" s="147" t="s">
        <v>667</v>
      </c>
      <c r="D244" s="147" t="s">
        <v>341</v>
      </c>
      <c r="F244" s="154">
        <f t="shared" ref="F244:T244" si="73">F242+F243</f>
        <v>0</v>
      </c>
      <c r="G244" s="154">
        <f t="shared" si="73"/>
        <v>0</v>
      </c>
      <c r="H244" s="154">
        <f t="shared" si="73"/>
        <v>0</v>
      </c>
      <c r="I244" s="154">
        <f t="shared" si="73"/>
        <v>0</v>
      </c>
      <c r="J244" s="154">
        <f t="shared" si="73"/>
        <v>0</v>
      </c>
      <c r="K244" s="154">
        <f t="shared" si="73"/>
        <v>0</v>
      </c>
      <c r="L244" s="154">
        <f t="shared" si="73"/>
        <v>0</v>
      </c>
      <c r="M244" s="154">
        <f t="shared" si="73"/>
        <v>0</v>
      </c>
      <c r="N244" s="154">
        <f t="shared" si="73"/>
        <v>0</v>
      </c>
      <c r="O244" s="154">
        <f t="shared" si="73"/>
        <v>0</v>
      </c>
      <c r="P244" s="154">
        <f t="shared" si="73"/>
        <v>0</v>
      </c>
      <c r="Q244" s="154">
        <f t="shared" si="73"/>
        <v>0</v>
      </c>
      <c r="R244" s="154">
        <f t="shared" si="73"/>
        <v>0</v>
      </c>
      <c r="S244" s="154">
        <f t="shared" si="73"/>
        <v>0</v>
      </c>
      <c r="T244" s="154">
        <f t="shared" si="73"/>
        <v>0</v>
      </c>
      <c r="U244" s="155">
        <f>SUM(G244:M244)</f>
        <v>0</v>
      </c>
      <c r="V244" s="140" t="str">
        <f>IF(ABS(F244-U244)&lt;0.01,"ok","err")</f>
        <v>ok</v>
      </c>
    </row>
    <row r="245" spans="1:22">
      <c r="F245" s="16"/>
      <c r="G245" s="16"/>
      <c r="U245" s="155"/>
    </row>
    <row r="246" spans="1:22">
      <c r="A246" s="141" t="s">
        <v>3</v>
      </c>
      <c r="F246" s="16"/>
      <c r="G246" s="16"/>
      <c r="U246" s="155"/>
    </row>
    <row r="247" spans="1:22">
      <c r="A247" s="153" t="s">
        <v>209</v>
      </c>
      <c r="C247" s="157" t="s">
        <v>741</v>
      </c>
      <c r="D247" s="147" t="s">
        <v>272</v>
      </c>
      <c r="E247" s="147" t="s">
        <v>315</v>
      </c>
      <c r="F247" s="154">
        <f>VLOOKUP(C247,'Functional Assignment'!$C$1:$AR$731,7,)</f>
        <v>0</v>
      </c>
      <c r="G247" s="154">
        <f t="shared" ref="G247:J248" si="74">(VLOOKUP($E247,$D$6:$AI$660,G$2,)/VLOOKUP($E247,$D$6:$AI$660,3,))*$F247</f>
        <v>0</v>
      </c>
      <c r="H247" s="154">
        <f t="shared" si="74"/>
        <v>0</v>
      </c>
      <c r="I247" s="154">
        <f t="shared" si="74"/>
        <v>0</v>
      </c>
      <c r="J247" s="154">
        <f t="shared" si="74"/>
        <v>0</v>
      </c>
      <c r="K247" s="154">
        <f>(VLOOKUP($E247,$D$6:$AI$660,8,)/VLOOKUP($E247,$D$6:$AI$660,3,))*$F247</f>
        <v>0</v>
      </c>
      <c r="L247" s="154">
        <f>(VLOOKUP($E247,$D$6:$AI$660,L$2,)/VLOOKUP($E247,$D$6:$AI$660,3,))*$F247</f>
        <v>0</v>
      </c>
      <c r="M247" s="154">
        <f>(VLOOKUP($E247,$D$6:$AI$660,M$2,)/VLOOKUP($E247,$D$6:$AI$660,3,))*$F247</f>
        <v>0</v>
      </c>
      <c r="N247" s="154">
        <f>(VLOOKUP($E247,$D$6:$AI$660,11,)/VLOOKUP($E247,$D$6:$AI$660,3,))*$F247</f>
        <v>0</v>
      </c>
      <c r="O247" s="154">
        <f t="shared" ref="O247:Q248" si="75">(VLOOKUP($E247,$D$6:$AI$660,O$2,)/VLOOKUP($E247,$D$6:$AI$660,3,))*$F247</f>
        <v>0</v>
      </c>
      <c r="P247" s="154">
        <f t="shared" si="75"/>
        <v>0</v>
      </c>
      <c r="Q247" s="154">
        <f t="shared" si="75"/>
        <v>0</v>
      </c>
      <c r="R247" s="154">
        <f>(VLOOKUP($E247,$D$6:$AI$660,15,)/VLOOKUP($E247,$D$6:$AI$660,3,))*$F247</f>
        <v>0</v>
      </c>
      <c r="S247" s="154">
        <f>(VLOOKUP($E247,$D$6:$AI$660,16,)/VLOOKUP($E247,$D$6:$AI$660,3,))*$F247</f>
        <v>0</v>
      </c>
      <c r="T247" s="154">
        <f>(VLOOKUP($E247,$D$6:$AI$660,17,)/VLOOKUP($E247,$D$6:$AI$660,3,))*$F247</f>
        <v>0</v>
      </c>
      <c r="U247" s="155">
        <f>SUM(G247:M247)</f>
        <v>0</v>
      </c>
      <c r="V247" s="140" t="str">
        <f>IF(ABS(F247-U247)&lt;0.01,"ok","err")</f>
        <v>ok</v>
      </c>
    </row>
    <row r="248" spans="1:22">
      <c r="A248" s="147" t="s">
        <v>229</v>
      </c>
      <c r="C248" s="157" t="s">
        <v>741</v>
      </c>
      <c r="D248" s="147" t="s">
        <v>273</v>
      </c>
      <c r="E248" s="147" t="s">
        <v>316</v>
      </c>
      <c r="F248" s="16">
        <f>VLOOKUP(C248,'Functional Assignment'!$C$1:$AR$731,8,)</f>
        <v>0</v>
      </c>
      <c r="G248" s="16">
        <f t="shared" si="74"/>
        <v>0</v>
      </c>
      <c r="H248" s="16">
        <f t="shared" si="74"/>
        <v>0</v>
      </c>
      <c r="I248" s="16">
        <f t="shared" si="74"/>
        <v>0</v>
      </c>
      <c r="J248" s="16">
        <f t="shared" si="74"/>
        <v>0</v>
      </c>
      <c r="K248" s="16">
        <f>(VLOOKUP($E248,$D$6:$AI$660,8,)/VLOOKUP($E248,$D$6:$AI$660,3,))*$F248</f>
        <v>0</v>
      </c>
      <c r="L248" s="16">
        <f>(VLOOKUP($E248,$D$6:$AI$660,L$2,)/VLOOKUP($E248,$D$6:$AI$660,3,))*$F248</f>
        <v>0</v>
      </c>
      <c r="M248" s="16">
        <f>(VLOOKUP($E248,$D$6:$AI$660,M$2,)/VLOOKUP($E248,$D$6:$AI$660,3,))*$F248</f>
        <v>0</v>
      </c>
      <c r="N248" s="16">
        <f>(VLOOKUP($E248,$D$6:$AI$660,11,)/VLOOKUP($E248,$D$6:$AI$660,3,))*$F248</f>
        <v>0</v>
      </c>
      <c r="O248" s="16">
        <f t="shared" si="75"/>
        <v>0</v>
      </c>
      <c r="P248" s="16">
        <f t="shared" si="75"/>
        <v>0</v>
      </c>
      <c r="Q248" s="16">
        <f t="shared" si="75"/>
        <v>0</v>
      </c>
      <c r="R248" s="16">
        <f>(VLOOKUP($E248,$D$6:$AI$660,15,)/VLOOKUP($E248,$D$6:$AI$660,3,))*$F248</f>
        <v>0</v>
      </c>
      <c r="S248" s="16">
        <f>(VLOOKUP($E248,$D$6:$AI$660,16,)/VLOOKUP($E248,$D$6:$AI$660,3,))*$F248</f>
        <v>0</v>
      </c>
      <c r="T248" s="16">
        <f>(VLOOKUP($E248,$D$6:$AI$660,17,)/VLOOKUP($E248,$D$6:$AI$660,3,))*$F248</f>
        <v>0</v>
      </c>
      <c r="U248" s="155">
        <f>SUM(G248:M248)</f>
        <v>0</v>
      </c>
      <c r="V248" s="140" t="str">
        <f>IF(ABS(F248-U248)&lt;0.01,"ok","err")</f>
        <v>ok</v>
      </c>
    </row>
    <row r="249" spans="1:22">
      <c r="A249" s="147" t="s">
        <v>230</v>
      </c>
      <c r="D249" s="147" t="s">
        <v>342</v>
      </c>
      <c r="F249" s="154">
        <f>SUM(F247:F248)</f>
        <v>0</v>
      </c>
      <c r="G249" s="154">
        <f t="shared" ref="G249:T249" si="76">G247+G248</f>
        <v>0</v>
      </c>
      <c r="H249" s="154">
        <f t="shared" si="76"/>
        <v>0</v>
      </c>
      <c r="I249" s="154">
        <f t="shared" si="76"/>
        <v>0</v>
      </c>
      <c r="J249" s="154">
        <f t="shared" si="76"/>
        <v>0</v>
      </c>
      <c r="K249" s="154">
        <f t="shared" si="76"/>
        <v>0</v>
      </c>
      <c r="L249" s="154">
        <f t="shared" si="76"/>
        <v>0</v>
      </c>
      <c r="M249" s="154">
        <f t="shared" si="76"/>
        <v>0</v>
      </c>
      <c r="N249" s="154">
        <f t="shared" si="76"/>
        <v>0</v>
      </c>
      <c r="O249" s="154">
        <f t="shared" si="76"/>
        <v>0</v>
      </c>
      <c r="P249" s="154">
        <f t="shared" si="76"/>
        <v>0</v>
      </c>
      <c r="Q249" s="154">
        <f t="shared" si="76"/>
        <v>0</v>
      </c>
      <c r="R249" s="154">
        <f t="shared" si="76"/>
        <v>0</v>
      </c>
      <c r="S249" s="154">
        <f t="shared" si="76"/>
        <v>0</v>
      </c>
      <c r="T249" s="154">
        <f t="shared" si="76"/>
        <v>0</v>
      </c>
      <c r="U249" s="155">
        <f>SUM(G249:M249)</f>
        <v>0</v>
      </c>
      <c r="V249" s="140" t="str">
        <f>IF(ABS(F249-U249)&lt;0.01,"ok","err")</f>
        <v>ok</v>
      </c>
    </row>
    <row r="250" spans="1:22">
      <c r="F250" s="16"/>
      <c r="G250" s="16"/>
      <c r="U250" s="155"/>
    </row>
    <row r="251" spans="1:22">
      <c r="A251" s="141" t="s">
        <v>4</v>
      </c>
      <c r="F251" s="16"/>
      <c r="G251" s="16"/>
      <c r="U251" s="155"/>
    </row>
    <row r="252" spans="1:22">
      <c r="A252" s="153" t="s">
        <v>209</v>
      </c>
      <c r="C252" s="157" t="s">
        <v>741</v>
      </c>
      <c r="D252" s="147" t="s">
        <v>274</v>
      </c>
      <c r="E252" s="147" t="s">
        <v>317</v>
      </c>
      <c r="F252" s="154">
        <f>VLOOKUP(C252,'Functional Assignment'!$C$1:$AR$731,9,)</f>
        <v>0</v>
      </c>
      <c r="G252" s="154">
        <f t="shared" ref="G252:J253" si="77">(VLOOKUP($E252,$D$6:$AI$660,G$2,)/VLOOKUP($E252,$D$6:$AI$660,3,))*$F252</f>
        <v>0</v>
      </c>
      <c r="H252" s="154">
        <f t="shared" si="77"/>
        <v>0</v>
      </c>
      <c r="I252" s="154">
        <f t="shared" si="77"/>
        <v>0</v>
      </c>
      <c r="J252" s="154">
        <f t="shared" si="77"/>
        <v>0</v>
      </c>
      <c r="K252" s="154">
        <f>(VLOOKUP($E252,$D$6:$AI$660,8,)/VLOOKUP($E252,$D$6:$AI$660,3,))*$F252</f>
        <v>0</v>
      </c>
      <c r="L252" s="154">
        <f>(VLOOKUP($E252,$D$6:$AI$660,L$2,)/VLOOKUP($E252,$D$6:$AI$660,3,))*$F252</f>
        <v>0</v>
      </c>
      <c r="M252" s="154">
        <f>(VLOOKUP($E252,$D$6:$AI$660,M$2,)/VLOOKUP($E252,$D$6:$AI$660,3,))*$F252</f>
        <v>0</v>
      </c>
      <c r="N252" s="154">
        <f>(VLOOKUP($E252,$D$6:$AI$660,11,)/VLOOKUP($E252,$D$6:$AI$660,3,))*$F252</f>
        <v>0</v>
      </c>
      <c r="O252" s="154">
        <f t="shared" ref="O252:Q253" si="78">(VLOOKUP($E252,$D$6:$AI$660,O$2,)/VLOOKUP($E252,$D$6:$AI$660,3,))*$F252</f>
        <v>0</v>
      </c>
      <c r="P252" s="154">
        <f t="shared" si="78"/>
        <v>0</v>
      </c>
      <c r="Q252" s="154">
        <f t="shared" si="78"/>
        <v>0</v>
      </c>
      <c r="R252" s="154">
        <f>(VLOOKUP($E252,$D$6:$AI$660,15,)/VLOOKUP($E252,$D$6:$AI$660,3,))*$F252</f>
        <v>0</v>
      </c>
      <c r="S252" s="154">
        <f>(VLOOKUP($E252,$D$6:$AI$660,16,)/VLOOKUP($E252,$D$6:$AI$660,3,))*$F252</f>
        <v>0</v>
      </c>
      <c r="T252" s="154">
        <f>(VLOOKUP($E252,$D$6:$AI$660,17,)/VLOOKUP($E252,$D$6:$AI$660,3,))*$F252</f>
        <v>0</v>
      </c>
      <c r="U252" s="155">
        <f>SUM(G252:M252)</f>
        <v>0</v>
      </c>
      <c r="V252" s="140" t="str">
        <f>IF(ABS(F252-U252)&lt;0.01,"ok","err")</f>
        <v>ok</v>
      </c>
    </row>
    <row r="253" spans="1:22">
      <c r="A253" s="147" t="s">
        <v>229</v>
      </c>
      <c r="C253" s="157" t="s">
        <v>741</v>
      </c>
      <c r="D253" s="147" t="s">
        <v>275</v>
      </c>
      <c r="E253" s="147" t="s">
        <v>318</v>
      </c>
      <c r="F253" s="16">
        <f>VLOOKUP(C253,'Functional Assignment'!$C$1:$AR$731,10,)</f>
        <v>0</v>
      </c>
      <c r="G253" s="16">
        <f t="shared" si="77"/>
        <v>0</v>
      </c>
      <c r="H253" s="16">
        <f t="shared" si="77"/>
        <v>0</v>
      </c>
      <c r="I253" s="16">
        <f t="shared" si="77"/>
        <v>0</v>
      </c>
      <c r="J253" s="16">
        <f t="shared" si="77"/>
        <v>0</v>
      </c>
      <c r="K253" s="16">
        <f>(VLOOKUP($E253,$D$6:$AI$660,8,)/VLOOKUP($E253,$D$6:$AI$660,3,))*$F253</f>
        <v>0</v>
      </c>
      <c r="L253" s="16">
        <f>(VLOOKUP($E253,$D$6:$AI$660,L$2,)/VLOOKUP($E253,$D$6:$AI$660,3,))*$F253</f>
        <v>0</v>
      </c>
      <c r="M253" s="16">
        <f>(VLOOKUP($E253,$D$6:$AI$660,M$2,)/VLOOKUP($E253,$D$6:$AI$660,3,))*$F253</f>
        <v>0</v>
      </c>
      <c r="N253" s="16">
        <f>(VLOOKUP($E253,$D$6:$AI$660,11,)/VLOOKUP($E253,$D$6:$AI$660,3,))*$F253</f>
        <v>0</v>
      </c>
      <c r="O253" s="16">
        <f t="shared" si="78"/>
        <v>0</v>
      </c>
      <c r="P253" s="16">
        <f t="shared" si="78"/>
        <v>0</v>
      </c>
      <c r="Q253" s="16">
        <f t="shared" si="78"/>
        <v>0</v>
      </c>
      <c r="R253" s="16">
        <f>(VLOOKUP($E253,$D$6:$AI$660,15,)/VLOOKUP($E253,$D$6:$AI$660,3,))*$F253</f>
        <v>0</v>
      </c>
      <c r="S253" s="16">
        <f>(VLOOKUP($E253,$D$6:$AI$660,16,)/VLOOKUP($E253,$D$6:$AI$660,3,))*$F253</f>
        <v>0</v>
      </c>
      <c r="T253" s="16">
        <f>(VLOOKUP($E253,$D$6:$AI$660,17,)/VLOOKUP($E253,$D$6:$AI$660,3,))*$F253</f>
        <v>0</v>
      </c>
      <c r="U253" s="155">
        <f>SUM(G253:M253)</f>
        <v>0</v>
      </c>
      <c r="V253" s="140" t="str">
        <f>IF(ABS(F253-U253)&lt;0.01,"ok","err")</f>
        <v>ok</v>
      </c>
    </row>
    <row r="254" spans="1:22">
      <c r="A254" s="147" t="s">
        <v>231</v>
      </c>
      <c r="D254" s="147" t="s">
        <v>343</v>
      </c>
      <c r="F254" s="154">
        <f>SUM(F252:F253)</f>
        <v>0</v>
      </c>
      <c r="G254" s="154">
        <f t="shared" ref="G254:T254" si="79">G252+G253</f>
        <v>0</v>
      </c>
      <c r="H254" s="154">
        <f t="shared" si="79"/>
        <v>0</v>
      </c>
      <c r="I254" s="154">
        <f t="shared" si="79"/>
        <v>0</v>
      </c>
      <c r="J254" s="154">
        <f t="shared" si="79"/>
        <v>0</v>
      </c>
      <c r="K254" s="154">
        <f t="shared" si="79"/>
        <v>0</v>
      </c>
      <c r="L254" s="154">
        <f t="shared" si="79"/>
        <v>0</v>
      </c>
      <c r="M254" s="154">
        <f t="shared" si="79"/>
        <v>0</v>
      </c>
      <c r="N254" s="154">
        <f t="shared" si="79"/>
        <v>0</v>
      </c>
      <c r="O254" s="154">
        <f t="shared" si="79"/>
        <v>0</v>
      </c>
      <c r="P254" s="154">
        <f t="shared" si="79"/>
        <v>0</v>
      </c>
      <c r="Q254" s="154">
        <f t="shared" si="79"/>
        <v>0</v>
      </c>
      <c r="R254" s="154">
        <f t="shared" si="79"/>
        <v>0</v>
      </c>
      <c r="S254" s="154">
        <f t="shared" si="79"/>
        <v>0</v>
      </c>
      <c r="T254" s="154">
        <f t="shared" si="79"/>
        <v>0</v>
      </c>
      <c r="U254" s="155">
        <f>SUM(G254:M254)</f>
        <v>0</v>
      </c>
      <c r="V254" s="140" t="str">
        <f>IF(ABS(F254-U254)&lt;0.01,"ok","err")</f>
        <v>ok</v>
      </c>
    </row>
    <row r="255" spans="1:22">
      <c r="F255" s="16"/>
      <c r="U255" s="155"/>
    </row>
    <row r="256" spans="1:22">
      <c r="A256" s="141" t="s">
        <v>6</v>
      </c>
      <c r="F256" s="16"/>
      <c r="U256" s="155"/>
    </row>
    <row r="257" spans="1:23">
      <c r="A257" s="147" t="s">
        <v>229</v>
      </c>
      <c r="C257" s="157" t="s">
        <v>741</v>
      </c>
      <c r="D257" s="147" t="s">
        <v>276</v>
      </c>
      <c r="E257" s="147" t="s">
        <v>319</v>
      </c>
      <c r="F257" s="154">
        <f>VLOOKUP(C257,'Functional Assignment'!$C$1:$AR$731,11,)</f>
        <v>0</v>
      </c>
      <c r="G257" s="154">
        <f>(VLOOKUP($E257,$D$6:$AI$660,G$2,)/VLOOKUP($E257,$D$6:$AI$660,3,))*$F257</f>
        <v>0</v>
      </c>
      <c r="H257" s="154">
        <f>(VLOOKUP($E257,$D$6:$AI$660,H$2,)/VLOOKUP($E257,$D$6:$AI$660,3,))*$F257</f>
        <v>0</v>
      </c>
      <c r="I257" s="154">
        <f>(VLOOKUP($E257,$D$6:$AI$660,I$2,)/VLOOKUP($E257,$D$6:$AI$660,3,))*$F257</f>
        <v>0</v>
      </c>
      <c r="J257" s="154">
        <f>(VLOOKUP($E257,$D$6:$AI$660,J$2,)/VLOOKUP($E257,$D$6:$AI$660,3,))*$F257</f>
        <v>0</v>
      </c>
      <c r="K257" s="154">
        <f>(VLOOKUP($E257,$D$6:$AI$660,8,)/VLOOKUP($E257,$D$6:$AI$660,3,))*$F257</f>
        <v>0</v>
      </c>
      <c r="L257" s="154">
        <f>(VLOOKUP($E257,$D$6:$AI$660,L$2,)/VLOOKUP($E257,$D$6:$AI$660,3,))*$F257</f>
        <v>0</v>
      </c>
      <c r="M257" s="154">
        <f>(VLOOKUP($E257,$D$6:$AI$660,M$2,)/VLOOKUP($E257,$D$6:$AI$660,3,))*$F257</f>
        <v>0</v>
      </c>
      <c r="N257" s="154">
        <f>(VLOOKUP($E257,$D$6:$AI$660,11,)/VLOOKUP($E257,$D$6:$AI$660,3,))*$F257</f>
        <v>0</v>
      </c>
      <c r="O257" s="154">
        <f>(VLOOKUP($E257,$D$6:$AI$660,O$2,)/VLOOKUP($E257,$D$6:$AI$660,3,))*$F257</f>
        <v>0</v>
      </c>
      <c r="P257" s="154">
        <f>(VLOOKUP($E257,$D$6:$AI$660,P$2,)/VLOOKUP($E257,$D$6:$AI$660,3,))*$F257</f>
        <v>0</v>
      </c>
      <c r="Q257" s="154">
        <f>(VLOOKUP($E257,$D$6:$AI$660,Q$2,)/VLOOKUP($E257,$D$6:$AI$660,3,))*$F257</f>
        <v>0</v>
      </c>
      <c r="R257" s="154">
        <f>(VLOOKUP($E257,$D$6:$AI$660,15,)/VLOOKUP($E257,$D$6:$AI$660,3,))*$F257</f>
        <v>0</v>
      </c>
      <c r="S257" s="154">
        <f>(VLOOKUP($E257,$D$6:$AI$660,16,)/VLOOKUP($E257,$D$6:$AI$660,3,))*$F257</f>
        <v>0</v>
      </c>
      <c r="T257" s="154">
        <f>(VLOOKUP($E257,$D$6:$AI$660,17,)/VLOOKUP($E257,$D$6:$AI$660,3,))*$F257</f>
        <v>0</v>
      </c>
      <c r="U257" s="155">
        <f>SUM(G257:M257)</f>
        <v>0</v>
      </c>
      <c r="V257" s="140" t="str">
        <f>IF(ABS(F257-U257)&lt;0.01,"ok","err")</f>
        <v>ok</v>
      </c>
    </row>
    <row r="258" spans="1:23">
      <c r="A258" s="153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55"/>
      <c r="V258" s="140"/>
    </row>
    <row r="259" spans="1:23">
      <c r="A259" s="141" t="s">
        <v>7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55"/>
      <c r="V259" s="140"/>
    </row>
    <row r="260" spans="1:23">
      <c r="A260" s="153" t="s">
        <v>209</v>
      </c>
      <c r="C260" s="157" t="s">
        <v>741</v>
      </c>
      <c r="D260" s="147" t="s">
        <v>277</v>
      </c>
      <c r="E260" s="147" t="s">
        <v>320</v>
      </c>
      <c r="F260" s="154">
        <f>VLOOKUP(C260,'Functional Assignment'!$C$1:$AR$731,12,)</f>
        <v>0</v>
      </c>
      <c r="G260" s="154">
        <f>(VLOOKUP($E260,$D$6:$AI$660,G$2,)/VLOOKUP($E260,$D$6:$AI$660,3,))*$F260</f>
        <v>0</v>
      </c>
      <c r="H260" s="154">
        <f>(VLOOKUP($E260,$D$6:$AI$660,H$2,)/VLOOKUP($E260,$D$6:$AI$660,3,))*$F260</f>
        <v>0</v>
      </c>
      <c r="I260" s="154">
        <f>(VLOOKUP($E260,$D$6:$AI$660,I$2,)/VLOOKUP($E260,$D$6:$AI$660,3,))*$F260</f>
        <v>0</v>
      </c>
      <c r="J260" s="154">
        <f>(VLOOKUP($E260,$D$6:$AI$660,J$2,)/VLOOKUP($E260,$D$6:$AI$660,3,))*$F260</f>
        <v>0</v>
      </c>
      <c r="K260" s="154">
        <f>(VLOOKUP($E260,$D$6:$AI$660,8,)/VLOOKUP($E260,$D$6:$AI$660,3,))*$F260</f>
        <v>0</v>
      </c>
      <c r="L260" s="154">
        <f>(VLOOKUP($E260,$D$6:$AI$660,L$2,)/VLOOKUP($E260,$D$6:$AI$660,3,))*$F260</f>
        <v>0</v>
      </c>
      <c r="M260" s="154">
        <f>(VLOOKUP($E260,$D$6:$AI$660,M$2,)/VLOOKUP($E260,$D$6:$AI$660,3,))*$F260</f>
        <v>0</v>
      </c>
      <c r="N260" s="154">
        <f>(VLOOKUP($E260,$D$6:$AI$660,11,)/VLOOKUP($E260,$D$6:$AI$660,3,))*$F260</f>
        <v>0</v>
      </c>
      <c r="O260" s="154">
        <f>(VLOOKUP($E260,$D$6:$AI$660,O$2,)/VLOOKUP($E260,$D$6:$AI$660,3,))*$F260</f>
        <v>0</v>
      </c>
      <c r="P260" s="154">
        <f>(VLOOKUP($E260,$D$6:$AI$660,P$2,)/VLOOKUP($E260,$D$6:$AI$660,3,))*$F260</f>
        <v>0</v>
      </c>
      <c r="Q260" s="154">
        <f>(VLOOKUP($E260,$D$6:$AI$660,Q$2,)/VLOOKUP($E260,$D$6:$AI$660,3,))*$F260</f>
        <v>0</v>
      </c>
      <c r="R260" s="154">
        <f>(VLOOKUP($E260,$D$6:$AI$660,15,)/VLOOKUP($E260,$D$6:$AI$660,3,))*$F260</f>
        <v>0</v>
      </c>
      <c r="S260" s="154">
        <f>(VLOOKUP($E260,$D$6:$AI$660,16,)/VLOOKUP($E260,$D$6:$AI$660,3,))*$F260</f>
        <v>0</v>
      </c>
      <c r="T260" s="154">
        <f>(VLOOKUP($E260,$D$6:$AI$660,17,)/VLOOKUP($E260,$D$6:$AI$660,3,))*$F260</f>
        <v>0</v>
      </c>
      <c r="U260" s="155">
        <f>SUM(G260:M260)</f>
        <v>0</v>
      </c>
      <c r="V260" s="140" t="str">
        <f>IF(ABS(F260-U260)&lt;0.01,"ok","err")</f>
        <v>ok</v>
      </c>
    </row>
    <row r="261" spans="1:23">
      <c r="F261" s="16"/>
      <c r="U261" s="155"/>
    </row>
    <row r="262" spans="1:23">
      <c r="A262" s="141" t="s">
        <v>8</v>
      </c>
      <c r="F262" s="16"/>
      <c r="U262" s="155"/>
    </row>
    <row r="263" spans="1:23">
      <c r="A263" s="153" t="s">
        <v>690</v>
      </c>
      <c r="C263" s="157" t="s">
        <v>741</v>
      </c>
      <c r="D263" s="147" t="s">
        <v>278</v>
      </c>
      <c r="E263" s="147" t="s">
        <v>695</v>
      </c>
      <c r="F263" s="154">
        <f>VLOOKUP(C263,'Functional Assignment'!$C$1:$AR$731,13,)</f>
        <v>0</v>
      </c>
      <c r="G263" s="154">
        <f t="shared" ref="G263:J266" si="80">(VLOOKUP($E263,$D$6:$AI$660,G$2,)/VLOOKUP($E263,$D$6:$AI$660,3,))*$F263</f>
        <v>0</v>
      </c>
      <c r="H263" s="154">
        <f t="shared" si="80"/>
        <v>0</v>
      </c>
      <c r="I263" s="154">
        <f t="shared" si="80"/>
        <v>0</v>
      </c>
      <c r="J263" s="154">
        <f t="shared" si="80"/>
        <v>0</v>
      </c>
      <c r="K263" s="154">
        <f>(VLOOKUP($E263,$D$6:$AI$660,8,)/VLOOKUP($E263,$D$6:$AI$660,3,))*$F263</f>
        <v>0</v>
      </c>
      <c r="L263" s="154">
        <f t="shared" ref="L263:M266" si="81">(VLOOKUP($E263,$D$6:$AI$660,L$2,)/VLOOKUP($E263,$D$6:$AI$660,3,))*$F263</f>
        <v>0</v>
      </c>
      <c r="M263" s="154">
        <f t="shared" si="81"/>
        <v>0</v>
      </c>
      <c r="N263" s="154">
        <f>(VLOOKUP($E263,$D$6:$AI$660,11,)/VLOOKUP($E263,$D$6:$AI$660,3,))*$F263</f>
        <v>0</v>
      </c>
      <c r="O263" s="154">
        <f t="shared" ref="O263:Q266" si="82">(VLOOKUP($E263,$D$6:$AI$660,O$2,)/VLOOKUP($E263,$D$6:$AI$660,3,))*$F263</f>
        <v>0</v>
      </c>
      <c r="P263" s="154">
        <f t="shared" si="82"/>
        <v>0</v>
      </c>
      <c r="Q263" s="154">
        <f t="shared" si="82"/>
        <v>0</v>
      </c>
      <c r="R263" s="154">
        <f>(VLOOKUP($E263,$D$6:$AI$660,15,)/VLOOKUP($E263,$D$6:$AI$660,3,))*$F263</f>
        <v>0</v>
      </c>
      <c r="S263" s="154">
        <f>(VLOOKUP($E263,$D$6:$AI$660,16,)/VLOOKUP($E263,$D$6:$AI$660,3,))*$F263</f>
        <v>0</v>
      </c>
      <c r="T263" s="154">
        <f>(VLOOKUP($E263,$D$6:$AI$660,17,)/VLOOKUP($E263,$D$6:$AI$660,3,))*$F263</f>
        <v>0</v>
      </c>
      <c r="U263" s="155">
        <f>SUM(G263:M263)</f>
        <v>0</v>
      </c>
      <c r="V263" s="140" t="str">
        <f>IF(ABS(F263-U263)&lt;0.01,"ok","err")</f>
        <v>ok</v>
      </c>
    </row>
    <row r="264" spans="1:23">
      <c r="A264" s="153" t="s">
        <v>689</v>
      </c>
      <c r="C264" s="157" t="s">
        <v>741</v>
      </c>
      <c r="D264" s="147" t="s">
        <v>279</v>
      </c>
      <c r="E264" s="147" t="s">
        <v>694</v>
      </c>
      <c r="F264" s="16">
        <f>VLOOKUP(C264,'Functional Assignment'!$C$1:$AR$731,14,)</f>
        <v>0</v>
      </c>
      <c r="G264" s="16">
        <f t="shared" si="80"/>
        <v>0</v>
      </c>
      <c r="H264" s="16">
        <f t="shared" si="80"/>
        <v>0</v>
      </c>
      <c r="I264" s="16">
        <f t="shared" si="80"/>
        <v>0</v>
      </c>
      <c r="J264" s="16">
        <f t="shared" si="80"/>
        <v>0</v>
      </c>
      <c r="K264" s="16">
        <f>(VLOOKUP($E264,$D$6:$AI$660,8,)/VLOOKUP($E264,$D$6:$AI$660,3,))*$F264</f>
        <v>0</v>
      </c>
      <c r="L264" s="16">
        <f t="shared" si="81"/>
        <v>0</v>
      </c>
      <c r="M264" s="16">
        <f t="shared" si="81"/>
        <v>0</v>
      </c>
      <c r="N264" s="16">
        <f>(VLOOKUP($E264,$D$6:$AI$660,11,)/VLOOKUP($E264,$D$6:$AI$660,3,))*$F264</f>
        <v>0</v>
      </c>
      <c r="O264" s="16">
        <f t="shared" si="82"/>
        <v>0</v>
      </c>
      <c r="P264" s="16">
        <f t="shared" si="82"/>
        <v>0</v>
      </c>
      <c r="Q264" s="16">
        <f t="shared" si="82"/>
        <v>0</v>
      </c>
      <c r="R264" s="16">
        <f>(VLOOKUP($E264,$D$6:$AI$660,15,)/VLOOKUP($E264,$D$6:$AI$660,3,))*$F264</f>
        <v>0</v>
      </c>
      <c r="S264" s="16">
        <f>(VLOOKUP($E264,$D$6:$AI$660,16,)/VLOOKUP($E264,$D$6:$AI$660,3,))*$F264</f>
        <v>0</v>
      </c>
      <c r="T264" s="16">
        <f>(VLOOKUP($E264,$D$6:$AI$660,17,)/VLOOKUP($E264,$D$6:$AI$660,3,))*$F264</f>
        <v>0</v>
      </c>
      <c r="U264" s="155">
        <f>SUM(G264:M264)</f>
        <v>0</v>
      </c>
      <c r="V264" s="140" t="str">
        <f>IF(ABS(F264-U264)&lt;0.01,"ok","err")</f>
        <v>ok</v>
      </c>
      <c r="W264" s="156"/>
    </row>
    <row r="265" spans="1:23">
      <c r="A265" s="153" t="s">
        <v>691</v>
      </c>
      <c r="C265" s="157" t="s">
        <v>741</v>
      </c>
      <c r="D265" s="147" t="s">
        <v>278</v>
      </c>
      <c r="E265" s="147" t="s">
        <v>321</v>
      </c>
      <c r="F265" s="16">
        <f>VLOOKUP(C265,'Functional Assignment'!$C$1:$AR$731,15,)</f>
        <v>0</v>
      </c>
      <c r="G265" s="16">
        <f t="shared" si="80"/>
        <v>0</v>
      </c>
      <c r="H265" s="16">
        <f t="shared" si="80"/>
        <v>0</v>
      </c>
      <c r="I265" s="16">
        <f t="shared" si="80"/>
        <v>0</v>
      </c>
      <c r="J265" s="16">
        <f t="shared" si="80"/>
        <v>0</v>
      </c>
      <c r="K265" s="16">
        <f>(VLOOKUP($E265,$D$6:$AI$660,8,)/VLOOKUP($E265,$D$6:$AI$660,3,))*$F265</f>
        <v>0</v>
      </c>
      <c r="L265" s="16">
        <f t="shared" si="81"/>
        <v>0</v>
      </c>
      <c r="M265" s="16">
        <f t="shared" si="81"/>
        <v>0</v>
      </c>
      <c r="N265" s="16">
        <f>(VLOOKUP($E265,$D$6:$AI$660,11,)/VLOOKUP($E265,$D$6:$AI$660,3,))*$F265</f>
        <v>0</v>
      </c>
      <c r="O265" s="16">
        <f t="shared" si="82"/>
        <v>0</v>
      </c>
      <c r="P265" s="16">
        <f t="shared" si="82"/>
        <v>0</v>
      </c>
      <c r="Q265" s="16">
        <f t="shared" si="82"/>
        <v>0</v>
      </c>
      <c r="R265" s="16"/>
      <c r="S265" s="16"/>
      <c r="T265" s="16"/>
      <c r="U265" s="155"/>
      <c r="V265" s="140"/>
    </row>
    <row r="266" spans="1:23">
      <c r="A266" s="153" t="s">
        <v>688</v>
      </c>
      <c r="C266" s="157" t="s">
        <v>741</v>
      </c>
      <c r="D266" s="147" t="s">
        <v>279</v>
      </c>
      <c r="E266" s="147" t="s">
        <v>322</v>
      </c>
      <c r="F266" s="16">
        <f>VLOOKUP(C266,'Functional Assignment'!$C$1:$AR$731,16,)</f>
        <v>0</v>
      </c>
      <c r="G266" s="16">
        <f t="shared" si="80"/>
        <v>0</v>
      </c>
      <c r="H266" s="16">
        <f t="shared" si="80"/>
        <v>0</v>
      </c>
      <c r="I266" s="16">
        <f t="shared" si="80"/>
        <v>0</v>
      </c>
      <c r="J266" s="16">
        <f t="shared" si="80"/>
        <v>0</v>
      </c>
      <c r="K266" s="16">
        <f>(VLOOKUP($E266,$D$6:$AI$660,8,)/VLOOKUP($E266,$D$6:$AI$660,3,))*$F266</f>
        <v>0</v>
      </c>
      <c r="L266" s="16">
        <f t="shared" si="81"/>
        <v>0</v>
      </c>
      <c r="M266" s="16">
        <f t="shared" si="81"/>
        <v>0</v>
      </c>
      <c r="N266" s="16">
        <f>(VLOOKUP($E266,$D$6:$AI$660,11,)/VLOOKUP($E266,$D$6:$AI$660,3,))*$F266</f>
        <v>0</v>
      </c>
      <c r="O266" s="16">
        <f t="shared" si="82"/>
        <v>0</v>
      </c>
      <c r="P266" s="16">
        <f t="shared" si="82"/>
        <v>0</v>
      </c>
      <c r="Q266" s="16">
        <f t="shared" si="82"/>
        <v>0</v>
      </c>
      <c r="R266" s="16"/>
      <c r="S266" s="16"/>
      <c r="T266" s="16"/>
      <c r="U266" s="155"/>
      <c r="V266" s="140"/>
    </row>
    <row r="267" spans="1:23">
      <c r="A267" s="147" t="s">
        <v>232</v>
      </c>
      <c r="F267" s="154">
        <f t="shared" ref="F267:Q267" si="83">SUM(F263:F266)</f>
        <v>0</v>
      </c>
      <c r="G267" s="154">
        <f t="shared" si="83"/>
        <v>0</v>
      </c>
      <c r="H267" s="154">
        <f t="shared" si="83"/>
        <v>0</v>
      </c>
      <c r="I267" s="154">
        <f t="shared" si="83"/>
        <v>0</v>
      </c>
      <c r="J267" s="154">
        <f t="shared" si="83"/>
        <v>0</v>
      </c>
      <c r="K267" s="154">
        <f t="shared" si="83"/>
        <v>0</v>
      </c>
      <c r="L267" s="154">
        <f t="shared" si="83"/>
        <v>0</v>
      </c>
      <c r="M267" s="154">
        <f t="shared" si="83"/>
        <v>0</v>
      </c>
      <c r="N267" s="154">
        <f t="shared" si="83"/>
        <v>0</v>
      </c>
      <c r="O267" s="154">
        <f t="shared" si="83"/>
        <v>0</v>
      </c>
      <c r="P267" s="154">
        <f t="shared" si="83"/>
        <v>0</v>
      </c>
      <c r="Q267" s="154">
        <f t="shared" si="83"/>
        <v>0</v>
      </c>
      <c r="R267" s="154">
        <f>R263+R264</f>
        <v>0</v>
      </c>
      <c r="S267" s="154">
        <f>S263+S264</f>
        <v>0</v>
      </c>
      <c r="T267" s="154">
        <f>T263+T264</f>
        <v>0</v>
      </c>
      <c r="U267" s="155">
        <f>SUM(G267:M267)</f>
        <v>0</v>
      </c>
      <c r="V267" s="140" t="str">
        <f>IF(ABS(F267-U267)&lt;0.01,"ok","err")</f>
        <v>ok</v>
      </c>
      <c r="W267" s="156"/>
    </row>
    <row r="268" spans="1:23">
      <c r="F268" s="16"/>
      <c r="U268" s="155"/>
    </row>
    <row r="269" spans="1:23">
      <c r="A269" s="141" t="s">
        <v>10</v>
      </c>
      <c r="F269" s="16"/>
      <c r="U269" s="155"/>
    </row>
    <row r="270" spans="1:23">
      <c r="A270" s="153" t="s">
        <v>210</v>
      </c>
      <c r="C270" s="157" t="s">
        <v>741</v>
      </c>
      <c r="D270" s="147" t="s">
        <v>273</v>
      </c>
      <c r="E270" s="147" t="s">
        <v>323</v>
      </c>
      <c r="F270" s="154">
        <f>VLOOKUP(C270,'Functional Assignment'!$C$1:$AR$731,17,)</f>
        <v>0</v>
      </c>
      <c r="G270" s="154">
        <f>(VLOOKUP($E270,$D$6:$AI$660,G$2,)/VLOOKUP($E270,$D$6:$AI$660,3,))*$F270</f>
        <v>0</v>
      </c>
      <c r="H270" s="154">
        <f>(VLOOKUP($E270,$D$6:$AI$660,H$2,)/VLOOKUP($E270,$D$6:$AI$660,3,))*$F270</f>
        <v>0</v>
      </c>
      <c r="I270" s="154">
        <f>(VLOOKUP($E270,$D$6:$AI$660,I$2,)/VLOOKUP($E270,$D$6:$AI$660,3,))*$F270</f>
        <v>0</v>
      </c>
      <c r="J270" s="154">
        <f>(VLOOKUP($E270,$D$6:$AI$660,J$2,)/VLOOKUP($E270,$D$6:$AI$660,3,))*$F270</f>
        <v>0</v>
      </c>
      <c r="K270" s="154">
        <f>(VLOOKUP($E270,$D$6:$AI$660,8,)/VLOOKUP($E270,$D$6:$AI$660,3,))*$F270</f>
        <v>0</v>
      </c>
      <c r="L270" s="154">
        <f>(VLOOKUP($E270,$D$6:$AI$660,L$2,)/VLOOKUP($E270,$D$6:$AI$660,3,))*$F270</f>
        <v>0</v>
      </c>
      <c r="M270" s="154">
        <f>(VLOOKUP($E270,$D$6:$AI$660,M$2,)/VLOOKUP($E270,$D$6:$AI$660,3,))*$F270</f>
        <v>0</v>
      </c>
      <c r="N270" s="154">
        <f>(VLOOKUP($E270,$D$6:$AI$660,11,)/VLOOKUP($E270,$D$6:$AI$660,3,))*$F270</f>
        <v>0</v>
      </c>
      <c r="O270" s="154">
        <f>(VLOOKUP($E270,$D$6:$AI$660,O$2,)/VLOOKUP($E270,$D$6:$AI$660,3,))*$F270</f>
        <v>0</v>
      </c>
      <c r="P270" s="154">
        <f>(VLOOKUP($E270,$D$6:$AI$660,P$2,)/VLOOKUP($E270,$D$6:$AI$660,3,))*$F270</f>
        <v>0</v>
      </c>
      <c r="Q270" s="154">
        <f>(VLOOKUP($E270,$D$6:$AI$660,Q$2,)/VLOOKUP($E270,$D$6:$AI$660,3,))*$F270</f>
        <v>0</v>
      </c>
      <c r="R270" s="154">
        <f>(VLOOKUP($E270,$D$6:$AI$660,15,)/VLOOKUP($E270,$D$6:$AI$660,3,))*$F270</f>
        <v>0</v>
      </c>
      <c r="S270" s="154">
        <f>(VLOOKUP($E270,$D$6:$AI$660,16,)/VLOOKUP($E270,$D$6:$AI$660,3,))*$F270</f>
        <v>0</v>
      </c>
      <c r="T270" s="154">
        <f>(VLOOKUP($E270,$D$6:$AI$660,17,)/VLOOKUP($E270,$D$6:$AI$660,3,))*$F270</f>
        <v>0</v>
      </c>
      <c r="U270" s="155">
        <f>SUM(G270:M270)</f>
        <v>0</v>
      </c>
      <c r="V270" s="140" t="str">
        <f>IF(ABS(F270-U270)&lt;0.01,"ok","err")</f>
        <v>ok</v>
      </c>
      <c r="W270" s="156"/>
    </row>
    <row r="271" spans="1:23">
      <c r="F271" s="16"/>
      <c r="U271" s="155"/>
    </row>
    <row r="272" spans="1:23">
      <c r="A272" s="141" t="s">
        <v>11</v>
      </c>
      <c r="F272" s="16"/>
      <c r="U272" s="155"/>
    </row>
    <row r="273" spans="1:24">
      <c r="A273" s="153" t="s">
        <v>210</v>
      </c>
      <c r="C273" s="157" t="s">
        <v>741</v>
      </c>
      <c r="D273" s="147" t="s">
        <v>280</v>
      </c>
      <c r="E273" s="147" t="s">
        <v>324</v>
      </c>
      <c r="F273" s="154">
        <f>VLOOKUP(C273,'Functional Assignment'!$C$1:$AR$731,18,)</f>
        <v>0</v>
      </c>
      <c r="G273" s="154">
        <f>(VLOOKUP($E273,$D$6:$AI$660,G$2,)/VLOOKUP($E273,$D$6:$AI$660,3,))*$F273</f>
        <v>0</v>
      </c>
      <c r="H273" s="154">
        <f>(VLOOKUP($E273,$D$6:$AI$660,H$2,)/VLOOKUP($E273,$D$6:$AI$660,3,))*$F273</f>
        <v>0</v>
      </c>
      <c r="I273" s="154">
        <f>(VLOOKUP($E273,$D$6:$AI$660,I$2,)/VLOOKUP($E273,$D$6:$AI$660,3,))*$F273</f>
        <v>0</v>
      </c>
      <c r="J273" s="154">
        <f>(VLOOKUP($E273,$D$6:$AI$660,J$2,)/VLOOKUP($E273,$D$6:$AI$660,3,))*$F273</f>
        <v>0</v>
      </c>
      <c r="K273" s="154">
        <f>(VLOOKUP($E273,$D$6:$AI$660,8,)/VLOOKUP($E273,$D$6:$AI$660,3,))*$F273</f>
        <v>0</v>
      </c>
      <c r="L273" s="154">
        <f>(VLOOKUP($E273,$D$6:$AI$660,L$2,)/VLOOKUP($E273,$D$6:$AI$660,3,))*$F273</f>
        <v>0</v>
      </c>
      <c r="M273" s="154">
        <f>(VLOOKUP($E273,$D$6:$AI$660,M$2,)/VLOOKUP($E273,$D$6:$AI$660,3,))*$F273</f>
        <v>0</v>
      </c>
      <c r="N273" s="154">
        <f>(VLOOKUP($E273,$D$6:$AI$660,11,)/VLOOKUP($E273,$D$6:$AI$660,3,))*$F273</f>
        <v>0</v>
      </c>
      <c r="O273" s="154">
        <f>(VLOOKUP($E273,$D$6:$AI$660,O$2,)/VLOOKUP($E273,$D$6:$AI$660,3,))*$F273</f>
        <v>0</v>
      </c>
      <c r="P273" s="154">
        <f>(VLOOKUP($E273,$D$6:$AI$660,P$2,)/VLOOKUP($E273,$D$6:$AI$660,3,))*$F273</f>
        <v>0</v>
      </c>
      <c r="Q273" s="154">
        <f>(VLOOKUP($E273,$D$6:$AI$660,Q$2,)/VLOOKUP($E273,$D$6:$AI$660,3,))*$F273</f>
        <v>0</v>
      </c>
      <c r="R273" s="154">
        <f>(VLOOKUP($E273,$D$6:$AI$660,15,)/VLOOKUP($E273,$D$6:$AI$660,3,))*$F273</f>
        <v>0</v>
      </c>
      <c r="S273" s="154">
        <f>(VLOOKUP($E273,$D$6:$AI$660,16,)/VLOOKUP($E273,$D$6:$AI$660,3,))*$F273</f>
        <v>0</v>
      </c>
      <c r="T273" s="154">
        <f>(VLOOKUP($E273,$D$6:$AI$660,17,)/VLOOKUP($E273,$D$6:$AI$660,3,))*$F273</f>
        <v>0</v>
      </c>
      <c r="U273" s="155">
        <f>SUM(G273:M273)</f>
        <v>0</v>
      </c>
      <c r="V273" s="140" t="str">
        <f>IF(ABS(F273-U273)&lt;0.01,"ok","err")</f>
        <v>ok</v>
      </c>
    </row>
    <row r="274" spans="1:24">
      <c r="F274" s="16"/>
      <c r="U274" s="155"/>
    </row>
    <row r="275" spans="1:24">
      <c r="A275" s="141" t="s">
        <v>12</v>
      </c>
      <c r="F275" s="16"/>
      <c r="U275" s="155"/>
    </row>
    <row r="276" spans="1:24">
      <c r="A276" s="153" t="s">
        <v>210</v>
      </c>
      <c r="C276" s="157" t="s">
        <v>741</v>
      </c>
      <c r="D276" s="147" t="s">
        <v>281</v>
      </c>
      <c r="E276" s="147" t="s">
        <v>325</v>
      </c>
      <c r="F276" s="154">
        <f>VLOOKUP(C276,'Functional Assignment'!$C$1:$AR$731,19,)</f>
        <v>0</v>
      </c>
      <c r="G276" s="154">
        <f>(VLOOKUP($E276,$D$6:$AI$660,G$2,)/VLOOKUP($E276,$D$6:$AI$660,3,))*$F276</f>
        <v>0</v>
      </c>
      <c r="H276" s="154">
        <f>(VLOOKUP($E276,$D$6:$AI$660,H$2,)/VLOOKUP($E276,$D$6:$AI$660,3,))*$F276</f>
        <v>0</v>
      </c>
      <c r="I276" s="154">
        <f>(VLOOKUP($E276,$D$6:$AI$660,I$2,)/VLOOKUP($E276,$D$6:$AI$660,3,))*$F276</f>
        <v>0</v>
      </c>
      <c r="J276" s="154">
        <f>(VLOOKUP($E276,$D$6:$AI$660,J$2,)/VLOOKUP($E276,$D$6:$AI$660,3,))*$F276</f>
        <v>0</v>
      </c>
      <c r="K276" s="154">
        <f>(VLOOKUP($E276,$D$6:$AI$660,8,)/VLOOKUP($E276,$D$6:$AI$660,3,))*$F276</f>
        <v>0</v>
      </c>
      <c r="L276" s="154">
        <f>(VLOOKUP($E276,$D$6:$AI$660,L$2,)/VLOOKUP($E276,$D$6:$AI$660,3,))*$F276</f>
        <v>0</v>
      </c>
      <c r="M276" s="154">
        <f>(VLOOKUP($E276,$D$6:$AI$660,M$2,)/VLOOKUP($E276,$D$6:$AI$660,3,))*$F276</f>
        <v>0</v>
      </c>
      <c r="N276" s="154">
        <f>(VLOOKUP($E276,$D$6:$AI$660,11,)/VLOOKUP($E276,$D$6:$AI$660,3,))*$F276</f>
        <v>0</v>
      </c>
      <c r="O276" s="154">
        <f>(VLOOKUP($E276,$D$6:$AI$660,O$2,)/VLOOKUP($E276,$D$6:$AI$660,3,))*$F276</f>
        <v>0</v>
      </c>
      <c r="P276" s="154">
        <f>(VLOOKUP($E276,$D$6:$AI$660,P$2,)/VLOOKUP($E276,$D$6:$AI$660,3,))*$F276</f>
        <v>0</v>
      </c>
      <c r="Q276" s="154">
        <f>(VLOOKUP($E276,$D$6:$AI$660,Q$2,)/VLOOKUP($E276,$D$6:$AI$660,3,))*$F276</f>
        <v>0</v>
      </c>
      <c r="R276" s="154">
        <f>(VLOOKUP($E276,$D$6:$AI$660,15,)/VLOOKUP($E276,$D$6:$AI$660,3,))*$F276</f>
        <v>0</v>
      </c>
      <c r="S276" s="154">
        <f>(VLOOKUP($E276,$D$6:$AI$660,16,)/VLOOKUP($E276,$D$6:$AI$660,3,))*$F276</f>
        <v>0</v>
      </c>
      <c r="T276" s="154">
        <f>(VLOOKUP($E276,$D$6:$AI$660,17,)/VLOOKUP($E276,$D$6:$AI$660,3,))*$F276</f>
        <v>0</v>
      </c>
      <c r="U276" s="155">
        <f>SUM(G276:M276)</f>
        <v>0</v>
      </c>
      <c r="V276" s="140" t="str">
        <f>IF(ABS(F276-U276)&lt;0.01,"ok","err")</f>
        <v>ok</v>
      </c>
    </row>
    <row r="277" spans="1:24">
      <c r="F277" s="16"/>
      <c r="U277" s="155"/>
    </row>
    <row r="278" spans="1:24">
      <c r="A278" s="141" t="s">
        <v>13</v>
      </c>
      <c r="F278" s="16"/>
      <c r="U278" s="155"/>
    </row>
    <row r="279" spans="1:24">
      <c r="A279" s="153" t="s">
        <v>210</v>
      </c>
      <c r="C279" s="157" t="s">
        <v>741</v>
      </c>
      <c r="D279" s="147" t="s">
        <v>282</v>
      </c>
      <c r="E279" s="147" t="s">
        <v>326</v>
      </c>
      <c r="F279" s="154">
        <f>VLOOKUP(C279,'Functional Assignment'!$C$1:$AR$731,20,)</f>
        <v>0</v>
      </c>
      <c r="G279" s="154">
        <f>(VLOOKUP($E279,$D$6:$AI$660,G$2,)/VLOOKUP($E279,$D$6:$AI$660,3,))*$F279</f>
        <v>0</v>
      </c>
      <c r="H279" s="154">
        <f>(VLOOKUP($E279,$D$6:$AI$660,H$2,)/VLOOKUP($E279,$D$6:$AI$660,3,))*$F279</f>
        <v>0</v>
      </c>
      <c r="I279" s="154">
        <f>(VLOOKUP($E279,$D$6:$AI$660,I$2,)/VLOOKUP($E279,$D$6:$AI$660,3,))*$F279</f>
        <v>0</v>
      </c>
      <c r="J279" s="154">
        <f>(VLOOKUP($E279,$D$6:$AI$660,J$2,)/VLOOKUP($E279,$D$6:$AI$660,3,))*$F279</f>
        <v>0</v>
      </c>
      <c r="K279" s="154">
        <f>(VLOOKUP($E279,$D$6:$AI$660,8,)/VLOOKUP($E279,$D$6:$AI$660,3,))*$F279</f>
        <v>0</v>
      </c>
      <c r="L279" s="154">
        <f>(VLOOKUP($E279,$D$6:$AI$660,L$2,)/VLOOKUP($E279,$D$6:$AI$660,3,))*$F279</f>
        <v>0</v>
      </c>
      <c r="M279" s="154">
        <f>(VLOOKUP($E279,$D$6:$AI$660,M$2,)/VLOOKUP($E279,$D$6:$AI$660,3,))*$F279</f>
        <v>0</v>
      </c>
      <c r="N279" s="154">
        <f>(VLOOKUP($E279,$D$6:$AI$660,11,)/VLOOKUP($E279,$D$6:$AI$660,3,))*$F279</f>
        <v>0</v>
      </c>
      <c r="O279" s="154">
        <f>(VLOOKUP($E279,$D$6:$AI$660,O$2,)/VLOOKUP($E279,$D$6:$AI$660,3,))*$F279</f>
        <v>0</v>
      </c>
      <c r="P279" s="154">
        <f>(VLOOKUP($E279,$D$6:$AI$660,P$2,)/VLOOKUP($E279,$D$6:$AI$660,3,))*$F279</f>
        <v>0</v>
      </c>
      <c r="Q279" s="154">
        <f>(VLOOKUP($E279,$D$6:$AI$660,Q$2,)/VLOOKUP($E279,$D$6:$AI$660,3,))*$F279</f>
        <v>0</v>
      </c>
      <c r="R279" s="154">
        <f>(VLOOKUP($E279,$D$6:$AI$660,15,)/VLOOKUP($E279,$D$6:$AI$660,3,))*$F279</f>
        <v>0</v>
      </c>
      <c r="S279" s="154">
        <f>(VLOOKUP($E279,$D$6:$AI$660,16,)/VLOOKUP($E279,$D$6:$AI$660,3,))*$F279</f>
        <v>0</v>
      </c>
      <c r="T279" s="154">
        <f>(VLOOKUP($E279,$D$6:$AI$660,17,)/VLOOKUP($E279,$D$6:$AI$660,3,))*$F279</f>
        <v>0</v>
      </c>
      <c r="U279" s="155">
        <f>SUM(G279:M279)</f>
        <v>0</v>
      </c>
      <c r="V279" s="140" t="str">
        <f>IF(ABS(F279-U279)&lt;0.01,"ok","err")</f>
        <v>ok</v>
      </c>
    </row>
    <row r="280" spans="1:24">
      <c r="F280" s="16"/>
      <c r="U280" s="155"/>
    </row>
    <row r="281" spans="1:24">
      <c r="A281" s="147" t="s">
        <v>14</v>
      </c>
      <c r="D281" s="147" t="s">
        <v>744</v>
      </c>
      <c r="F281" s="154">
        <f t="shared" ref="F281:T281" si="84">F244+F249+F254+F257+F260+F267+F270+F273+F276+F279</f>
        <v>0</v>
      </c>
      <c r="G281" s="154">
        <f t="shared" si="84"/>
        <v>0</v>
      </c>
      <c r="H281" s="154">
        <f t="shared" si="84"/>
        <v>0</v>
      </c>
      <c r="I281" s="154">
        <f t="shared" si="84"/>
        <v>0</v>
      </c>
      <c r="J281" s="154">
        <f t="shared" si="84"/>
        <v>0</v>
      </c>
      <c r="K281" s="154">
        <f t="shared" si="84"/>
        <v>0</v>
      </c>
      <c r="L281" s="154">
        <f t="shared" si="84"/>
        <v>0</v>
      </c>
      <c r="M281" s="154">
        <f t="shared" si="84"/>
        <v>0</v>
      </c>
      <c r="N281" s="154">
        <f t="shared" si="84"/>
        <v>0</v>
      </c>
      <c r="O281" s="154">
        <f t="shared" si="84"/>
        <v>0</v>
      </c>
      <c r="P281" s="154">
        <f t="shared" si="84"/>
        <v>0</v>
      </c>
      <c r="Q281" s="154">
        <f t="shared" si="84"/>
        <v>0</v>
      </c>
      <c r="R281" s="154">
        <f t="shared" si="84"/>
        <v>0</v>
      </c>
      <c r="S281" s="154">
        <f t="shared" si="84"/>
        <v>0</v>
      </c>
      <c r="T281" s="154">
        <f t="shared" si="84"/>
        <v>0</v>
      </c>
      <c r="U281" s="155">
        <f>SUM(G281:M281)</f>
        <v>0</v>
      </c>
      <c r="V281" s="140" t="str">
        <f>IF(ABS(F281-U281)&lt;0.01,"ok","err")</f>
        <v>ok</v>
      </c>
      <c r="W281" s="155"/>
      <c r="X281" s="140"/>
    </row>
    <row r="282" spans="1:24"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5"/>
      <c r="V282" s="140"/>
    </row>
    <row r="283" spans="1:24">
      <c r="A283" s="152" t="s">
        <v>745</v>
      </c>
      <c r="U283" s="155"/>
    </row>
    <row r="284" spans="1:24">
      <c r="U284" s="155"/>
    </row>
    <row r="285" spans="1:24">
      <c r="A285" s="141" t="s">
        <v>461</v>
      </c>
      <c r="U285" s="155"/>
    </row>
    <row r="286" spans="1:24">
      <c r="A286" s="153" t="s">
        <v>209</v>
      </c>
      <c r="C286" s="157" t="s">
        <v>742</v>
      </c>
      <c r="D286" s="147" t="s">
        <v>283</v>
      </c>
      <c r="E286" s="147" t="s">
        <v>313</v>
      </c>
      <c r="F286" s="154">
        <f>VLOOKUP(C286,'Functional Assignment'!$C$1:$AR$731,5,)</f>
        <v>0</v>
      </c>
      <c r="G286" s="154">
        <f t="shared" ref="G286:J287" si="85">(VLOOKUP($E286,$D$6:$AI$660,G$2,)/VLOOKUP($E286,$D$6:$AI$660,3,))*$F286</f>
        <v>0</v>
      </c>
      <c r="H286" s="154">
        <f t="shared" si="85"/>
        <v>0</v>
      </c>
      <c r="I286" s="154">
        <f t="shared" si="85"/>
        <v>0</v>
      </c>
      <c r="J286" s="154">
        <f t="shared" si="85"/>
        <v>0</v>
      </c>
      <c r="K286" s="154">
        <f>(VLOOKUP($E286,$D$6:$AI$660,8,)/VLOOKUP($E286,$D$6:$AI$660,3,))*$F286</f>
        <v>0</v>
      </c>
      <c r="L286" s="154">
        <f>(VLOOKUP($E286,$D$6:$AI$660,L$2,)/VLOOKUP($E286,$D$6:$AI$660,3,))*$F286</f>
        <v>0</v>
      </c>
      <c r="M286" s="154">
        <f>(VLOOKUP($E286,$D$6:$AI$660,M$2,)/VLOOKUP($E286,$D$6:$AI$660,3,))*$F286</f>
        <v>0</v>
      </c>
      <c r="N286" s="154">
        <f>(VLOOKUP($E286,$D$6:$AI$660,11,)/VLOOKUP($E286,$D$6:$AI$660,3,))*$F286</f>
        <v>0</v>
      </c>
      <c r="O286" s="154">
        <f t="shared" ref="O286:Q287" si="86">(VLOOKUP($E286,$D$6:$AI$660,O$2,)/VLOOKUP($E286,$D$6:$AI$660,3,))*$F286</f>
        <v>0</v>
      </c>
      <c r="P286" s="154">
        <f t="shared" si="86"/>
        <v>0</v>
      </c>
      <c r="Q286" s="154">
        <f t="shared" si="86"/>
        <v>0</v>
      </c>
      <c r="R286" s="154">
        <f>(VLOOKUP($E286,$D$6:$AI$660,15,)/VLOOKUP($E286,$D$6:$AI$660,3,))*$F286</f>
        <v>0</v>
      </c>
      <c r="S286" s="154">
        <f>(VLOOKUP($E286,$D$6:$AI$660,16,)/VLOOKUP($E286,$D$6:$AI$660,3,))*$F286</f>
        <v>0</v>
      </c>
      <c r="T286" s="154">
        <f>(VLOOKUP($E286,$D$6:$AI$660,17,)/VLOOKUP($E286,$D$6:$AI$660,3,))*$F286</f>
        <v>0</v>
      </c>
      <c r="U286" s="155">
        <f>SUM(G286:M286)</f>
        <v>0</v>
      </c>
      <c r="V286" s="140" t="str">
        <f>IF(ABS(F286-U286)&lt;0.01,"ok","err")</f>
        <v>ok</v>
      </c>
    </row>
    <row r="287" spans="1:24">
      <c r="A287" s="153" t="s">
        <v>229</v>
      </c>
      <c r="C287" s="157" t="s">
        <v>742</v>
      </c>
      <c r="D287" s="147" t="s">
        <v>271</v>
      </c>
      <c r="E287" s="147" t="s">
        <v>314</v>
      </c>
      <c r="F287" s="16">
        <f>VLOOKUP(C287,'Functional Assignment'!$C$1:$AR$731,6,)</f>
        <v>0</v>
      </c>
      <c r="G287" s="16">
        <f t="shared" si="85"/>
        <v>0</v>
      </c>
      <c r="H287" s="16">
        <f t="shared" si="85"/>
        <v>0</v>
      </c>
      <c r="I287" s="16">
        <f t="shared" si="85"/>
        <v>0</v>
      </c>
      <c r="J287" s="16">
        <f t="shared" si="85"/>
        <v>0</v>
      </c>
      <c r="K287" s="16">
        <f>(VLOOKUP($E287,$D$6:$AI$660,8,)/VLOOKUP($E287,$D$6:$AI$660,3,))*$F287</f>
        <v>0</v>
      </c>
      <c r="L287" s="16">
        <f>(VLOOKUP($E287,$D$6:$AI$660,L$2,)/VLOOKUP($E287,$D$6:$AI$660,3,))*$F287</f>
        <v>0</v>
      </c>
      <c r="M287" s="16">
        <f>(VLOOKUP($E287,$D$6:$AI$660,M$2,)/VLOOKUP($E287,$D$6:$AI$660,3,))*$F287</f>
        <v>0</v>
      </c>
      <c r="N287" s="16">
        <f>(VLOOKUP($E287,$D$6:$AI$660,11,)/VLOOKUP($E287,$D$6:$AI$660,3,))*$F287</f>
        <v>0</v>
      </c>
      <c r="O287" s="16">
        <f t="shared" si="86"/>
        <v>0</v>
      </c>
      <c r="P287" s="16">
        <f t="shared" si="86"/>
        <v>0</v>
      </c>
      <c r="Q287" s="16">
        <f t="shared" si="86"/>
        <v>0</v>
      </c>
      <c r="R287" s="16">
        <f>(VLOOKUP($E287,$D$6:$AI$660,15,)/VLOOKUP($E287,$D$6:$AI$660,3,))*$F287</f>
        <v>0</v>
      </c>
      <c r="S287" s="16">
        <f>(VLOOKUP($E287,$D$6:$AI$660,16,)/VLOOKUP($E287,$D$6:$AI$660,3,))*$F287</f>
        <v>0</v>
      </c>
      <c r="T287" s="16">
        <f>(VLOOKUP($E287,$D$6:$AI$660,17,)/VLOOKUP($E287,$D$6:$AI$660,3,))*$F287</f>
        <v>0</v>
      </c>
      <c r="U287" s="155">
        <f>SUM(G287:M287)</f>
        <v>0</v>
      </c>
      <c r="V287" s="140" t="str">
        <f>IF(ABS(F287-U287)&lt;0.01,"ok","err")</f>
        <v>ok</v>
      </c>
    </row>
    <row r="288" spans="1:24">
      <c r="A288" s="147" t="s">
        <v>667</v>
      </c>
      <c r="D288" s="147" t="s">
        <v>341</v>
      </c>
      <c r="F288" s="154">
        <f t="shared" ref="F288:T288" si="87">F286+F287</f>
        <v>0</v>
      </c>
      <c r="G288" s="154">
        <f t="shared" si="87"/>
        <v>0</v>
      </c>
      <c r="H288" s="154">
        <f t="shared" si="87"/>
        <v>0</v>
      </c>
      <c r="I288" s="154">
        <f t="shared" si="87"/>
        <v>0</v>
      </c>
      <c r="J288" s="154">
        <f t="shared" si="87"/>
        <v>0</v>
      </c>
      <c r="K288" s="154">
        <f t="shared" si="87"/>
        <v>0</v>
      </c>
      <c r="L288" s="154">
        <f t="shared" si="87"/>
        <v>0</v>
      </c>
      <c r="M288" s="154">
        <f t="shared" si="87"/>
        <v>0</v>
      </c>
      <c r="N288" s="154">
        <f t="shared" si="87"/>
        <v>0</v>
      </c>
      <c r="O288" s="154">
        <f t="shared" si="87"/>
        <v>0</v>
      </c>
      <c r="P288" s="154">
        <f t="shared" si="87"/>
        <v>0</v>
      </c>
      <c r="Q288" s="154">
        <f t="shared" si="87"/>
        <v>0</v>
      </c>
      <c r="R288" s="154">
        <f t="shared" si="87"/>
        <v>0</v>
      </c>
      <c r="S288" s="154">
        <f t="shared" si="87"/>
        <v>0</v>
      </c>
      <c r="T288" s="154">
        <f t="shared" si="87"/>
        <v>0</v>
      </c>
      <c r="U288" s="155">
        <f>SUM(G288:M288)</f>
        <v>0</v>
      </c>
      <c r="V288" s="140" t="str">
        <f>IF(ABS(F288-U288)&lt;0.01,"ok","err")</f>
        <v>ok</v>
      </c>
    </row>
    <row r="289" spans="1:22">
      <c r="F289" s="16"/>
      <c r="G289" s="16"/>
      <c r="U289" s="155"/>
    </row>
    <row r="290" spans="1:22">
      <c r="A290" s="141" t="s">
        <v>3</v>
      </c>
      <c r="F290" s="16"/>
      <c r="G290" s="16"/>
      <c r="U290" s="155"/>
    </row>
    <row r="291" spans="1:22">
      <c r="A291" s="153" t="s">
        <v>209</v>
      </c>
      <c r="C291" s="157" t="s">
        <v>742</v>
      </c>
      <c r="D291" s="147" t="s">
        <v>272</v>
      </c>
      <c r="E291" s="147" t="s">
        <v>315</v>
      </c>
      <c r="F291" s="154">
        <f>VLOOKUP(C291,'Functional Assignment'!$C$1:$AR$731,7,)</f>
        <v>0</v>
      </c>
      <c r="G291" s="154">
        <f t="shared" ref="G291:J292" si="88">(VLOOKUP($E291,$D$6:$AI$660,G$2,)/VLOOKUP($E291,$D$6:$AI$660,3,))*$F291</f>
        <v>0</v>
      </c>
      <c r="H291" s="154">
        <f t="shared" si="88"/>
        <v>0</v>
      </c>
      <c r="I291" s="154">
        <f t="shared" si="88"/>
        <v>0</v>
      </c>
      <c r="J291" s="154">
        <f t="shared" si="88"/>
        <v>0</v>
      </c>
      <c r="K291" s="154">
        <f>(VLOOKUP($E291,$D$6:$AI$660,8,)/VLOOKUP($E291,$D$6:$AI$660,3,))*$F291</f>
        <v>0</v>
      </c>
      <c r="L291" s="154">
        <f>(VLOOKUP($E291,$D$6:$AI$660,L$2,)/VLOOKUP($E291,$D$6:$AI$660,3,))*$F291</f>
        <v>0</v>
      </c>
      <c r="M291" s="154">
        <f>(VLOOKUP($E291,$D$6:$AI$660,M$2,)/VLOOKUP($E291,$D$6:$AI$660,3,))*$F291</f>
        <v>0</v>
      </c>
      <c r="N291" s="154">
        <f>(VLOOKUP($E291,$D$6:$AI$660,11,)/VLOOKUP($E291,$D$6:$AI$660,3,))*$F291</f>
        <v>0</v>
      </c>
      <c r="O291" s="154">
        <f t="shared" ref="O291:Q292" si="89">(VLOOKUP($E291,$D$6:$AI$660,O$2,)/VLOOKUP($E291,$D$6:$AI$660,3,))*$F291</f>
        <v>0</v>
      </c>
      <c r="P291" s="154">
        <f t="shared" si="89"/>
        <v>0</v>
      </c>
      <c r="Q291" s="154">
        <f t="shared" si="89"/>
        <v>0</v>
      </c>
      <c r="R291" s="154">
        <f>(VLOOKUP($E291,$D$6:$AI$660,15,)/VLOOKUP($E291,$D$6:$AI$660,3,))*$F291</f>
        <v>0</v>
      </c>
      <c r="S291" s="154">
        <f>(VLOOKUP($E291,$D$6:$AI$660,16,)/VLOOKUP($E291,$D$6:$AI$660,3,))*$F291</f>
        <v>0</v>
      </c>
      <c r="T291" s="154">
        <f>(VLOOKUP($E291,$D$6:$AI$660,17,)/VLOOKUP($E291,$D$6:$AI$660,3,))*$F291</f>
        <v>0</v>
      </c>
      <c r="U291" s="155">
        <f>SUM(G291:M291)</f>
        <v>0</v>
      </c>
      <c r="V291" s="140" t="str">
        <f>IF(ABS(F291-U291)&lt;0.01,"ok","err")</f>
        <v>ok</v>
      </c>
    </row>
    <row r="292" spans="1:22">
      <c r="A292" s="147" t="s">
        <v>229</v>
      </c>
      <c r="C292" s="157" t="s">
        <v>742</v>
      </c>
      <c r="D292" s="147" t="s">
        <v>273</v>
      </c>
      <c r="E292" s="147" t="s">
        <v>316</v>
      </c>
      <c r="F292" s="16">
        <f>VLOOKUP(C292,'Functional Assignment'!$C$1:$AR$731,8,)</f>
        <v>0</v>
      </c>
      <c r="G292" s="16">
        <f t="shared" si="88"/>
        <v>0</v>
      </c>
      <c r="H292" s="16">
        <f t="shared" si="88"/>
        <v>0</v>
      </c>
      <c r="I292" s="16">
        <f t="shared" si="88"/>
        <v>0</v>
      </c>
      <c r="J292" s="16">
        <f t="shared" si="88"/>
        <v>0</v>
      </c>
      <c r="K292" s="16">
        <f>(VLOOKUP($E292,$D$6:$AI$660,8,)/VLOOKUP($E292,$D$6:$AI$660,3,))*$F292</f>
        <v>0</v>
      </c>
      <c r="L292" s="16">
        <f>(VLOOKUP($E292,$D$6:$AI$660,L$2,)/VLOOKUP($E292,$D$6:$AI$660,3,))*$F292</f>
        <v>0</v>
      </c>
      <c r="M292" s="16">
        <f>(VLOOKUP($E292,$D$6:$AI$660,M$2,)/VLOOKUP($E292,$D$6:$AI$660,3,))*$F292</f>
        <v>0</v>
      </c>
      <c r="N292" s="16">
        <f>(VLOOKUP($E292,$D$6:$AI$660,11,)/VLOOKUP($E292,$D$6:$AI$660,3,))*$F292</f>
        <v>0</v>
      </c>
      <c r="O292" s="16">
        <f t="shared" si="89"/>
        <v>0</v>
      </c>
      <c r="P292" s="16">
        <f t="shared" si="89"/>
        <v>0</v>
      </c>
      <c r="Q292" s="16">
        <f t="shared" si="89"/>
        <v>0</v>
      </c>
      <c r="R292" s="16">
        <f>(VLOOKUP($E292,$D$6:$AI$660,15,)/VLOOKUP($E292,$D$6:$AI$660,3,))*$F292</f>
        <v>0</v>
      </c>
      <c r="S292" s="16">
        <f>(VLOOKUP($E292,$D$6:$AI$660,16,)/VLOOKUP($E292,$D$6:$AI$660,3,))*$F292</f>
        <v>0</v>
      </c>
      <c r="T292" s="16">
        <f>(VLOOKUP($E292,$D$6:$AI$660,17,)/VLOOKUP($E292,$D$6:$AI$660,3,))*$F292</f>
        <v>0</v>
      </c>
      <c r="U292" s="155">
        <f>SUM(G292:M292)</f>
        <v>0</v>
      </c>
      <c r="V292" s="140" t="str">
        <f>IF(ABS(F292-U292)&lt;0.01,"ok","err")</f>
        <v>ok</v>
      </c>
    </row>
    <row r="293" spans="1:22">
      <c r="A293" s="147" t="s">
        <v>230</v>
      </c>
      <c r="D293" s="147" t="s">
        <v>342</v>
      </c>
      <c r="F293" s="154">
        <f>SUM(F291:F292)</f>
        <v>0</v>
      </c>
      <c r="G293" s="154">
        <f t="shared" ref="G293:T293" si="90">G291+G292</f>
        <v>0</v>
      </c>
      <c r="H293" s="154">
        <f t="shared" si="90"/>
        <v>0</v>
      </c>
      <c r="I293" s="154">
        <f t="shared" si="90"/>
        <v>0</v>
      </c>
      <c r="J293" s="154">
        <f t="shared" si="90"/>
        <v>0</v>
      </c>
      <c r="K293" s="154">
        <f t="shared" si="90"/>
        <v>0</v>
      </c>
      <c r="L293" s="154">
        <f t="shared" si="90"/>
        <v>0</v>
      </c>
      <c r="M293" s="154">
        <f t="shared" si="90"/>
        <v>0</v>
      </c>
      <c r="N293" s="154">
        <f t="shared" si="90"/>
        <v>0</v>
      </c>
      <c r="O293" s="154">
        <f t="shared" si="90"/>
        <v>0</v>
      </c>
      <c r="P293" s="154">
        <f t="shared" si="90"/>
        <v>0</v>
      </c>
      <c r="Q293" s="154">
        <f t="shared" si="90"/>
        <v>0</v>
      </c>
      <c r="R293" s="154">
        <f t="shared" si="90"/>
        <v>0</v>
      </c>
      <c r="S293" s="154">
        <f t="shared" si="90"/>
        <v>0</v>
      </c>
      <c r="T293" s="154">
        <f t="shared" si="90"/>
        <v>0</v>
      </c>
      <c r="U293" s="155">
        <f>SUM(G293:M293)</f>
        <v>0</v>
      </c>
      <c r="V293" s="140" t="str">
        <f>IF(ABS(F293-U293)&lt;0.01,"ok","err")</f>
        <v>ok</v>
      </c>
    </row>
    <row r="294" spans="1:22">
      <c r="F294" s="16"/>
      <c r="G294" s="16"/>
      <c r="U294" s="155"/>
    </row>
    <row r="295" spans="1:22">
      <c r="A295" s="141" t="s">
        <v>4</v>
      </c>
      <c r="F295" s="16"/>
      <c r="G295" s="16"/>
      <c r="U295" s="155"/>
    </row>
    <row r="296" spans="1:22">
      <c r="A296" s="153" t="s">
        <v>209</v>
      </c>
      <c r="C296" s="157" t="s">
        <v>742</v>
      </c>
      <c r="D296" s="147" t="s">
        <v>274</v>
      </c>
      <c r="E296" s="147" t="s">
        <v>317</v>
      </c>
      <c r="F296" s="154">
        <f>VLOOKUP(C296,'Functional Assignment'!$C$1:$AR$731,9,)</f>
        <v>0</v>
      </c>
      <c r="G296" s="154">
        <f t="shared" ref="G296:J297" si="91">(VLOOKUP($E296,$D$6:$AI$660,G$2,)/VLOOKUP($E296,$D$6:$AI$660,3,))*$F296</f>
        <v>0</v>
      </c>
      <c r="H296" s="154">
        <f t="shared" si="91"/>
        <v>0</v>
      </c>
      <c r="I296" s="154">
        <f t="shared" si="91"/>
        <v>0</v>
      </c>
      <c r="J296" s="154">
        <f t="shared" si="91"/>
        <v>0</v>
      </c>
      <c r="K296" s="154">
        <f>(VLOOKUP($E296,$D$6:$AI$660,8,)/VLOOKUP($E296,$D$6:$AI$660,3,))*$F296</f>
        <v>0</v>
      </c>
      <c r="L296" s="154">
        <f>(VLOOKUP($E296,$D$6:$AI$660,L$2,)/VLOOKUP($E296,$D$6:$AI$660,3,))*$F296</f>
        <v>0</v>
      </c>
      <c r="M296" s="154">
        <f>(VLOOKUP($E296,$D$6:$AI$660,M$2,)/VLOOKUP($E296,$D$6:$AI$660,3,))*$F296</f>
        <v>0</v>
      </c>
      <c r="N296" s="154">
        <f>(VLOOKUP($E296,$D$6:$AI$660,11,)/VLOOKUP($E296,$D$6:$AI$660,3,))*$F296</f>
        <v>0</v>
      </c>
      <c r="O296" s="154">
        <f t="shared" ref="O296:Q297" si="92">(VLOOKUP($E296,$D$6:$AI$660,O$2,)/VLOOKUP($E296,$D$6:$AI$660,3,))*$F296</f>
        <v>0</v>
      </c>
      <c r="P296" s="154">
        <f t="shared" si="92"/>
        <v>0</v>
      </c>
      <c r="Q296" s="154">
        <f t="shared" si="92"/>
        <v>0</v>
      </c>
      <c r="R296" s="154">
        <f>(VLOOKUP($E296,$D$6:$AI$660,15,)/VLOOKUP($E296,$D$6:$AI$660,3,))*$F296</f>
        <v>0</v>
      </c>
      <c r="S296" s="154">
        <f>(VLOOKUP($E296,$D$6:$AI$660,16,)/VLOOKUP($E296,$D$6:$AI$660,3,))*$F296</f>
        <v>0</v>
      </c>
      <c r="T296" s="154">
        <f>(VLOOKUP($E296,$D$6:$AI$660,17,)/VLOOKUP($E296,$D$6:$AI$660,3,))*$F296</f>
        <v>0</v>
      </c>
      <c r="U296" s="155">
        <f>SUM(G296:M296)</f>
        <v>0</v>
      </c>
      <c r="V296" s="140" t="str">
        <f>IF(ABS(F296-U296)&lt;0.01,"ok","err")</f>
        <v>ok</v>
      </c>
    </row>
    <row r="297" spans="1:22">
      <c r="A297" s="147" t="s">
        <v>229</v>
      </c>
      <c r="C297" s="157" t="s">
        <v>742</v>
      </c>
      <c r="D297" s="147" t="s">
        <v>275</v>
      </c>
      <c r="E297" s="147" t="s">
        <v>318</v>
      </c>
      <c r="F297" s="16">
        <f>VLOOKUP(C297,'Functional Assignment'!$C$1:$AR$731,10,)</f>
        <v>0</v>
      </c>
      <c r="G297" s="16">
        <f t="shared" si="91"/>
        <v>0</v>
      </c>
      <c r="H297" s="16">
        <f t="shared" si="91"/>
        <v>0</v>
      </c>
      <c r="I297" s="16">
        <f t="shared" si="91"/>
        <v>0</v>
      </c>
      <c r="J297" s="16">
        <f t="shared" si="91"/>
        <v>0</v>
      </c>
      <c r="K297" s="16">
        <f>(VLOOKUP($E297,$D$6:$AI$660,8,)/VLOOKUP($E297,$D$6:$AI$660,3,))*$F297</f>
        <v>0</v>
      </c>
      <c r="L297" s="16">
        <f>(VLOOKUP($E297,$D$6:$AI$660,L$2,)/VLOOKUP($E297,$D$6:$AI$660,3,))*$F297</f>
        <v>0</v>
      </c>
      <c r="M297" s="16">
        <f>(VLOOKUP($E297,$D$6:$AI$660,M$2,)/VLOOKUP($E297,$D$6:$AI$660,3,))*$F297</f>
        <v>0</v>
      </c>
      <c r="N297" s="16">
        <f>(VLOOKUP($E297,$D$6:$AI$660,11,)/VLOOKUP($E297,$D$6:$AI$660,3,))*$F297</f>
        <v>0</v>
      </c>
      <c r="O297" s="16">
        <f t="shared" si="92"/>
        <v>0</v>
      </c>
      <c r="P297" s="16">
        <f t="shared" si="92"/>
        <v>0</v>
      </c>
      <c r="Q297" s="16">
        <f t="shared" si="92"/>
        <v>0</v>
      </c>
      <c r="R297" s="16">
        <f>(VLOOKUP($E297,$D$6:$AI$660,15,)/VLOOKUP($E297,$D$6:$AI$660,3,))*$F297</f>
        <v>0</v>
      </c>
      <c r="S297" s="16">
        <f>(VLOOKUP($E297,$D$6:$AI$660,16,)/VLOOKUP($E297,$D$6:$AI$660,3,))*$F297</f>
        <v>0</v>
      </c>
      <c r="T297" s="16">
        <f>(VLOOKUP($E297,$D$6:$AI$660,17,)/VLOOKUP($E297,$D$6:$AI$660,3,))*$F297</f>
        <v>0</v>
      </c>
      <c r="U297" s="155">
        <f>SUM(G297:M297)</f>
        <v>0</v>
      </c>
      <c r="V297" s="140" t="str">
        <f>IF(ABS(F297-U297)&lt;0.01,"ok","err")</f>
        <v>ok</v>
      </c>
    </row>
    <row r="298" spans="1:22">
      <c r="A298" s="147" t="s">
        <v>231</v>
      </c>
      <c r="D298" s="147" t="s">
        <v>343</v>
      </c>
      <c r="F298" s="154">
        <f>SUM(F296:F297)</f>
        <v>0</v>
      </c>
      <c r="G298" s="154">
        <f t="shared" ref="G298:T298" si="93">G296+G297</f>
        <v>0</v>
      </c>
      <c r="H298" s="154">
        <f t="shared" si="93"/>
        <v>0</v>
      </c>
      <c r="I298" s="154">
        <f t="shared" si="93"/>
        <v>0</v>
      </c>
      <c r="J298" s="154">
        <f t="shared" si="93"/>
        <v>0</v>
      </c>
      <c r="K298" s="154">
        <f t="shared" si="93"/>
        <v>0</v>
      </c>
      <c r="L298" s="154">
        <f t="shared" si="93"/>
        <v>0</v>
      </c>
      <c r="M298" s="154">
        <f t="shared" si="93"/>
        <v>0</v>
      </c>
      <c r="N298" s="154">
        <f t="shared" si="93"/>
        <v>0</v>
      </c>
      <c r="O298" s="154">
        <f t="shared" si="93"/>
        <v>0</v>
      </c>
      <c r="P298" s="154">
        <f t="shared" si="93"/>
        <v>0</v>
      </c>
      <c r="Q298" s="154">
        <f t="shared" si="93"/>
        <v>0</v>
      </c>
      <c r="R298" s="154">
        <f t="shared" si="93"/>
        <v>0</v>
      </c>
      <c r="S298" s="154">
        <f t="shared" si="93"/>
        <v>0</v>
      </c>
      <c r="T298" s="154">
        <f t="shared" si="93"/>
        <v>0</v>
      </c>
      <c r="U298" s="155">
        <f>SUM(G298:M298)</f>
        <v>0</v>
      </c>
      <c r="V298" s="140" t="str">
        <f>IF(ABS(F298-U298)&lt;0.01,"ok","err")</f>
        <v>ok</v>
      </c>
    </row>
    <row r="299" spans="1:22">
      <c r="F299" s="16"/>
      <c r="U299" s="155"/>
    </row>
    <row r="300" spans="1:22">
      <c r="A300" s="141" t="s">
        <v>6</v>
      </c>
      <c r="F300" s="16"/>
      <c r="U300" s="155"/>
    </row>
    <row r="301" spans="1:22">
      <c r="A301" s="147" t="s">
        <v>229</v>
      </c>
      <c r="C301" s="157" t="s">
        <v>742</v>
      </c>
      <c r="D301" s="147" t="s">
        <v>276</v>
      </c>
      <c r="E301" s="147" t="s">
        <v>319</v>
      </c>
      <c r="F301" s="154">
        <f>VLOOKUP(C301,'Functional Assignment'!$C$1:$AR$731,11,)</f>
        <v>0</v>
      </c>
      <c r="G301" s="154">
        <f>(VLOOKUP($E301,$D$6:$AI$660,G$2,)/VLOOKUP($E301,$D$6:$AI$660,3,))*$F301</f>
        <v>0</v>
      </c>
      <c r="H301" s="154">
        <f>(VLOOKUP($E301,$D$6:$AI$660,H$2,)/VLOOKUP($E301,$D$6:$AI$660,3,))*$F301</f>
        <v>0</v>
      </c>
      <c r="I301" s="154">
        <f>(VLOOKUP($E301,$D$6:$AI$660,I$2,)/VLOOKUP($E301,$D$6:$AI$660,3,))*$F301</f>
        <v>0</v>
      </c>
      <c r="J301" s="154">
        <f>(VLOOKUP($E301,$D$6:$AI$660,J$2,)/VLOOKUP($E301,$D$6:$AI$660,3,))*$F301</f>
        <v>0</v>
      </c>
      <c r="K301" s="154">
        <f>(VLOOKUP($E301,$D$6:$AI$660,8,)/VLOOKUP($E301,$D$6:$AI$660,3,))*$F301</f>
        <v>0</v>
      </c>
      <c r="L301" s="154">
        <f>(VLOOKUP($E301,$D$6:$AI$660,L$2,)/VLOOKUP($E301,$D$6:$AI$660,3,))*$F301</f>
        <v>0</v>
      </c>
      <c r="M301" s="154">
        <f>(VLOOKUP($E301,$D$6:$AI$660,M$2,)/VLOOKUP($E301,$D$6:$AI$660,3,))*$F301</f>
        <v>0</v>
      </c>
      <c r="N301" s="154">
        <f>(VLOOKUP($E301,$D$6:$AI$660,11,)/VLOOKUP($E301,$D$6:$AI$660,3,))*$F301</f>
        <v>0</v>
      </c>
      <c r="O301" s="154">
        <f>(VLOOKUP($E301,$D$6:$AI$660,O$2,)/VLOOKUP($E301,$D$6:$AI$660,3,))*$F301</f>
        <v>0</v>
      </c>
      <c r="P301" s="154">
        <f>(VLOOKUP($E301,$D$6:$AI$660,P$2,)/VLOOKUP($E301,$D$6:$AI$660,3,))*$F301</f>
        <v>0</v>
      </c>
      <c r="Q301" s="154">
        <f>(VLOOKUP($E301,$D$6:$AI$660,Q$2,)/VLOOKUP($E301,$D$6:$AI$660,3,))*$F301</f>
        <v>0</v>
      </c>
      <c r="R301" s="154">
        <f>(VLOOKUP($E301,$D$6:$AI$660,15,)/VLOOKUP($E301,$D$6:$AI$660,3,))*$F301</f>
        <v>0</v>
      </c>
      <c r="S301" s="154">
        <f>(VLOOKUP($E301,$D$6:$AI$660,16,)/VLOOKUP($E301,$D$6:$AI$660,3,))*$F301</f>
        <v>0</v>
      </c>
      <c r="T301" s="154">
        <f>(VLOOKUP($E301,$D$6:$AI$660,17,)/VLOOKUP($E301,$D$6:$AI$660,3,))*$F301</f>
        <v>0</v>
      </c>
      <c r="U301" s="155">
        <f>SUM(G301:M301)</f>
        <v>0</v>
      </c>
      <c r="V301" s="140" t="str">
        <f>IF(ABS(F301-U301)&lt;0.01,"ok","err")</f>
        <v>ok</v>
      </c>
    </row>
    <row r="302" spans="1:22">
      <c r="A302" s="153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55"/>
      <c r="V302" s="140"/>
    </row>
    <row r="303" spans="1:22">
      <c r="A303" s="141" t="s">
        <v>7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55"/>
      <c r="V303" s="140"/>
    </row>
    <row r="304" spans="1:22">
      <c r="A304" s="153" t="s">
        <v>209</v>
      </c>
      <c r="C304" s="157" t="s">
        <v>742</v>
      </c>
      <c r="D304" s="147" t="s">
        <v>277</v>
      </c>
      <c r="E304" s="147" t="s">
        <v>320</v>
      </c>
      <c r="F304" s="154">
        <f>VLOOKUP(C304,'Functional Assignment'!$C$1:$AR$731,12,)</f>
        <v>0</v>
      </c>
      <c r="G304" s="154">
        <f>(VLOOKUP($E304,$D$6:$AI$660,G$2,)/VLOOKUP($E304,$D$6:$AI$660,3,))*$F304</f>
        <v>0</v>
      </c>
      <c r="H304" s="154">
        <f>(VLOOKUP($E304,$D$6:$AI$660,H$2,)/VLOOKUP($E304,$D$6:$AI$660,3,))*$F304</f>
        <v>0</v>
      </c>
      <c r="I304" s="154">
        <f>(VLOOKUP($E304,$D$6:$AI$660,I$2,)/VLOOKUP($E304,$D$6:$AI$660,3,))*$F304</f>
        <v>0</v>
      </c>
      <c r="J304" s="154">
        <f>(VLOOKUP($E304,$D$6:$AI$660,J$2,)/VLOOKUP($E304,$D$6:$AI$660,3,))*$F304</f>
        <v>0</v>
      </c>
      <c r="K304" s="154">
        <f>(VLOOKUP($E304,$D$6:$AI$660,8,)/VLOOKUP($E304,$D$6:$AI$660,3,))*$F304</f>
        <v>0</v>
      </c>
      <c r="L304" s="154">
        <f>(VLOOKUP($E304,$D$6:$AI$660,L$2,)/VLOOKUP($E304,$D$6:$AI$660,3,))*$F304</f>
        <v>0</v>
      </c>
      <c r="M304" s="154">
        <f>(VLOOKUP($E304,$D$6:$AI$660,M$2,)/VLOOKUP($E304,$D$6:$AI$660,3,))*$F304</f>
        <v>0</v>
      </c>
      <c r="N304" s="154">
        <f>(VLOOKUP($E304,$D$6:$AI$660,11,)/VLOOKUP($E304,$D$6:$AI$660,3,))*$F304</f>
        <v>0</v>
      </c>
      <c r="O304" s="154">
        <f>(VLOOKUP($E304,$D$6:$AI$660,O$2,)/VLOOKUP($E304,$D$6:$AI$660,3,))*$F304</f>
        <v>0</v>
      </c>
      <c r="P304" s="154">
        <f>(VLOOKUP($E304,$D$6:$AI$660,P$2,)/VLOOKUP($E304,$D$6:$AI$660,3,))*$F304</f>
        <v>0</v>
      </c>
      <c r="Q304" s="154">
        <f>(VLOOKUP($E304,$D$6:$AI$660,Q$2,)/VLOOKUP($E304,$D$6:$AI$660,3,))*$F304</f>
        <v>0</v>
      </c>
      <c r="R304" s="154">
        <f>(VLOOKUP($E304,$D$6:$AI$660,15,)/VLOOKUP($E304,$D$6:$AI$660,3,))*$F304</f>
        <v>0</v>
      </c>
      <c r="S304" s="154">
        <f>(VLOOKUP($E304,$D$6:$AI$660,16,)/VLOOKUP($E304,$D$6:$AI$660,3,))*$F304</f>
        <v>0</v>
      </c>
      <c r="T304" s="154">
        <f>(VLOOKUP($E304,$D$6:$AI$660,17,)/VLOOKUP($E304,$D$6:$AI$660,3,))*$F304</f>
        <v>0</v>
      </c>
      <c r="U304" s="155">
        <f>SUM(G304:M304)</f>
        <v>0</v>
      </c>
      <c r="V304" s="140" t="str">
        <f>IF(ABS(F304-U304)&lt;0.01,"ok","err")</f>
        <v>ok</v>
      </c>
    </row>
    <row r="305" spans="1:23">
      <c r="F305" s="16"/>
      <c r="U305" s="155"/>
    </row>
    <row r="306" spans="1:23">
      <c r="A306" s="141" t="s">
        <v>8</v>
      </c>
      <c r="F306" s="16"/>
      <c r="U306" s="155"/>
    </row>
    <row r="307" spans="1:23">
      <c r="A307" s="153" t="s">
        <v>690</v>
      </c>
      <c r="C307" s="157" t="s">
        <v>742</v>
      </c>
      <c r="D307" s="147" t="s">
        <v>278</v>
      </c>
      <c r="E307" s="147" t="s">
        <v>695</v>
      </c>
      <c r="F307" s="154">
        <f>VLOOKUP(C307,'Functional Assignment'!$C$1:$AR$731,13,)</f>
        <v>0</v>
      </c>
      <c r="G307" s="154">
        <f t="shared" ref="G307:J310" si="94">(VLOOKUP($E307,$D$6:$AI$660,G$2,)/VLOOKUP($E307,$D$6:$AI$660,3,))*$F307</f>
        <v>0</v>
      </c>
      <c r="H307" s="154">
        <f t="shared" si="94"/>
        <v>0</v>
      </c>
      <c r="I307" s="154">
        <f t="shared" si="94"/>
        <v>0</v>
      </c>
      <c r="J307" s="154">
        <f t="shared" si="94"/>
        <v>0</v>
      </c>
      <c r="K307" s="154">
        <f>(VLOOKUP($E307,$D$6:$AI$660,8,)/VLOOKUP($E307,$D$6:$AI$660,3,))*$F307</f>
        <v>0</v>
      </c>
      <c r="L307" s="154">
        <f t="shared" ref="L307:M310" si="95">(VLOOKUP($E307,$D$6:$AI$660,L$2,)/VLOOKUP($E307,$D$6:$AI$660,3,))*$F307</f>
        <v>0</v>
      </c>
      <c r="M307" s="154">
        <f t="shared" si="95"/>
        <v>0</v>
      </c>
      <c r="N307" s="154">
        <f>(VLOOKUP($E307,$D$6:$AI$660,11,)/VLOOKUP($E307,$D$6:$AI$660,3,))*$F307</f>
        <v>0</v>
      </c>
      <c r="O307" s="154">
        <f t="shared" ref="O307:Q310" si="96">(VLOOKUP($E307,$D$6:$AI$660,O$2,)/VLOOKUP($E307,$D$6:$AI$660,3,))*$F307</f>
        <v>0</v>
      </c>
      <c r="P307" s="154">
        <f t="shared" si="96"/>
        <v>0</v>
      </c>
      <c r="Q307" s="154">
        <f t="shared" si="96"/>
        <v>0</v>
      </c>
      <c r="R307" s="154">
        <f>(VLOOKUP($E307,$D$6:$AI$660,15,)/VLOOKUP($E307,$D$6:$AI$660,3,))*$F307</f>
        <v>0</v>
      </c>
      <c r="S307" s="154">
        <f>(VLOOKUP($E307,$D$6:$AI$660,16,)/VLOOKUP($E307,$D$6:$AI$660,3,))*$F307</f>
        <v>0</v>
      </c>
      <c r="T307" s="154">
        <f>(VLOOKUP($E307,$D$6:$AI$660,17,)/VLOOKUP($E307,$D$6:$AI$660,3,))*$F307</f>
        <v>0</v>
      </c>
      <c r="U307" s="155">
        <f>SUM(G307:M307)</f>
        <v>0</v>
      </c>
      <c r="V307" s="140" t="str">
        <f>IF(ABS(F307-U307)&lt;0.01,"ok","err")</f>
        <v>ok</v>
      </c>
    </row>
    <row r="308" spans="1:23">
      <c r="A308" s="153" t="s">
        <v>689</v>
      </c>
      <c r="C308" s="157" t="s">
        <v>742</v>
      </c>
      <c r="D308" s="147" t="s">
        <v>279</v>
      </c>
      <c r="E308" s="147" t="s">
        <v>694</v>
      </c>
      <c r="F308" s="16">
        <f>VLOOKUP(C308,'Functional Assignment'!$C$1:$AR$731,14,)</f>
        <v>0</v>
      </c>
      <c r="G308" s="16">
        <f t="shared" si="94"/>
        <v>0</v>
      </c>
      <c r="H308" s="16">
        <f t="shared" si="94"/>
        <v>0</v>
      </c>
      <c r="I308" s="16">
        <f t="shared" si="94"/>
        <v>0</v>
      </c>
      <c r="J308" s="16">
        <f t="shared" si="94"/>
        <v>0</v>
      </c>
      <c r="K308" s="16">
        <f>(VLOOKUP($E308,$D$6:$AI$660,8,)/VLOOKUP($E308,$D$6:$AI$660,3,))*$F308</f>
        <v>0</v>
      </c>
      <c r="L308" s="16">
        <f t="shared" si="95"/>
        <v>0</v>
      </c>
      <c r="M308" s="16">
        <f t="shared" si="95"/>
        <v>0</v>
      </c>
      <c r="N308" s="16">
        <f>(VLOOKUP($E308,$D$6:$AI$660,11,)/VLOOKUP($E308,$D$6:$AI$660,3,))*$F308</f>
        <v>0</v>
      </c>
      <c r="O308" s="16">
        <f t="shared" si="96"/>
        <v>0</v>
      </c>
      <c r="P308" s="16">
        <f t="shared" si="96"/>
        <v>0</v>
      </c>
      <c r="Q308" s="16">
        <f t="shared" si="96"/>
        <v>0</v>
      </c>
      <c r="R308" s="16">
        <f>(VLOOKUP($E308,$D$6:$AI$660,15,)/VLOOKUP($E308,$D$6:$AI$660,3,))*$F308</f>
        <v>0</v>
      </c>
      <c r="S308" s="16">
        <f>(VLOOKUP($E308,$D$6:$AI$660,16,)/VLOOKUP($E308,$D$6:$AI$660,3,))*$F308</f>
        <v>0</v>
      </c>
      <c r="T308" s="16">
        <f>(VLOOKUP($E308,$D$6:$AI$660,17,)/VLOOKUP($E308,$D$6:$AI$660,3,))*$F308</f>
        <v>0</v>
      </c>
      <c r="U308" s="155">
        <f>SUM(G308:M308)</f>
        <v>0</v>
      </c>
      <c r="V308" s="140" t="str">
        <f>IF(ABS(F308-U308)&lt;0.01,"ok","err")</f>
        <v>ok</v>
      </c>
      <c r="W308" s="156"/>
    </row>
    <row r="309" spans="1:23">
      <c r="A309" s="153" t="s">
        <v>691</v>
      </c>
      <c r="C309" s="157" t="s">
        <v>742</v>
      </c>
      <c r="D309" s="147" t="s">
        <v>278</v>
      </c>
      <c r="E309" s="147" t="s">
        <v>321</v>
      </c>
      <c r="F309" s="16">
        <f>VLOOKUP(C309,'Functional Assignment'!$C$1:$AR$731,15,)</f>
        <v>0</v>
      </c>
      <c r="G309" s="16">
        <f t="shared" si="94"/>
        <v>0</v>
      </c>
      <c r="H309" s="16">
        <f t="shared" si="94"/>
        <v>0</v>
      </c>
      <c r="I309" s="16">
        <f t="shared" si="94"/>
        <v>0</v>
      </c>
      <c r="J309" s="16">
        <f t="shared" si="94"/>
        <v>0</v>
      </c>
      <c r="K309" s="16">
        <f>(VLOOKUP($E309,$D$6:$AI$660,8,)/VLOOKUP($E309,$D$6:$AI$660,3,))*$F309</f>
        <v>0</v>
      </c>
      <c r="L309" s="16">
        <f t="shared" si="95"/>
        <v>0</v>
      </c>
      <c r="M309" s="16">
        <f t="shared" si="95"/>
        <v>0</v>
      </c>
      <c r="N309" s="16">
        <f>(VLOOKUP($E309,$D$6:$AI$660,11,)/VLOOKUP($E309,$D$6:$AI$660,3,))*$F309</f>
        <v>0</v>
      </c>
      <c r="O309" s="16">
        <f t="shared" si="96"/>
        <v>0</v>
      </c>
      <c r="P309" s="16">
        <f t="shared" si="96"/>
        <v>0</v>
      </c>
      <c r="Q309" s="16">
        <f t="shared" si="96"/>
        <v>0</v>
      </c>
      <c r="R309" s="16"/>
      <c r="S309" s="16"/>
      <c r="T309" s="16"/>
      <c r="U309" s="155"/>
      <c r="V309" s="140"/>
    </row>
    <row r="310" spans="1:23">
      <c r="A310" s="153" t="s">
        <v>688</v>
      </c>
      <c r="C310" s="157" t="s">
        <v>742</v>
      </c>
      <c r="D310" s="147" t="s">
        <v>279</v>
      </c>
      <c r="E310" s="147" t="s">
        <v>322</v>
      </c>
      <c r="F310" s="16">
        <f>VLOOKUP(C310,'Functional Assignment'!$C$1:$AR$731,16,)</f>
        <v>0</v>
      </c>
      <c r="G310" s="16">
        <f t="shared" si="94"/>
        <v>0</v>
      </c>
      <c r="H310" s="16">
        <f t="shared" si="94"/>
        <v>0</v>
      </c>
      <c r="I310" s="16">
        <f t="shared" si="94"/>
        <v>0</v>
      </c>
      <c r="J310" s="16">
        <f t="shared" si="94"/>
        <v>0</v>
      </c>
      <c r="K310" s="16">
        <f>(VLOOKUP($E310,$D$6:$AI$660,8,)/VLOOKUP($E310,$D$6:$AI$660,3,))*$F310</f>
        <v>0</v>
      </c>
      <c r="L310" s="16">
        <f t="shared" si="95"/>
        <v>0</v>
      </c>
      <c r="M310" s="16">
        <f t="shared" si="95"/>
        <v>0</v>
      </c>
      <c r="N310" s="16">
        <f>(VLOOKUP($E310,$D$6:$AI$660,11,)/VLOOKUP($E310,$D$6:$AI$660,3,))*$F310</f>
        <v>0</v>
      </c>
      <c r="O310" s="16">
        <f t="shared" si="96"/>
        <v>0</v>
      </c>
      <c r="P310" s="16">
        <f t="shared" si="96"/>
        <v>0</v>
      </c>
      <c r="Q310" s="16">
        <f t="shared" si="96"/>
        <v>0</v>
      </c>
      <c r="R310" s="16"/>
      <c r="S310" s="16"/>
      <c r="T310" s="16"/>
      <c r="U310" s="155"/>
      <c r="V310" s="140"/>
    </row>
    <row r="311" spans="1:23">
      <c r="A311" s="147" t="s">
        <v>232</v>
      </c>
      <c r="F311" s="154">
        <f t="shared" ref="F311:Q311" si="97">SUM(F307:F310)</f>
        <v>0</v>
      </c>
      <c r="G311" s="154">
        <f t="shared" si="97"/>
        <v>0</v>
      </c>
      <c r="H311" s="154">
        <f t="shared" si="97"/>
        <v>0</v>
      </c>
      <c r="I311" s="154">
        <f t="shared" si="97"/>
        <v>0</v>
      </c>
      <c r="J311" s="154">
        <f t="shared" si="97"/>
        <v>0</v>
      </c>
      <c r="K311" s="154">
        <f t="shared" si="97"/>
        <v>0</v>
      </c>
      <c r="L311" s="154">
        <f t="shared" si="97"/>
        <v>0</v>
      </c>
      <c r="M311" s="154">
        <f t="shared" si="97"/>
        <v>0</v>
      </c>
      <c r="N311" s="154">
        <f t="shared" si="97"/>
        <v>0</v>
      </c>
      <c r="O311" s="154">
        <f t="shared" si="97"/>
        <v>0</v>
      </c>
      <c r="P311" s="154">
        <f t="shared" si="97"/>
        <v>0</v>
      </c>
      <c r="Q311" s="154">
        <f t="shared" si="97"/>
        <v>0</v>
      </c>
      <c r="R311" s="154">
        <f>R307+R308</f>
        <v>0</v>
      </c>
      <c r="S311" s="154">
        <f>S307+S308</f>
        <v>0</v>
      </c>
      <c r="T311" s="154">
        <f>T307+T308</f>
        <v>0</v>
      </c>
      <c r="U311" s="155">
        <f>SUM(G311:M311)</f>
        <v>0</v>
      </c>
      <c r="V311" s="140" t="str">
        <f>IF(ABS(F311-U311)&lt;0.01,"ok","err")</f>
        <v>ok</v>
      </c>
      <c r="W311" s="156"/>
    </row>
    <row r="312" spans="1:23">
      <c r="F312" s="16"/>
      <c r="U312" s="155"/>
    </row>
    <row r="313" spans="1:23">
      <c r="A313" s="141" t="s">
        <v>10</v>
      </c>
      <c r="F313" s="16"/>
      <c r="U313" s="155"/>
    </row>
    <row r="314" spans="1:23">
      <c r="A314" s="153" t="s">
        <v>210</v>
      </c>
      <c r="C314" s="157" t="s">
        <v>742</v>
      </c>
      <c r="D314" s="147" t="s">
        <v>273</v>
      </c>
      <c r="E314" s="147" t="s">
        <v>323</v>
      </c>
      <c r="F314" s="154">
        <f>VLOOKUP(C314,'Functional Assignment'!$C$1:$AR$731,17,)</f>
        <v>0</v>
      </c>
      <c r="G314" s="154">
        <f>(VLOOKUP($E314,$D$6:$AI$660,G$2,)/VLOOKUP($E314,$D$6:$AI$660,3,))*$F314</f>
        <v>0</v>
      </c>
      <c r="H314" s="154">
        <f>(VLOOKUP($E314,$D$6:$AI$660,H$2,)/VLOOKUP($E314,$D$6:$AI$660,3,))*$F314</f>
        <v>0</v>
      </c>
      <c r="I314" s="154">
        <f>(VLOOKUP($E314,$D$6:$AI$660,I$2,)/VLOOKUP($E314,$D$6:$AI$660,3,))*$F314</f>
        <v>0</v>
      </c>
      <c r="J314" s="154">
        <f>(VLOOKUP($E314,$D$6:$AI$660,J$2,)/VLOOKUP($E314,$D$6:$AI$660,3,))*$F314</f>
        <v>0</v>
      </c>
      <c r="K314" s="154">
        <f>(VLOOKUP($E314,$D$6:$AI$660,8,)/VLOOKUP($E314,$D$6:$AI$660,3,))*$F314</f>
        <v>0</v>
      </c>
      <c r="L314" s="154">
        <f>(VLOOKUP($E314,$D$6:$AI$660,L$2,)/VLOOKUP($E314,$D$6:$AI$660,3,))*$F314</f>
        <v>0</v>
      </c>
      <c r="M314" s="154">
        <f>(VLOOKUP($E314,$D$6:$AI$660,M$2,)/VLOOKUP($E314,$D$6:$AI$660,3,))*$F314</f>
        <v>0</v>
      </c>
      <c r="N314" s="154">
        <f>(VLOOKUP($E314,$D$6:$AI$660,11,)/VLOOKUP($E314,$D$6:$AI$660,3,))*$F314</f>
        <v>0</v>
      </c>
      <c r="O314" s="154">
        <f>(VLOOKUP($E314,$D$6:$AI$660,O$2,)/VLOOKUP($E314,$D$6:$AI$660,3,))*$F314</f>
        <v>0</v>
      </c>
      <c r="P314" s="154">
        <f>(VLOOKUP($E314,$D$6:$AI$660,P$2,)/VLOOKUP($E314,$D$6:$AI$660,3,))*$F314</f>
        <v>0</v>
      </c>
      <c r="Q314" s="154">
        <f>(VLOOKUP($E314,$D$6:$AI$660,Q$2,)/VLOOKUP($E314,$D$6:$AI$660,3,))*$F314</f>
        <v>0</v>
      </c>
      <c r="R314" s="154">
        <f>(VLOOKUP($E314,$D$6:$AI$660,15,)/VLOOKUP($E314,$D$6:$AI$660,3,))*$F314</f>
        <v>0</v>
      </c>
      <c r="S314" s="154">
        <f>(VLOOKUP($E314,$D$6:$AI$660,16,)/VLOOKUP($E314,$D$6:$AI$660,3,))*$F314</f>
        <v>0</v>
      </c>
      <c r="T314" s="154">
        <f>(VLOOKUP($E314,$D$6:$AI$660,17,)/VLOOKUP($E314,$D$6:$AI$660,3,))*$F314</f>
        <v>0</v>
      </c>
      <c r="U314" s="155">
        <f>SUM(G314:M314)</f>
        <v>0</v>
      </c>
      <c r="V314" s="140" t="str">
        <f>IF(ABS(F314-U314)&lt;0.01,"ok","err")</f>
        <v>ok</v>
      </c>
      <c r="W314" s="156"/>
    </row>
    <row r="315" spans="1:23">
      <c r="F315" s="16"/>
      <c r="U315" s="155"/>
    </row>
    <row r="316" spans="1:23">
      <c r="A316" s="141" t="s">
        <v>11</v>
      </c>
      <c r="F316" s="16"/>
      <c r="U316" s="155"/>
    </row>
    <row r="317" spans="1:23">
      <c r="A317" s="153" t="s">
        <v>210</v>
      </c>
      <c r="C317" s="157" t="s">
        <v>742</v>
      </c>
      <c r="D317" s="147" t="s">
        <v>280</v>
      </c>
      <c r="E317" s="147" t="s">
        <v>324</v>
      </c>
      <c r="F317" s="154">
        <f>VLOOKUP(C317,'Functional Assignment'!$C$1:$AR$731,18,)</f>
        <v>0</v>
      </c>
      <c r="G317" s="154">
        <f>(VLOOKUP($E317,$D$6:$AI$660,G$2,)/VLOOKUP($E317,$D$6:$AI$660,3,))*$F317</f>
        <v>0</v>
      </c>
      <c r="H317" s="154">
        <f>(VLOOKUP($E317,$D$6:$AI$660,H$2,)/VLOOKUP($E317,$D$6:$AI$660,3,))*$F317</f>
        <v>0</v>
      </c>
      <c r="I317" s="154">
        <f>(VLOOKUP($E317,$D$6:$AI$660,I$2,)/VLOOKUP($E317,$D$6:$AI$660,3,))*$F317</f>
        <v>0</v>
      </c>
      <c r="J317" s="154">
        <f>(VLOOKUP($E317,$D$6:$AI$660,J$2,)/VLOOKUP($E317,$D$6:$AI$660,3,))*$F317</f>
        <v>0</v>
      </c>
      <c r="K317" s="154">
        <f>(VLOOKUP($E317,$D$6:$AI$660,8,)/VLOOKUP($E317,$D$6:$AI$660,3,))*$F317</f>
        <v>0</v>
      </c>
      <c r="L317" s="154">
        <f>(VLOOKUP($E317,$D$6:$AI$660,L$2,)/VLOOKUP($E317,$D$6:$AI$660,3,))*$F317</f>
        <v>0</v>
      </c>
      <c r="M317" s="154">
        <f>(VLOOKUP($E317,$D$6:$AI$660,M$2,)/VLOOKUP($E317,$D$6:$AI$660,3,))*$F317</f>
        <v>0</v>
      </c>
      <c r="N317" s="154">
        <f>(VLOOKUP($E317,$D$6:$AI$660,11,)/VLOOKUP($E317,$D$6:$AI$660,3,))*$F317</f>
        <v>0</v>
      </c>
      <c r="O317" s="154">
        <f>(VLOOKUP($E317,$D$6:$AI$660,O$2,)/VLOOKUP($E317,$D$6:$AI$660,3,))*$F317</f>
        <v>0</v>
      </c>
      <c r="P317" s="154">
        <f>(VLOOKUP($E317,$D$6:$AI$660,P$2,)/VLOOKUP($E317,$D$6:$AI$660,3,))*$F317</f>
        <v>0</v>
      </c>
      <c r="Q317" s="154">
        <f>(VLOOKUP($E317,$D$6:$AI$660,Q$2,)/VLOOKUP($E317,$D$6:$AI$660,3,))*$F317</f>
        <v>0</v>
      </c>
      <c r="R317" s="154">
        <f>(VLOOKUP($E317,$D$6:$AI$660,15,)/VLOOKUP($E317,$D$6:$AI$660,3,))*$F317</f>
        <v>0</v>
      </c>
      <c r="S317" s="154">
        <f>(VLOOKUP($E317,$D$6:$AI$660,16,)/VLOOKUP($E317,$D$6:$AI$660,3,))*$F317</f>
        <v>0</v>
      </c>
      <c r="T317" s="154">
        <f>(VLOOKUP($E317,$D$6:$AI$660,17,)/VLOOKUP($E317,$D$6:$AI$660,3,))*$F317</f>
        <v>0</v>
      </c>
      <c r="U317" s="155">
        <f>SUM(G317:M317)</f>
        <v>0</v>
      </c>
      <c r="V317" s="140" t="str">
        <f>IF(ABS(F317-U317)&lt;0.01,"ok","err")</f>
        <v>ok</v>
      </c>
    </row>
    <row r="318" spans="1:23">
      <c r="F318" s="16"/>
      <c r="U318" s="155"/>
    </row>
    <row r="319" spans="1:23">
      <c r="A319" s="141" t="s">
        <v>12</v>
      </c>
      <c r="F319" s="16"/>
      <c r="U319" s="155"/>
    </row>
    <row r="320" spans="1:23">
      <c r="A320" s="153" t="s">
        <v>210</v>
      </c>
      <c r="C320" s="157" t="s">
        <v>742</v>
      </c>
      <c r="D320" s="147" t="s">
        <v>281</v>
      </c>
      <c r="E320" s="147" t="s">
        <v>325</v>
      </c>
      <c r="F320" s="154">
        <f>VLOOKUP(C320,'Functional Assignment'!$C$1:$AR$731,19,)</f>
        <v>0</v>
      </c>
      <c r="G320" s="154">
        <f>(VLOOKUP($E320,$D$6:$AI$660,G$2,)/VLOOKUP($E320,$D$6:$AI$660,3,))*$F320</f>
        <v>0</v>
      </c>
      <c r="H320" s="154">
        <f>(VLOOKUP($E320,$D$6:$AI$660,H$2,)/VLOOKUP($E320,$D$6:$AI$660,3,))*$F320</f>
        <v>0</v>
      </c>
      <c r="I320" s="154">
        <f>(VLOOKUP($E320,$D$6:$AI$660,I$2,)/VLOOKUP($E320,$D$6:$AI$660,3,))*$F320</f>
        <v>0</v>
      </c>
      <c r="J320" s="154">
        <f>(VLOOKUP($E320,$D$6:$AI$660,J$2,)/VLOOKUP($E320,$D$6:$AI$660,3,))*$F320</f>
        <v>0</v>
      </c>
      <c r="K320" s="154">
        <f>(VLOOKUP($E320,$D$6:$AI$660,8,)/VLOOKUP($E320,$D$6:$AI$660,3,))*$F320</f>
        <v>0</v>
      </c>
      <c r="L320" s="154">
        <f>(VLOOKUP($E320,$D$6:$AI$660,L$2,)/VLOOKUP($E320,$D$6:$AI$660,3,))*$F320</f>
        <v>0</v>
      </c>
      <c r="M320" s="154">
        <f>(VLOOKUP($E320,$D$6:$AI$660,M$2,)/VLOOKUP($E320,$D$6:$AI$660,3,))*$F320</f>
        <v>0</v>
      </c>
      <c r="N320" s="154">
        <f>(VLOOKUP($E320,$D$6:$AI$660,11,)/VLOOKUP($E320,$D$6:$AI$660,3,))*$F320</f>
        <v>0</v>
      </c>
      <c r="O320" s="154">
        <f>(VLOOKUP($E320,$D$6:$AI$660,O$2,)/VLOOKUP($E320,$D$6:$AI$660,3,))*$F320</f>
        <v>0</v>
      </c>
      <c r="P320" s="154">
        <f>(VLOOKUP($E320,$D$6:$AI$660,P$2,)/VLOOKUP($E320,$D$6:$AI$660,3,))*$F320</f>
        <v>0</v>
      </c>
      <c r="Q320" s="154">
        <f>(VLOOKUP($E320,$D$6:$AI$660,Q$2,)/VLOOKUP($E320,$D$6:$AI$660,3,))*$F320</f>
        <v>0</v>
      </c>
      <c r="R320" s="154">
        <f>(VLOOKUP($E320,$D$6:$AI$660,15,)/VLOOKUP($E320,$D$6:$AI$660,3,))*$F320</f>
        <v>0</v>
      </c>
      <c r="S320" s="154">
        <f>(VLOOKUP($E320,$D$6:$AI$660,16,)/VLOOKUP($E320,$D$6:$AI$660,3,))*$F320</f>
        <v>0</v>
      </c>
      <c r="T320" s="154">
        <f>(VLOOKUP($E320,$D$6:$AI$660,17,)/VLOOKUP($E320,$D$6:$AI$660,3,))*$F320</f>
        <v>0</v>
      </c>
      <c r="U320" s="155">
        <f>SUM(G320:M320)</f>
        <v>0</v>
      </c>
      <c r="V320" s="140" t="str">
        <f>IF(ABS(F320-U320)&lt;0.01,"ok","err")</f>
        <v>ok</v>
      </c>
    </row>
    <row r="321" spans="1:24">
      <c r="F321" s="16"/>
      <c r="U321" s="155"/>
    </row>
    <row r="322" spans="1:24">
      <c r="A322" s="141" t="s">
        <v>13</v>
      </c>
      <c r="F322" s="16"/>
      <c r="U322" s="155"/>
    </row>
    <row r="323" spans="1:24">
      <c r="A323" s="153" t="s">
        <v>210</v>
      </c>
      <c r="C323" s="157" t="s">
        <v>742</v>
      </c>
      <c r="D323" s="147" t="s">
        <v>282</v>
      </c>
      <c r="E323" s="147" t="s">
        <v>326</v>
      </c>
      <c r="F323" s="154">
        <f>VLOOKUP(C323,'Functional Assignment'!$C$1:$AR$731,20,)</f>
        <v>0</v>
      </c>
      <c r="G323" s="154">
        <f>(VLOOKUP($E323,$D$6:$AI$660,G$2,)/VLOOKUP($E323,$D$6:$AI$660,3,))*$F323</f>
        <v>0</v>
      </c>
      <c r="H323" s="154">
        <f>(VLOOKUP($E323,$D$6:$AI$660,H$2,)/VLOOKUP($E323,$D$6:$AI$660,3,))*$F323</f>
        <v>0</v>
      </c>
      <c r="I323" s="154">
        <f>(VLOOKUP($E323,$D$6:$AI$660,I$2,)/VLOOKUP($E323,$D$6:$AI$660,3,))*$F323</f>
        <v>0</v>
      </c>
      <c r="J323" s="154">
        <f>(VLOOKUP($E323,$D$6:$AI$660,J$2,)/VLOOKUP($E323,$D$6:$AI$660,3,))*$F323</f>
        <v>0</v>
      </c>
      <c r="K323" s="154">
        <f>(VLOOKUP($E323,$D$6:$AI$660,8,)/VLOOKUP($E323,$D$6:$AI$660,3,))*$F323</f>
        <v>0</v>
      </c>
      <c r="L323" s="154">
        <f>(VLOOKUP($E323,$D$6:$AI$660,L$2,)/VLOOKUP($E323,$D$6:$AI$660,3,))*$F323</f>
        <v>0</v>
      </c>
      <c r="M323" s="154">
        <f>(VLOOKUP($E323,$D$6:$AI$660,M$2,)/VLOOKUP($E323,$D$6:$AI$660,3,))*$F323</f>
        <v>0</v>
      </c>
      <c r="N323" s="154">
        <f>(VLOOKUP($E323,$D$6:$AI$660,11,)/VLOOKUP($E323,$D$6:$AI$660,3,))*$F323</f>
        <v>0</v>
      </c>
      <c r="O323" s="154">
        <f>(VLOOKUP($E323,$D$6:$AI$660,O$2,)/VLOOKUP($E323,$D$6:$AI$660,3,))*$F323</f>
        <v>0</v>
      </c>
      <c r="P323" s="154">
        <f>(VLOOKUP($E323,$D$6:$AI$660,P$2,)/VLOOKUP($E323,$D$6:$AI$660,3,))*$F323</f>
        <v>0</v>
      </c>
      <c r="Q323" s="154">
        <f>(VLOOKUP($E323,$D$6:$AI$660,Q$2,)/VLOOKUP($E323,$D$6:$AI$660,3,))*$F323</f>
        <v>0</v>
      </c>
      <c r="R323" s="154">
        <f>(VLOOKUP($E323,$D$6:$AI$660,15,)/VLOOKUP($E323,$D$6:$AI$660,3,))*$F323</f>
        <v>0</v>
      </c>
      <c r="S323" s="154">
        <f>(VLOOKUP($E323,$D$6:$AI$660,16,)/VLOOKUP($E323,$D$6:$AI$660,3,))*$F323</f>
        <v>0</v>
      </c>
      <c r="T323" s="154">
        <f>(VLOOKUP($E323,$D$6:$AI$660,17,)/VLOOKUP($E323,$D$6:$AI$660,3,))*$F323</f>
        <v>0</v>
      </c>
      <c r="U323" s="155">
        <f>SUM(G323:M323)</f>
        <v>0</v>
      </c>
      <c r="V323" s="140" t="str">
        <f>IF(ABS(F323-U323)&lt;0.01,"ok","err")</f>
        <v>ok</v>
      </c>
    </row>
    <row r="324" spans="1:24">
      <c r="F324" s="16"/>
      <c r="U324" s="155"/>
    </row>
    <row r="325" spans="1:24">
      <c r="A325" s="147" t="s">
        <v>14</v>
      </c>
      <c r="D325" s="147" t="s">
        <v>747</v>
      </c>
      <c r="F325" s="154">
        <f t="shared" ref="F325:T325" si="98">F288+F293+F298+F301+F304+F311+F314+F317+F320+F323</f>
        <v>0</v>
      </c>
      <c r="G325" s="154">
        <f t="shared" si="98"/>
        <v>0</v>
      </c>
      <c r="H325" s="154">
        <f t="shared" si="98"/>
        <v>0</v>
      </c>
      <c r="I325" s="154">
        <f t="shared" si="98"/>
        <v>0</v>
      </c>
      <c r="J325" s="154">
        <f t="shared" si="98"/>
        <v>0</v>
      </c>
      <c r="K325" s="154">
        <f t="shared" si="98"/>
        <v>0</v>
      </c>
      <c r="L325" s="154">
        <f t="shared" si="98"/>
        <v>0</v>
      </c>
      <c r="M325" s="154">
        <f t="shared" si="98"/>
        <v>0</v>
      </c>
      <c r="N325" s="154">
        <f t="shared" si="98"/>
        <v>0</v>
      </c>
      <c r="O325" s="154">
        <f t="shared" si="98"/>
        <v>0</v>
      </c>
      <c r="P325" s="154">
        <f t="shared" si="98"/>
        <v>0</v>
      </c>
      <c r="Q325" s="154">
        <f t="shared" si="98"/>
        <v>0</v>
      </c>
      <c r="R325" s="154">
        <f t="shared" si="98"/>
        <v>0</v>
      </c>
      <c r="S325" s="154">
        <f t="shared" si="98"/>
        <v>0</v>
      </c>
      <c r="T325" s="154">
        <f t="shared" si="98"/>
        <v>0</v>
      </c>
      <c r="U325" s="155">
        <f>SUM(G325:M325)</f>
        <v>0</v>
      </c>
      <c r="V325" s="140" t="str">
        <f>IF(ABS(F325-U325)&lt;0.01,"ok","err")</f>
        <v>ok</v>
      </c>
      <c r="W325" s="155"/>
      <c r="X325" s="140"/>
    </row>
    <row r="326" spans="1:24">
      <c r="U326" s="155"/>
    </row>
    <row r="327" spans="1:24">
      <c r="A327" s="152" t="s">
        <v>746</v>
      </c>
      <c r="U327" s="155"/>
    </row>
    <row r="328" spans="1:24">
      <c r="U328" s="155"/>
    </row>
    <row r="329" spans="1:24">
      <c r="A329" s="141" t="s">
        <v>461</v>
      </c>
      <c r="U329" s="155"/>
    </row>
    <row r="330" spans="1:24">
      <c r="A330" s="153" t="s">
        <v>209</v>
      </c>
      <c r="C330" s="157" t="s">
        <v>743</v>
      </c>
      <c r="D330" s="147" t="s">
        <v>283</v>
      </c>
      <c r="E330" s="147" t="s">
        <v>313</v>
      </c>
      <c r="F330" s="154">
        <f>VLOOKUP(C330,'Functional Assignment'!$C$1:$AR$731,5,)</f>
        <v>0</v>
      </c>
      <c r="G330" s="154">
        <f t="shared" ref="G330:J331" si="99">(VLOOKUP($E330,$D$6:$AI$660,G$2,)/VLOOKUP($E330,$D$6:$AI$660,3,))*$F330</f>
        <v>0</v>
      </c>
      <c r="H330" s="154">
        <f t="shared" si="99"/>
        <v>0</v>
      </c>
      <c r="I330" s="154">
        <f t="shared" si="99"/>
        <v>0</v>
      </c>
      <c r="J330" s="154">
        <f t="shared" si="99"/>
        <v>0</v>
      </c>
      <c r="K330" s="154">
        <f>(VLOOKUP($E330,$D$6:$AI$660,8,)/VLOOKUP($E330,$D$6:$AI$660,3,))*$F330</f>
        <v>0</v>
      </c>
      <c r="L330" s="154">
        <f>(VLOOKUP($E330,$D$6:$AI$660,L$2,)/VLOOKUP($E330,$D$6:$AI$660,3,))*$F330</f>
        <v>0</v>
      </c>
      <c r="M330" s="154">
        <f>(VLOOKUP($E330,$D$6:$AI$660,M$2,)/VLOOKUP($E330,$D$6:$AI$660,3,))*$F330</f>
        <v>0</v>
      </c>
      <c r="N330" s="154">
        <f>(VLOOKUP($E330,$D$6:$AI$660,11,)/VLOOKUP($E330,$D$6:$AI$660,3,))*$F330</f>
        <v>0</v>
      </c>
      <c r="O330" s="154">
        <f t="shared" ref="O330:Q331" si="100">(VLOOKUP($E330,$D$6:$AI$660,O$2,)/VLOOKUP($E330,$D$6:$AI$660,3,))*$F330</f>
        <v>0</v>
      </c>
      <c r="P330" s="154">
        <f t="shared" si="100"/>
        <v>0</v>
      </c>
      <c r="Q330" s="154">
        <f t="shared" si="100"/>
        <v>0</v>
      </c>
      <c r="R330" s="154">
        <f>(VLOOKUP($E330,$D$6:$AI$660,15,)/VLOOKUP($E330,$D$6:$AI$660,3,))*$F330</f>
        <v>0</v>
      </c>
      <c r="S330" s="154">
        <f>(VLOOKUP($E330,$D$6:$AI$660,16,)/VLOOKUP($E330,$D$6:$AI$660,3,))*$F330</f>
        <v>0</v>
      </c>
      <c r="T330" s="154">
        <f>(VLOOKUP($E330,$D$6:$AI$660,17,)/VLOOKUP($E330,$D$6:$AI$660,3,))*$F330</f>
        <v>0</v>
      </c>
      <c r="U330" s="155">
        <f>SUM(G330:M330)</f>
        <v>0</v>
      </c>
      <c r="V330" s="140" t="str">
        <f>IF(ABS(F330-U330)&lt;0.01,"ok","err")</f>
        <v>ok</v>
      </c>
    </row>
    <row r="331" spans="1:24">
      <c r="A331" s="153" t="s">
        <v>229</v>
      </c>
      <c r="C331" s="157" t="s">
        <v>743</v>
      </c>
      <c r="D331" s="147" t="s">
        <v>271</v>
      </c>
      <c r="E331" s="147" t="s">
        <v>314</v>
      </c>
      <c r="F331" s="16">
        <f>VLOOKUP(C331,'Functional Assignment'!$C$1:$AR$731,6,)</f>
        <v>0</v>
      </c>
      <c r="G331" s="16">
        <f t="shared" si="99"/>
        <v>0</v>
      </c>
      <c r="H331" s="16">
        <f t="shared" si="99"/>
        <v>0</v>
      </c>
      <c r="I331" s="16">
        <f t="shared" si="99"/>
        <v>0</v>
      </c>
      <c r="J331" s="16">
        <f t="shared" si="99"/>
        <v>0</v>
      </c>
      <c r="K331" s="16">
        <f>(VLOOKUP($E331,$D$6:$AI$660,8,)/VLOOKUP($E331,$D$6:$AI$660,3,))*$F331</f>
        <v>0</v>
      </c>
      <c r="L331" s="16">
        <f>(VLOOKUP($E331,$D$6:$AI$660,L$2,)/VLOOKUP($E331,$D$6:$AI$660,3,))*$F331</f>
        <v>0</v>
      </c>
      <c r="M331" s="16">
        <f>(VLOOKUP($E331,$D$6:$AI$660,M$2,)/VLOOKUP($E331,$D$6:$AI$660,3,))*$F331</f>
        <v>0</v>
      </c>
      <c r="N331" s="16">
        <f>(VLOOKUP($E331,$D$6:$AI$660,11,)/VLOOKUP($E331,$D$6:$AI$660,3,))*$F331</f>
        <v>0</v>
      </c>
      <c r="O331" s="16">
        <f t="shared" si="100"/>
        <v>0</v>
      </c>
      <c r="P331" s="16">
        <f t="shared" si="100"/>
        <v>0</v>
      </c>
      <c r="Q331" s="16">
        <f t="shared" si="100"/>
        <v>0</v>
      </c>
      <c r="R331" s="16">
        <f>(VLOOKUP($E331,$D$6:$AI$660,15,)/VLOOKUP($E331,$D$6:$AI$660,3,))*$F331</f>
        <v>0</v>
      </c>
      <c r="S331" s="16">
        <f>(VLOOKUP($E331,$D$6:$AI$660,16,)/VLOOKUP($E331,$D$6:$AI$660,3,))*$F331</f>
        <v>0</v>
      </c>
      <c r="T331" s="16">
        <f>(VLOOKUP($E331,$D$6:$AI$660,17,)/VLOOKUP($E331,$D$6:$AI$660,3,))*$F331</f>
        <v>0</v>
      </c>
      <c r="U331" s="155">
        <f>SUM(G331:M331)</f>
        <v>0</v>
      </c>
      <c r="V331" s="140" t="str">
        <f>IF(ABS(F331-U331)&lt;0.01,"ok","err")</f>
        <v>ok</v>
      </c>
    </row>
    <row r="332" spans="1:24">
      <c r="A332" s="147" t="s">
        <v>667</v>
      </c>
      <c r="D332" s="147" t="s">
        <v>341</v>
      </c>
      <c r="F332" s="154">
        <f t="shared" ref="F332:T332" si="101">F330+F331</f>
        <v>0</v>
      </c>
      <c r="G332" s="154">
        <f t="shared" si="101"/>
        <v>0</v>
      </c>
      <c r="H332" s="154">
        <f t="shared" si="101"/>
        <v>0</v>
      </c>
      <c r="I332" s="154">
        <f t="shared" si="101"/>
        <v>0</v>
      </c>
      <c r="J332" s="154">
        <f t="shared" si="101"/>
        <v>0</v>
      </c>
      <c r="K332" s="154">
        <f t="shared" si="101"/>
        <v>0</v>
      </c>
      <c r="L332" s="154">
        <f t="shared" si="101"/>
        <v>0</v>
      </c>
      <c r="M332" s="154">
        <f t="shared" si="101"/>
        <v>0</v>
      </c>
      <c r="N332" s="154">
        <f t="shared" si="101"/>
        <v>0</v>
      </c>
      <c r="O332" s="154">
        <f t="shared" si="101"/>
        <v>0</v>
      </c>
      <c r="P332" s="154">
        <f t="shared" si="101"/>
        <v>0</v>
      </c>
      <c r="Q332" s="154">
        <f t="shared" si="101"/>
        <v>0</v>
      </c>
      <c r="R332" s="154">
        <f t="shared" si="101"/>
        <v>0</v>
      </c>
      <c r="S332" s="154">
        <f t="shared" si="101"/>
        <v>0</v>
      </c>
      <c r="T332" s="154">
        <f t="shared" si="101"/>
        <v>0</v>
      </c>
      <c r="U332" s="155">
        <f>SUM(G332:M332)</f>
        <v>0</v>
      </c>
      <c r="V332" s="140" t="str">
        <f>IF(ABS(F332-U332)&lt;0.01,"ok","err")</f>
        <v>ok</v>
      </c>
    </row>
    <row r="333" spans="1:24">
      <c r="F333" s="16"/>
      <c r="G333" s="16"/>
      <c r="U333" s="155"/>
    </row>
    <row r="334" spans="1:24">
      <c r="A334" s="141" t="s">
        <v>3</v>
      </c>
      <c r="F334" s="16"/>
      <c r="G334" s="16"/>
      <c r="U334" s="155"/>
    </row>
    <row r="335" spans="1:24">
      <c r="A335" s="153" t="s">
        <v>209</v>
      </c>
      <c r="C335" s="157" t="s">
        <v>743</v>
      </c>
      <c r="D335" s="147" t="s">
        <v>272</v>
      </c>
      <c r="E335" s="147" t="s">
        <v>315</v>
      </c>
      <c r="F335" s="154">
        <f>VLOOKUP(C335,'Functional Assignment'!$C$1:$AR$731,7,)</f>
        <v>-11543.179281357367</v>
      </c>
      <c r="G335" s="154">
        <f t="shared" ref="G335:J336" si="102">(VLOOKUP($E335,$D$6:$AI$660,G$2,)/VLOOKUP($E335,$D$6:$AI$660,3,))*$F335</f>
        <v>-7605.2859533843866</v>
      </c>
      <c r="H335" s="154">
        <f t="shared" si="102"/>
        <v>-3638.6275358906678</v>
      </c>
      <c r="I335" s="154">
        <f t="shared" si="102"/>
        <v>-299.26579208231237</v>
      </c>
      <c r="J335" s="154">
        <f t="shared" si="102"/>
        <v>0</v>
      </c>
      <c r="K335" s="154">
        <f>(VLOOKUP($E335,$D$6:$AI$660,8,)/VLOOKUP($E335,$D$6:$AI$660,3,))*$F335</f>
        <v>0</v>
      </c>
      <c r="L335" s="154">
        <f>(VLOOKUP($E335,$D$6:$AI$660,L$2,)/VLOOKUP($E335,$D$6:$AI$660,3,))*$F335</f>
        <v>0</v>
      </c>
      <c r="M335" s="154">
        <f>(VLOOKUP($E335,$D$6:$AI$660,M$2,)/VLOOKUP($E335,$D$6:$AI$660,3,))*$F335</f>
        <v>0</v>
      </c>
      <c r="N335" s="154">
        <f>(VLOOKUP($E335,$D$6:$AI$660,11,)/VLOOKUP($E335,$D$6:$AI$660,3,))*$F335</f>
        <v>0</v>
      </c>
      <c r="O335" s="154">
        <f t="shared" ref="O335:Q336" si="103">(VLOOKUP($E335,$D$6:$AI$660,O$2,)/VLOOKUP($E335,$D$6:$AI$660,3,))*$F335</f>
        <v>0</v>
      </c>
      <c r="P335" s="154">
        <f t="shared" si="103"/>
        <v>0</v>
      </c>
      <c r="Q335" s="154">
        <f t="shared" si="103"/>
        <v>0</v>
      </c>
      <c r="R335" s="154">
        <f>(VLOOKUP($E335,$D$6:$AI$660,15,)/VLOOKUP($E335,$D$6:$AI$660,3,))*$F335</f>
        <v>0</v>
      </c>
      <c r="S335" s="154">
        <f>(VLOOKUP($E335,$D$6:$AI$660,16,)/VLOOKUP($E335,$D$6:$AI$660,3,))*$F335</f>
        <v>0</v>
      </c>
      <c r="T335" s="154">
        <f>(VLOOKUP($E335,$D$6:$AI$660,17,)/VLOOKUP($E335,$D$6:$AI$660,3,))*$F335</f>
        <v>0</v>
      </c>
      <c r="U335" s="155">
        <f>SUM(G335:M335)</f>
        <v>-11543.179281357368</v>
      </c>
      <c r="V335" s="140" t="str">
        <f>IF(ABS(F335-U335)&lt;0.01,"ok","err")</f>
        <v>ok</v>
      </c>
    </row>
    <row r="336" spans="1:24">
      <c r="A336" s="147" t="s">
        <v>229</v>
      </c>
      <c r="C336" s="157" t="s">
        <v>743</v>
      </c>
      <c r="D336" s="147" t="s">
        <v>273</v>
      </c>
      <c r="E336" s="147" t="s">
        <v>316</v>
      </c>
      <c r="F336" s="16">
        <f>VLOOKUP(C336,'Functional Assignment'!$C$1:$AR$731,8,)</f>
        <v>0</v>
      </c>
      <c r="G336" s="16">
        <f t="shared" si="102"/>
        <v>0</v>
      </c>
      <c r="H336" s="16">
        <f t="shared" si="102"/>
        <v>0</v>
      </c>
      <c r="I336" s="16">
        <f t="shared" si="102"/>
        <v>0</v>
      </c>
      <c r="J336" s="16">
        <f t="shared" si="102"/>
        <v>0</v>
      </c>
      <c r="K336" s="16">
        <f>(VLOOKUP($E336,$D$6:$AI$660,8,)/VLOOKUP($E336,$D$6:$AI$660,3,))*$F336</f>
        <v>0</v>
      </c>
      <c r="L336" s="16">
        <f>(VLOOKUP($E336,$D$6:$AI$660,L$2,)/VLOOKUP($E336,$D$6:$AI$660,3,))*$F336</f>
        <v>0</v>
      </c>
      <c r="M336" s="16">
        <f>(VLOOKUP($E336,$D$6:$AI$660,M$2,)/VLOOKUP($E336,$D$6:$AI$660,3,))*$F336</f>
        <v>0</v>
      </c>
      <c r="N336" s="16">
        <f>(VLOOKUP($E336,$D$6:$AI$660,11,)/VLOOKUP($E336,$D$6:$AI$660,3,))*$F336</f>
        <v>0</v>
      </c>
      <c r="O336" s="16">
        <f t="shared" si="103"/>
        <v>0</v>
      </c>
      <c r="P336" s="16">
        <f t="shared" si="103"/>
        <v>0</v>
      </c>
      <c r="Q336" s="16">
        <f t="shared" si="103"/>
        <v>0</v>
      </c>
      <c r="R336" s="16">
        <f>(VLOOKUP($E336,$D$6:$AI$660,15,)/VLOOKUP($E336,$D$6:$AI$660,3,))*$F336</f>
        <v>0</v>
      </c>
      <c r="S336" s="16">
        <f>(VLOOKUP($E336,$D$6:$AI$660,16,)/VLOOKUP($E336,$D$6:$AI$660,3,))*$F336</f>
        <v>0</v>
      </c>
      <c r="T336" s="16">
        <f>(VLOOKUP($E336,$D$6:$AI$660,17,)/VLOOKUP($E336,$D$6:$AI$660,3,))*$F336</f>
        <v>0</v>
      </c>
      <c r="U336" s="155">
        <f>SUM(G336:M336)</f>
        <v>0</v>
      </c>
      <c r="V336" s="140" t="str">
        <f>IF(ABS(F336-U336)&lt;0.01,"ok","err")</f>
        <v>ok</v>
      </c>
    </row>
    <row r="337" spans="1:23">
      <c r="A337" s="147" t="s">
        <v>230</v>
      </c>
      <c r="D337" s="147" t="s">
        <v>342</v>
      </c>
      <c r="F337" s="154">
        <f>SUM(F335:F336)</f>
        <v>-11543.179281357367</v>
      </c>
      <c r="G337" s="154">
        <f t="shared" ref="G337:T337" si="104">G335+G336</f>
        <v>-7605.2859533843866</v>
      </c>
      <c r="H337" s="154">
        <f t="shared" si="104"/>
        <v>-3638.6275358906678</v>
      </c>
      <c r="I337" s="154">
        <f t="shared" si="104"/>
        <v>-299.26579208231237</v>
      </c>
      <c r="J337" s="154">
        <f t="shared" si="104"/>
        <v>0</v>
      </c>
      <c r="K337" s="154">
        <f t="shared" si="104"/>
        <v>0</v>
      </c>
      <c r="L337" s="154">
        <f t="shared" si="104"/>
        <v>0</v>
      </c>
      <c r="M337" s="154">
        <f t="shared" si="104"/>
        <v>0</v>
      </c>
      <c r="N337" s="154">
        <f t="shared" si="104"/>
        <v>0</v>
      </c>
      <c r="O337" s="154">
        <f t="shared" si="104"/>
        <v>0</v>
      </c>
      <c r="P337" s="154">
        <f t="shared" si="104"/>
        <v>0</v>
      </c>
      <c r="Q337" s="154">
        <f t="shared" si="104"/>
        <v>0</v>
      </c>
      <c r="R337" s="154">
        <f t="shared" si="104"/>
        <v>0</v>
      </c>
      <c r="S337" s="154">
        <f t="shared" si="104"/>
        <v>0</v>
      </c>
      <c r="T337" s="154">
        <f t="shared" si="104"/>
        <v>0</v>
      </c>
      <c r="U337" s="155">
        <f>SUM(G337:M337)</f>
        <v>-11543.179281357368</v>
      </c>
      <c r="V337" s="140" t="str">
        <f>IF(ABS(F337-U337)&lt;0.01,"ok","err")</f>
        <v>ok</v>
      </c>
    </row>
    <row r="338" spans="1:23">
      <c r="F338" s="16"/>
      <c r="G338" s="16"/>
      <c r="U338" s="155"/>
    </row>
    <row r="339" spans="1:23">
      <c r="A339" s="141" t="s">
        <v>4</v>
      </c>
      <c r="F339" s="16"/>
      <c r="G339" s="16"/>
      <c r="U339" s="155"/>
    </row>
    <row r="340" spans="1:23">
      <c r="A340" s="153" t="s">
        <v>209</v>
      </c>
      <c r="C340" s="157" t="s">
        <v>743</v>
      </c>
      <c r="D340" s="147" t="s">
        <v>274</v>
      </c>
      <c r="E340" s="147" t="s">
        <v>317</v>
      </c>
      <c r="F340" s="154">
        <f>VLOOKUP(C340,'Functional Assignment'!$C$1:$AR$731,9,)</f>
        <v>-4072.1533091068427</v>
      </c>
      <c r="G340" s="154">
        <f t="shared" ref="G340:J341" si="105">(VLOOKUP($E340,$D$6:$AI$660,G$2,)/VLOOKUP($E340,$D$6:$AI$660,3,))*$F340</f>
        <v>-2682.9601799389411</v>
      </c>
      <c r="H340" s="154">
        <f t="shared" si="105"/>
        <v>-1283.6194257863174</v>
      </c>
      <c r="I340" s="154">
        <f t="shared" si="105"/>
        <v>-105.57370338158401</v>
      </c>
      <c r="J340" s="154">
        <f t="shared" si="105"/>
        <v>0</v>
      </c>
      <c r="K340" s="154">
        <f>(VLOOKUP($E340,$D$6:$AI$660,8,)/VLOOKUP($E340,$D$6:$AI$660,3,))*$F340</f>
        <v>0</v>
      </c>
      <c r="L340" s="154">
        <f>(VLOOKUP($E340,$D$6:$AI$660,L$2,)/VLOOKUP($E340,$D$6:$AI$660,3,))*$F340</f>
        <v>0</v>
      </c>
      <c r="M340" s="154">
        <f>(VLOOKUP($E340,$D$6:$AI$660,M$2,)/VLOOKUP($E340,$D$6:$AI$660,3,))*$F340</f>
        <v>0</v>
      </c>
      <c r="N340" s="154">
        <f>(VLOOKUP($E340,$D$6:$AI$660,11,)/VLOOKUP($E340,$D$6:$AI$660,3,))*$F340</f>
        <v>0</v>
      </c>
      <c r="O340" s="154">
        <f t="shared" ref="O340:Q341" si="106">(VLOOKUP($E340,$D$6:$AI$660,O$2,)/VLOOKUP($E340,$D$6:$AI$660,3,))*$F340</f>
        <v>0</v>
      </c>
      <c r="P340" s="154">
        <f t="shared" si="106"/>
        <v>0</v>
      </c>
      <c r="Q340" s="154">
        <f t="shared" si="106"/>
        <v>0</v>
      </c>
      <c r="R340" s="154">
        <f>(VLOOKUP($E340,$D$6:$AI$660,15,)/VLOOKUP($E340,$D$6:$AI$660,3,))*$F340</f>
        <v>0</v>
      </c>
      <c r="S340" s="154">
        <f>(VLOOKUP($E340,$D$6:$AI$660,16,)/VLOOKUP($E340,$D$6:$AI$660,3,))*$F340</f>
        <v>0</v>
      </c>
      <c r="T340" s="154">
        <f>(VLOOKUP($E340,$D$6:$AI$660,17,)/VLOOKUP($E340,$D$6:$AI$660,3,))*$F340</f>
        <v>0</v>
      </c>
      <c r="U340" s="155">
        <f>SUM(G340:M340)</f>
        <v>-4072.1533091068422</v>
      </c>
      <c r="V340" s="140" t="str">
        <f>IF(ABS(F340-U340)&lt;0.01,"ok","err")</f>
        <v>ok</v>
      </c>
    </row>
    <row r="341" spans="1:23">
      <c r="A341" s="147" t="s">
        <v>229</v>
      </c>
      <c r="C341" s="157" t="s">
        <v>743</v>
      </c>
      <c r="D341" s="147" t="s">
        <v>275</v>
      </c>
      <c r="E341" s="147" t="s">
        <v>318</v>
      </c>
      <c r="F341" s="16">
        <f>VLOOKUP(C341,'Functional Assignment'!$C$1:$AR$731,10,)</f>
        <v>0</v>
      </c>
      <c r="G341" s="16">
        <f t="shared" si="105"/>
        <v>0</v>
      </c>
      <c r="H341" s="16">
        <f t="shared" si="105"/>
        <v>0</v>
      </c>
      <c r="I341" s="16">
        <f t="shared" si="105"/>
        <v>0</v>
      </c>
      <c r="J341" s="16">
        <f t="shared" si="105"/>
        <v>0</v>
      </c>
      <c r="K341" s="16">
        <f>(VLOOKUP($E341,$D$6:$AI$660,8,)/VLOOKUP($E341,$D$6:$AI$660,3,))*$F341</f>
        <v>0</v>
      </c>
      <c r="L341" s="16">
        <f>(VLOOKUP($E341,$D$6:$AI$660,L$2,)/VLOOKUP($E341,$D$6:$AI$660,3,))*$F341</f>
        <v>0</v>
      </c>
      <c r="M341" s="16">
        <f>(VLOOKUP($E341,$D$6:$AI$660,M$2,)/VLOOKUP($E341,$D$6:$AI$660,3,))*$F341</f>
        <v>0</v>
      </c>
      <c r="N341" s="16">
        <f>(VLOOKUP($E341,$D$6:$AI$660,11,)/VLOOKUP($E341,$D$6:$AI$660,3,))*$F341</f>
        <v>0</v>
      </c>
      <c r="O341" s="16">
        <f t="shared" si="106"/>
        <v>0</v>
      </c>
      <c r="P341" s="16">
        <f t="shared" si="106"/>
        <v>0</v>
      </c>
      <c r="Q341" s="16">
        <f t="shared" si="106"/>
        <v>0</v>
      </c>
      <c r="R341" s="16">
        <f>(VLOOKUP($E341,$D$6:$AI$660,15,)/VLOOKUP($E341,$D$6:$AI$660,3,))*$F341</f>
        <v>0</v>
      </c>
      <c r="S341" s="16">
        <f>(VLOOKUP($E341,$D$6:$AI$660,16,)/VLOOKUP($E341,$D$6:$AI$660,3,))*$F341</f>
        <v>0</v>
      </c>
      <c r="T341" s="16">
        <f>(VLOOKUP($E341,$D$6:$AI$660,17,)/VLOOKUP($E341,$D$6:$AI$660,3,))*$F341</f>
        <v>0</v>
      </c>
      <c r="U341" s="155">
        <f>SUM(G341:M341)</f>
        <v>0</v>
      </c>
      <c r="V341" s="140" t="str">
        <f>IF(ABS(F341-U341)&lt;0.01,"ok","err")</f>
        <v>ok</v>
      </c>
    </row>
    <row r="342" spans="1:23">
      <c r="A342" s="147" t="s">
        <v>231</v>
      </c>
      <c r="D342" s="147" t="s">
        <v>343</v>
      </c>
      <c r="F342" s="154">
        <f>SUM(F340:F341)</f>
        <v>-4072.1533091068427</v>
      </c>
      <c r="G342" s="154">
        <f t="shared" ref="G342:T342" si="107">G340+G341</f>
        <v>-2682.9601799389411</v>
      </c>
      <c r="H342" s="154">
        <f t="shared" si="107"/>
        <v>-1283.6194257863174</v>
      </c>
      <c r="I342" s="154">
        <f t="shared" si="107"/>
        <v>-105.57370338158401</v>
      </c>
      <c r="J342" s="154">
        <f t="shared" si="107"/>
        <v>0</v>
      </c>
      <c r="K342" s="154">
        <f t="shared" si="107"/>
        <v>0</v>
      </c>
      <c r="L342" s="154">
        <f t="shared" si="107"/>
        <v>0</v>
      </c>
      <c r="M342" s="154">
        <f t="shared" si="107"/>
        <v>0</v>
      </c>
      <c r="N342" s="154">
        <f t="shared" si="107"/>
        <v>0</v>
      </c>
      <c r="O342" s="154">
        <f t="shared" si="107"/>
        <v>0</v>
      </c>
      <c r="P342" s="154">
        <f t="shared" si="107"/>
        <v>0</v>
      </c>
      <c r="Q342" s="154">
        <f t="shared" si="107"/>
        <v>0</v>
      </c>
      <c r="R342" s="154">
        <f t="shared" si="107"/>
        <v>0</v>
      </c>
      <c r="S342" s="154">
        <f t="shared" si="107"/>
        <v>0</v>
      </c>
      <c r="T342" s="154">
        <f t="shared" si="107"/>
        <v>0</v>
      </c>
      <c r="U342" s="155">
        <f>SUM(G342:M342)</f>
        <v>-4072.1533091068422</v>
      </c>
      <c r="V342" s="140" t="str">
        <f>IF(ABS(F342-U342)&lt;0.01,"ok","err")</f>
        <v>ok</v>
      </c>
    </row>
    <row r="343" spans="1:23">
      <c r="F343" s="16"/>
      <c r="U343" s="155"/>
    </row>
    <row r="344" spans="1:23">
      <c r="A344" s="141" t="s">
        <v>6</v>
      </c>
      <c r="F344" s="16"/>
      <c r="U344" s="155"/>
    </row>
    <row r="345" spans="1:23">
      <c r="A345" s="147" t="s">
        <v>229</v>
      </c>
      <c r="C345" s="157" t="s">
        <v>743</v>
      </c>
      <c r="D345" s="147" t="s">
        <v>276</v>
      </c>
      <c r="E345" s="147" t="s">
        <v>319</v>
      </c>
      <c r="F345" s="154">
        <f>VLOOKUP(C345,'Functional Assignment'!$C$1:$AR$731,11,)</f>
        <v>0</v>
      </c>
      <c r="G345" s="154">
        <f>(VLOOKUP($E345,$D$6:$AI$660,G$2,)/VLOOKUP($E345,$D$6:$AI$660,3,))*$F345</f>
        <v>0</v>
      </c>
      <c r="H345" s="154">
        <f>(VLOOKUP($E345,$D$6:$AI$660,H$2,)/VLOOKUP($E345,$D$6:$AI$660,3,))*$F345</f>
        <v>0</v>
      </c>
      <c r="I345" s="154">
        <f>(VLOOKUP($E345,$D$6:$AI$660,I$2,)/VLOOKUP($E345,$D$6:$AI$660,3,))*$F345</f>
        <v>0</v>
      </c>
      <c r="J345" s="154">
        <f>(VLOOKUP($E345,$D$6:$AI$660,J$2,)/VLOOKUP($E345,$D$6:$AI$660,3,))*$F345</f>
        <v>0</v>
      </c>
      <c r="K345" s="154">
        <f>(VLOOKUP($E345,$D$6:$AI$660,8,)/VLOOKUP($E345,$D$6:$AI$660,3,))*$F345</f>
        <v>0</v>
      </c>
      <c r="L345" s="154">
        <f>(VLOOKUP($E345,$D$6:$AI$660,L$2,)/VLOOKUP($E345,$D$6:$AI$660,3,))*$F345</f>
        <v>0</v>
      </c>
      <c r="M345" s="154">
        <f>(VLOOKUP($E345,$D$6:$AI$660,M$2,)/VLOOKUP($E345,$D$6:$AI$660,3,))*$F345</f>
        <v>0</v>
      </c>
      <c r="N345" s="154">
        <f>(VLOOKUP($E345,$D$6:$AI$660,11,)/VLOOKUP($E345,$D$6:$AI$660,3,))*$F345</f>
        <v>0</v>
      </c>
      <c r="O345" s="154">
        <f>(VLOOKUP($E345,$D$6:$AI$660,O$2,)/VLOOKUP($E345,$D$6:$AI$660,3,))*$F345</f>
        <v>0</v>
      </c>
      <c r="P345" s="154">
        <f>(VLOOKUP($E345,$D$6:$AI$660,P$2,)/VLOOKUP($E345,$D$6:$AI$660,3,))*$F345</f>
        <v>0</v>
      </c>
      <c r="Q345" s="154">
        <f>(VLOOKUP($E345,$D$6:$AI$660,Q$2,)/VLOOKUP($E345,$D$6:$AI$660,3,))*$F345</f>
        <v>0</v>
      </c>
      <c r="R345" s="154">
        <f>(VLOOKUP($E345,$D$6:$AI$660,15,)/VLOOKUP($E345,$D$6:$AI$660,3,))*$F345</f>
        <v>0</v>
      </c>
      <c r="S345" s="154">
        <f>(VLOOKUP($E345,$D$6:$AI$660,16,)/VLOOKUP($E345,$D$6:$AI$660,3,))*$F345</f>
        <v>0</v>
      </c>
      <c r="T345" s="154">
        <f>(VLOOKUP($E345,$D$6:$AI$660,17,)/VLOOKUP($E345,$D$6:$AI$660,3,))*$F345</f>
        <v>0</v>
      </c>
      <c r="U345" s="155">
        <f>SUM(G345:M345)</f>
        <v>0</v>
      </c>
      <c r="V345" s="140" t="str">
        <f>IF(ABS(F345-U345)&lt;0.01,"ok","err")</f>
        <v>ok</v>
      </c>
    </row>
    <row r="346" spans="1:23">
      <c r="A346" s="153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55"/>
      <c r="V346" s="140"/>
    </row>
    <row r="347" spans="1:23">
      <c r="A347" s="141" t="s">
        <v>7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55"/>
      <c r="V347" s="140"/>
    </row>
    <row r="348" spans="1:23">
      <c r="A348" s="153" t="s">
        <v>209</v>
      </c>
      <c r="C348" s="157" t="s">
        <v>743</v>
      </c>
      <c r="D348" s="147" t="s">
        <v>277</v>
      </c>
      <c r="E348" s="147" t="s">
        <v>320</v>
      </c>
      <c r="F348" s="154">
        <f>VLOOKUP(C348,'Functional Assignment'!$C$1:$AR$731,12,)</f>
        <v>-2112.5347493324857</v>
      </c>
      <c r="G348" s="154">
        <f>(VLOOKUP($E348,$D$6:$AI$660,G$2,)/VLOOKUP($E348,$D$6:$AI$660,3,))*$F348</f>
        <v>-1181.0599378301886</v>
      </c>
      <c r="H348" s="154">
        <f>(VLOOKUP($E348,$D$6:$AI$660,H$2,)/VLOOKUP($E348,$D$6:$AI$660,3,))*$F348</f>
        <v>-556.8484112464804</v>
      </c>
      <c r="I348" s="154">
        <f>(VLOOKUP($E348,$D$6:$AI$660,I$2,)/VLOOKUP($E348,$D$6:$AI$660,3,))*$F348</f>
        <v>-40.548292365128205</v>
      </c>
      <c r="J348" s="154">
        <f>(VLOOKUP($E348,$D$6:$AI$660,J$2,)/VLOOKUP($E348,$D$6:$AI$660,3,))*$F348</f>
        <v>-10.994494032050726</v>
      </c>
      <c r="K348" s="154">
        <f>(VLOOKUP($E348,$D$6:$AI$660,8,)/VLOOKUP($E348,$D$6:$AI$660,3,))*$F348</f>
        <v>-315.23837257905643</v>
      </c>
      <c r="L348" s="154">
        <f>(VLOOKUP($E348,$D$6:$AI$660,L$2,)/VLOOKUP($E348,$D$6:$AI$660,3,))*$F348</f>
        <v>-7.8452412795815434</v>
      </c>
      <c r="M348" s="154">
        <f>(VLOOKUP($E348,$D$6:$AI$660,M$2,)/VLOOKUP($E348,$D$6:$AI$660,3,))*$F348</f>
        <v>0</v>
      </c>
      <c r="N348" s="154">
        <f>(VLOOKUP($E348,$D$6:$AI$660,11,)/VLOOKUP($E348,$D$6:$AI$660,3,))*$F348</f>
        <v>0</v>
      </c>
      <c r="O348" s="154">
        <f>(VLOOKUP($E348,$D$6:$AI$660,O$2,)/VLOOKUP($E348,$D$6:$AI$660,3,))*$F348</f>
        <v>0</v>
      </c>
      <c r="P348" s="154">
        <f>(VLOOKUP($E348,$D$6:$AI$660,P$2,)/VLOOKUP($E348,$D$6:$AI$660,3,))*$F348</f>
        <v>0</v>
      </c>
      <c r="Q348" s="154">
        <f>(VLOOKUP($E348,$D$6:$AI$660,Q$2,)/VLOOKUP($E348,$D$6:$AI$660,3,))*$F348</f>
        <v>0</v>
      </c>
      <c r="R348" s="154">
        <f>(VLOOKUP($E348,$D$6:$AI$660,15,)/VLOOKUP($E348,$D$6:$AI$660,3,))*$F348</f>
        <v>0</v>
      </c>
      <c r="S348" s="154">
        <f>(VLOOKUP($E348,$D$6:$AI$660,16,)/VLOOKUP($E348,$D$6:$AI$660,3,))*$F348</f>
        <v>0</v>
      </c>
      <c r="T348" s="154">
        <f>(VLOOKUP($E348,$D$6:$AI$660,17,)/VLOOKUP($E348,$D$6:$AI$660,3,))*$F348</f>
        <v>0</v>
      </c>
      <c r="U348" s="155">
        <f>SUM(G348:M348)</f>
        <v>-2112.5347493324853</v>
      </c>
      <c r="V348" s="140" t="str">
        <f>IF(ABS(F348-U348)&lt;0.01,"ok","err")</f>
        <v>ok</v>
      </c>
    </row>
    <row r="349" spans="1:23">
      <c r="F349" s="16"/>
      <c r="U349" s="155"/>
    </row>
    <row r="350" spans="1:23">
      <c r="A350" s="141" t="s">
        <v>8</v>
      </c>
      <c r="F350" s="16"/>
      <c r="U350" s="155"/>
    </row>
    <row r="351" spans="1:23">
      <c r="A351" s="153" t="s">
        <v>690</v>
      </c>
      <c r="C351" s="157" t="s">
        <v>743</v>
      </c>
      <c r="D351" s="147" t="s">
        <v>278</v>
      </c>
      <c r="E351" s="147" t="s">
        <v>695</v>
      </c>
      <c r="F351" s="154">
        <f>VLOOKUP(C351,'Functional Assignment'!$C$1:$AR$731,13,)</f>
        <v>-9595.835691774013</v>
      </c>
      <c r="G351" s="154">
        <f t="shared" ref="G351:J354" si="108">(VLOOKUP($E351,$D$6:$AI$660,G$2,)/VLOOKUP($E351,$D$6:$AI$660,3,))*$F351</f>
        <v>-6092.9790410452561</v>
      </c>
      <c r="H351" s="154">
        <f t="shared" si="108"/>
        <v>-2811.9378874721806</v>
      </c>
      <c r="I351" s="154">
        <f t="shared" si="108"/>
        <v>-200.66813094671275</v>
      </c>
      <c r="J351" s="154">
        <f t="shared" si="108"/>
        <v>-5.5502712202458709E-4</v>
      </c>
      <c r="K351" s="154">
        <f>(VLOOKUP($E351,$D$6:$AI$660,8,)/VLOOKUP($E351,$D$6:$AI$660,3,))*$F351</f>
        <v>-490.25007728274159</v>
      </c>
      <c r="L351" s="154">
        <f t="shared" ref="L351:M354" si="109">(VLOOKUP($E351,$D$6:$AI$660,L$2,)/VLOOKUP($E351,$D$6:$AI$660,3,))*$F351</f>
        <v>0</v>
      </c>
      <c r="M351" s="154">
        <f t="shared" si="109"/>
        <v>0</v>
      </c>
      <c r="N351" s="154">
        <f>(VLOOKUP($E351,$D$6:$AI$660,11,)/VLOOKUP($E351,$D$6:$AI$660,3,))*$F351</f>
        <v>0</v>
      </c>
      <c r="O351" s="154">
        <f t="shared" ref="O351:Q354" si="110">(VLOOKUP($E351,$D$6:$AI$660,O$2,)/VLOOKUP($E351,$D$6:$AI$660,3,))*$F351</f>
        <v>0</v>
      </c>
      <c r="P351" s="154">
        <f t="shared" si="110"/>
        <v>0</v>
      </c>
      <c r="Q351" s="154">
        <f t="shared" si="110"/>
        <v>0</v>
      </c>
      <c r="R351" s="154">
        <f>(VLOOKUP($E351,$D$6:$AI$660,15,)/VLOOKUP($E351,$D$6:$AI$660,3,))*$F351</f>
        <v>0</v>
      </c>
      <c r="S351" s="154">
        <f>(VLOOKUP($E351,$D$6:$AI$660,16,)/VLOOKUP($E351,$D$6:$AI$660,3,))*$F351</f>
        <v>0</v>
      </c>
      <c r="T351" s="154">
        <f>(VLOOKUP($E351,$D$6:$AI$660,17,)/VLOOKUP($E351,$D$6:$AI$660,3,))*$F351</f>
        <v>0</v>
      </c>
      <c r="U351" s="155">
        <f>SUM(G351:M351)</f>
        <v>-9595.835691774013</v>
      </c>
      <c r="V351" s="140" t="str">
        <f>IF(ABS(F351-U351)&lt;0.01,"ok","err")</f>
        <v>ok</v>
      </c>
    </row>
    <row r="352" spans="1:23">
      <c r="A352" s="153" t="s">
        <v>689</v>
      </c>
      <c r="C352" s="157" t="s">
        <v>743</v>
      </c>
      <c r="D352" s="147" t="s">
        <v>279</v>
      </c>
      <c r="E352" s="147" t="s">
        <v>694</v>
      </c>
      <c r="F352" s="16">
        <f>VLOOKUP(C352,'Functional Assignment'!$C$1:$AR$731,14,)</f>
        <v>-16062.691203458935</v>
      </c>
      <c r="G352" s="16">
        <f t="shared" si="108"/>
        <v>-14852.993063595412</v>
      </c>
      <c r="H352" s="16">
        <f t="shared" si="108"/>
        <v>-1194.6832944963098</v>
      </c>
      <c r="I352" s="16">
        <f t="shared" si="108"/>
        <v>-12.632746909320037</v>
      </c>
      <c r="J352" s="16">
        <f t="shared" si="108"/>
        <v>-6.3018477722098884E-2</v>
      </c>
      <c r="K352" s="16">
        <f>(VLOOKUP($E352,$D$6:$AI$660,8,)/VLOOKUP($E352,$D$6:$AI$660,3,))*$F352</f>
        <v>-2.3190799801732394</v>
      </c>
      <c r="L352" s="16">
        <f t="shared" si="109"/>
        <v>0</v>
      </c>
      <c r="M352" s="16">
        <f t="shared" si="109"/>
        <v>0</v>
      </c>
      <c r="N352" s="16">
        <f>(VLOOKUP($E352,$D$6:$AI$660,11,)/VLOOKUP($E352,$D$6:$AI$660,3,))*$F352</f>
        <v>0</v>
      </c>
      <c r="O352" s="16">
        <f t="shared" si="110"/>
        <v>0</v>
      </c>
      <c r="P352" s="16">
        <f t="shared" si="110"/>
        <v>0</v>
      </c>
      <c r="Q352" s="16">
        <f t="shared" si="110"/>
        <v>0</v>
      </c>
      <c r="R352" s="16">
        <f>(VLOOKUP($E352,$D$6:$AI$660,15,)/VLOOKUP($E352,$D$6:$AI$660,3,))*$F352</f>
        <v>0</v>
      </c>
      <c r="S352" s="16">
        <f>(VLOOKUP($E352,$D$6:$AI$660,16,)/VLOOKUP($E352,$D$6:$AI$660,3,))*$F352</f>
        <v>0</v>
      </c>
      <c r="T352" s="16">
        <f>(VLOOKUP($E352,$D$6:$AI$660,17,)/VLOOKUP($E352,$D$6:$AI$660,3,))*$F352</f>
        <v>0</v>
      </c>
      <c r="U352" s="155">
        <f>SUM(G352:M352)</f>
        <v>-16062.691203458937</v>
      </c>
      <c r="V352" s="140" t="str">
        <f>IF(ABS(F352-U352)&lt;0.01,"ok","err")</f>
        <v>ok</v>
      </c>
      <c r="W352" s="156"/>
    </row>
    <row r="353" spans="1:23">
      <c r="A353" s="153" t="s">
        <v>691</v>
      </c>
      <c r="C353" s="157" t="s">
        <v>743</v>
      </c>
      <c r="D353" s="147" t="s">
        <v>278</v>
      </c>
      <c r="E353" s="147" t="s">
        <v>321</v>
      </c>
      <c r="F353" s="16">
        <f>VLOOKUP(C353,'Functional Assignment'!$C$1:$AR$731,15,)</f>
        <v>-1396.3695704205363</v>
      </c>
      <c r="G353" s="16">
        <f t="shared" si="108"/>
        <v>-780.67173027565843</v>
      </c>
      <c r="H353" s="16">
        <f t="shared" si="108"/>
        <v>-368.07260900550858</v>
      </c>
      <c r="I353" s="16">
        <f t="shared" si="108"/>
        <v>-26.802116087828225</v>
      </c>
      <c r="J353" s="16">
        <f t="shared" si="108"/>
        <v>-7.2672778108747487</v>
      </c>
      <c r="K353" s="16">
        <f>(VLOOKUP($E353,$D$6:$AI$660,8,)/VLOOKUP($E353,$D$6:$AI$660,3,))*$F353</f>
        <v>-208.37019179796977</v>
      </c>
      <c r="L353" s="16">
        <f t="shared" si="109"/>
        <v>-5.1856454426968508</v>
      </c>
      <c r="M353" s="16">
        <f t="shared" si="109"/>
        <v>0</v>
      </c>
      <c r="N353" s="16">
        <f>(VLOOKUP($E353,$D$6:$AI$660,11,)/VLOOKUP($E353,$D$6:$AI$660,3,))*$F353</f>
        <v>0</v>
      </c>
      <c r="O353" s="16">
        <f t="shared" si="110"/>
        <v>0</v>
      </c>
      <c r="P353" s="16">
        <f t="shared" si="110"/>
        <v>0</v>
      </c>
      <c r="Q353" s="16">
        <f t="shared" si="110"/>
        <v>0</v>
      </c>
      <c r="R353" s="16"/>
      <c r="S353" s="16"/>
      <c r="T353" s="16"/>
      <c r="U353" s="155"/>
      <c r="V353" s="140"/>
    </row>
    <row r="354" spans="1:23">
      <c r="A354" s="153" t="s">
        <v>688</v>
      </c>
      <c r="C354" s="157" t="s">
        <v>743</v>
      </c>
      <c r="D354" s="147" t="s">
        <v>279</v>
      </c>
      <c r="E354" s="147" t="s">
        <v>322</v>
      </c>
      <c r="F354" s="16">
        <f>VLOOKUP(C354,'Functional Assignment'!$C$1:$AR$731,16,)</f>
        <v>-1006.3307670718872</v>
      </c>
      <c r="G354" s="16">
        <f t="shared" si="108"/>
        <v>-930.42758994607777</v>
      </c>
      <c r="H354" s="16">
        <f t="shared" si="108"/>
        <v>-74.837865586262453</v>
      </c>
      <c r="I354" s="16">
        <f t="shared" si="108"/>
        <v>-0.79450407840290682</v>
      </c>
      <c r="J354" s="16">
        <f t="shared" si="108"/>
        <v>-1.8159100893049812E-2</v>
      </c>
      <c r="K354" s="16">
        <f>(VLOOKUP($E354,$D$6:$AI$660,8,)/VLOOKUP($E354,$D$6:$AI$660,3,))*$F354</f>
        <v>-0.24949025574798872</v>
      </c>
      <c r="L354" s="16">
        <f t="shared" si="109"/>
        <v>-3.1581045031390973E-3</v>
      </c>
      <c r="M354" s="16">
        <f t="shared" si="109"/>
        <v>0</v>
      </c>
      <c r="N354" s="16">
        <f>(VLOOKUP($E354,$D$6:$AI$660,11,)/VLOOKUP($E354,$D$6:$AI$660,3,))*$F354</f>
        <v>0</v>
      </c>
      <c r="O354" s="16">
        <f t="shared" si="110"/>
        <v>0</v>
      </c>
      <c r="P354" s="16">
        <f t="shared" si="110"/>
        <v>0</v>
      </c>
      <c r="Q354" s="16">
        <f t="shared" si="110"/>
        <v>0</v>
      </c>
      <c r="R354" s="16"/>
      <c r="S354" s="16"/>
      <c r="T354" s="16"/>
      <c r="U354" s="155"/>
      <c r="V354" s="140"/>
    </row>
    <row r="355" spans="1:23">
      <c r="A355" s="147" t="s">
        <v>232</v>
      </c>
      <c r="F355" s="154">
        <f t="shared" ref="F355:Q355" si="111">SUM(F351:F354)</f>
        <v>-28061.22723272537</v>
      </c>
      <c r="G355" s="154">
        <f t="shared" si="111"/>
        <v>-22657.071424862403</v>
      </c>
      <c r="H355" s="154">
        <f t="shared" si="111"/>
        <v>-4449.5316565602616</v>
      </c>
      <c r="I355" s="154">
        <f t="shared" si="111"/>
        <v>-240.8974980222639</v>
      </c>
      <c r="J355" s="154">
        <f t="shared" si="111"/>
        <v>-7.3490104166119226</v>
      </c>
      <c r="K355" s="154">
        <f t="shared" si="111"/>
        <v>-701.18883931663254</v>
      </c>
      <c r="L355" s="154">
        <f t="shared" si="111"/>
        <v>-5.1888035471999903</v>
      </c>
      <c r="M355" s="154">
        <f t="shared" si="111"/>
        <v>0</v>
      </c>
      <c r="N355" s="154">
        <f t="shared" si="111"/>
        <v>0</v>
      </c>
      <c r="O355" s="154">
        <f t="shared" si="111"/>
        <v>0</v>
      </c>
      <c r="P355" s="154">
        <f t="shared" si="111"/>
        <v>0</v>
      </c>
      <c r="Q355" s="154">
        <f t="shared" si="111"/>
        <v>0</v>
      </c>
      <c r="R355" s="154">
        <f>R351+R352</f>
        <v>0</v>
      </c>
      <c r="S355" s="154">
        <f>S351+S352</f>
        <v>0</v>
      </c>
      <c r="T355" s="154">
        <f>T351+T352</f>
        <v>0</v>
      </c>
      <c r="U355" s="155">
        <f>SUM(G355:M355)</f>
        <v>-28061.227232725374</v>
      </c>
      <c r="V355" s="140" t="str">
        <f>IF(ABS(F355-U355)&lt;0.01,"ok","err")</f>
        <v>ok</v>
      </c>
      <c r="W355" s="156"/>
    </row>
    <row r="356" spans="1:23">
      <c r="F356" s="16"/>
      <c r="U356" s="155"/>
    </row>
    <row r="357" spans="1:23">
      <c r="A357" s="141" t="s">
        <v>10</v>
      </c>
      <c r="F357" s="16"/>
      <c r="U357" s="155"/>
    </row>
    <row r="358" spans="1:23">
      <c r="A358" s="153" t="s">
        <v>210</v>
      </c>
      <c r="C358" s="157" t="s">
        <v>743</v>
      </c>
      <c r="D358" s="147" t="s">
        <v>273</v>
      </c>
      <c r="E358" s="147" t="s">
        <v>323</v>
      </c>
      <c r="F358" s="154">
        <f>VLOOKUP(C358,'Functional Assignment'!$C$1:$AR$731,17,)</f>
        <v>-16922.244735031076</v>
      </c>
      <c r="G358" s="154">
        <f>(VLOOKUP($E358,$D$6:$AI$660,G$2,)/VLOOKUP($E358,$D$6:$AI$660,3,))*$F358</f>
        <v>-14228.967951982471</v>
      </c>
      <c r="H358" s="154">
        <f>(VLOOKUP($E358,$D$6:$AI$660,H$2,)/VLOOKUP($E358,$D$6:$AI$660,3,))*$F358</f>
        <v>-2642.9669494513582</v>
      </c>
      <c r="I358" s="154">
        <f>(VLOOKUP($E358,$D$6:$AI$660,I$2,)/VLOOKUP($E358,$D$6:$AI$660,3,))*$F358</f>
        <v>-24.604943844735185</v>
      </c>
      <c r="J358" s="154">
        <f>(VLOOKUP($E358,$D$6:$AI$660,J$2,)/VLOOKUP($E358,$D$6:$AI$660,3,))*$F358</f>
        <v>-7.2934874807983938</v>
      </c>
      <c r="K358" s="154">
        <f>(VLOOKUP($E358,$D$6:$AI$660,8,)/VLOOKUP($E358,$D$6:$AI$660,3,))*$F358</f>
        <v>-18.005268398073067</v>
      </c>
      <c r="L358" s="154">
        <f>(VLOOKUP($E358,$D$6:$AI$660,L$2,)/VLOOKUP($E358,$D$6:$AI$660,3,))*$F358</f>
        <v>-0.40613387364074582</v>
      </c>
      <c r="M358" s="154">
        <f>(VLOOKUP($E358,$D$6:$AI$660,M$2,)/VLOOKUP($E358,$D$6:$AI$660,3,))*$F358</f>
        <v>0</v>
      </c>
      <c r="N358" s="154">
        <f>(VLOOKUP($E358,$D$6:$AI$660,11,)/VLOOKUP($E358,$D$6:$AI$660,3,))*$F358</f>
        <v>0</v>
      </c>
      <c r="O358" s="154">
        <f>(VLOOKUP($E358,$D$6:$AI$660,O$2,)/VLOOKUP($E358,$D$6:$AI$660,3,))*$F358</f>
        <v>0</v>
      </c>
      <c r="P358" s="154">
        <f>(VLOOKUP($E358,$D$6:$AI$660,P$2,)/VLOOKUP($E358,$D$6:$AI$660,3,))*$F358</f>
        <v>0</v>
      </c>
      <c r="Q358" s="154">
        <f>(VLOOKUP($E358,$D$6:$AI$660,Q$2,)/VLOOKUP($E358,$D$6:$AI$660,3,))*$F358</f>
        <v>0</v>
      </c>
      <c r="R358" s="154">
        <f>(VLOOKUP($E358,$D$6:$AI$660,15,)/VLOOKUP($E358,$D$6:$AI$660,3,))*$F358</f>
        <v>0</v>
      </c>
      <c r="S358" s="154">
        <f>(VLOOKUP($E358,$D$6:$AI$660,16,)/VLOOKUP($E358,$D$6:$AI$660,3,))*$F358</f>
        <v>0</v>
      </c>
      <c r="T358" s="154">
        <f>(VLOOKUP($E358,$D$6:$AI$660,17,)/VLOOKUP($E358,$D$6:$AI$660,3,))*$F358</f>
        <v>0</v>
      </c>
      <c r="U358" s="155">
        <f>SUM(G358:M358)</f>
        <v>-16922.244735031072</v>
      </c>
      <c r="V358" s="140" t="str">
        <f>IF(ABS(F358-U358)&lt;0.01,"ok","err")</f>
        <v>ok</v>
      </c>
      <c r="W358" s="156"/>
    </row>
    <row r="359" spans="1:23">
      <c r="F359" s="16"/>
      <c r="U359" s="155"/>
    </row>
    <row r="360" spans="1:23">
      <c r="A360" s="141" t="s">
        <v>11</v>
      </c>
      <c r="F360" s="16"/>
      <c r="U360" s="155"/>
    </row>
    <row r="361" spans="1:23">
      <c r="A361" s="153" t="s">
        <v>210</v>
      </c>
      <c r="C361" s="157" t="s">
        <v>743</v>
      </c>
      <c r="D361" s="147" t="s">
        <v>280</v>
      </c>
      <c r="E361" s="147" t="s">
        <v>324</v>
      </c>
      <c r="F361" s="154">
        <f>VLOOKUP(C361,'Functional Assignment'!$C$1:$AR$731,18,)</f>
        <v>-6358.6606924468442</v>
      </c>
      <c r="G361" s="154">
        <f>(VLOOKUP($E361,$D$6:$AI$660,G$2,)/VLOOKUP($E361,$D$6:$AI$660,3,))*$F361</f>
        <v>-4701.4834580467032</v>
      </c>
      <c r="H361" s="154">
        <f>(VLOOKUP($E361,$D$6:$AI$660,H$2,)/VLOOKUP($E361,$D$6:$AI$660,3,))*$F361</f>
        <v>-1477.443975921627</v>
      </c>
      <c r="I361" s="154">
        <f>(VLOOKUP($E361,$D$6:$AI$660,I$2,)/VLOOKUP($E361,$D$6:$AI$660,3,))*$F361</f>
        <v>-111.24524701721155</v>
      </c>
      <c r="J361" s="154">
        <f>(VLOOKUP($E361,$D$6:$AI$660,J$2,)/VLOOKUP($E361,$D$6:$AI$660,3,))*$F361</f>
        <v>-4.6099184240734035</v>
      </c>
      <c r="K361" s="154">
        <f>(VLOOKUP($E361,$D$6:$AI$660,8,)/VLOOKUP($E361,$D$6:$AI$660,3,))*$F361</f>
        <v>-63.878093037228503</v>
      </c>
      <c r="L361" s="154">
        <f>(VLOOKUP($E361,$D$6:$AI$660,L$2,)/VLOOKUP($E361,$D$6:$AI$660,3,))*$F361</f>
        <v>0</v>
      </c>
      <c r="M361" s="154">
        <f>(VLOOKUP($E361,$D$6:$AI$660,M$2,)/VLOOKUP($E361,$D$6:$AI$660,3,))*$F361</f>
        <v>0</v>
      </c>
      <c r="N361" s="154">
        <f>(VLOOKUP($E361,$D$6:$AI$660,11,)/VLOOKUP($E361,$D$6:$AI$660,3,))*$F361</f>
        <v>0</v>
      </c>
      <c r="O361" s="154">
        <f>(VLOOKUP($E361,$D$6:$AI$660,O$2,)/VLOOKUP($E361,$D$6:$AI$660,3,))*$F361</f>
        <v>0</v>
      </c>
      <c r="P361" s="154">
        <f>(VLOOKUP($E361,$D$6:$AI$660,P$2,)/VLOOKUP($E361,$D$6:$AI$660,3,))*$F361</f>
        <v>0</v>
      </c>
      <c r="Q361" s="154">
        <f>(VLOOKUP($E361,$D$6:$AI$660,Q$2,)/VLOOKUP($E361,$D$6:$AI$660,3,))*$F361</f>
        <v>0</v>
      </c>
      <c r="R361" s="154">
        <f>(VLOOKUP($E361,$D$6:$AI$660,15,)/VLOOKUP($E361,$D$6:$AI$660,3,))*$F361</f>
        <v>0</v>
      </c>
      <c r="S361" s="154">
        <f>(VLOOKUP($E361,$D$6:$AI$660,16,)/VLOOKUP($E361,$D$6:$AI$660,3,))*$F361</f>
        <v>0</v>
      </c>
      <c r="T361" s="154">
        <f>(VLOOKUP($E361,$D$6:$AI$660,17,)/VLOOKUP($E361,$D$6:$AI$660,3,))*$F361</f>
        <v>0</v>
      </c>
      <c r="U361" s="155">
        <f>SUM(G361:M361)</f>
        <v>-6358.6606924468442</v>
      </c>
      <c r="V361" s="140" t="str">
        <f>IF(ABS(F361-U361)&lt;0.01,"ok","err")</f>
        <v>ok</v>
      </c>
    </row>
    <row r="362" spans="1:23">
      <c r="F362" s="16"/>
      <c r="U362" s="155"/>
    </row>
    <row r="363" spans="1:23">
      <c r="A363" s="141" t="s">
        <v>12</v>
      </c>
      <c r="F363" s="16"/>
      <c r="U363" s="155"/>
    </row>
    <row r="364" spans="1:23">
      <c r="A364" s="153" t="s">
        <v>210</v>
      </c>
      <c r="C364" s="157" t="s">
        <v>743</v>
      </c>
      <c r="D364" s="147" t="s">
        <v>281</v>
      </c>
      <c r="E364" s="147" t="s">
        <v>325</v>
      </c>
      <c r="F364" s="154">
        <f>VLOOKUP(C364,'Functional Assignment'!$C$1:$AR$731,19,)</f>
        <v>0</v>
      </c>
      <c r="G364" s="154">
        <f>(VLOOKUP($E364,$D$6:$AI$660,G$2,)/VLOOKUP($E364,$D$6:$AI$660,3,))*$F364</f>
        <v>0</v>
      </c>
      <c r="H364" s="154">
        <f>(VLOOKUP($E364,$D$6:$AI$660,H$2,)/VLOOKUP($E364,$D$6:$AI$660,3,))*$F364</f>
        <v>0</v>
      </c>
      <c r="I364" s="154">
        <f>(VLOOKUP($E364,$D$6:$AI$660,I$2,)/VLOOKUP($E364,$D$6:$AI$660,3,))*$F364</f>
        <v>0</v>
      </c>
      <c r="J364" s="154">
        <f>(VLOOKUP($E364,$D$6:$AI$660,J$2,)/VLOOKUP($E364,$D$6:$AI$660,3,))*$F364</f>
        <v>0</v>
      </c>
      <c r="K364" s="154">
        <f>(VLOOKUP($E364,$D$6:$AI$660,8,)/VLOOKUP($E364,$D$6:$AI$660,3,))*$F364</f>
        <v>0</v>
      </c>
      <c r="L364" s="154">
        <f>(VLOOKUP($E364,$D$6:$AI$660,L$2,)/VLOOKUP($E364,$D$6:$AI$660,3,))*$F364</f>
        <v>0</v>
      </c>
      <c r="M364" s="154">
        <f>(VLOOKUP($E364,$D$6:$AI$660,M$2,)/VLOOKUP($E364,$D$6:$AI$660,3,))*$F364</f>
        <v>0</v>
      </c>
      <c r="N364" s="154">
        <f>(VLOOKUP($E364,$D$6:$AI$660,11,)/VLOOKUP($E364,$D$6:$AI$660,3,))*$F364</f>
        <v>0</v>
      </c>
      <c r="O364" s="154">
        <f>(VLOOKUP($E364,$D$6:$AI$660,O$2,)/VLOOKUP($E364,$D$6:$AI$660,3,))*$F364</f>
        <v>0</v>
      </c>
      <c r="P364" s="154">
        <f>(VLOOKUP($E364,$D$6:$AI$660,P$2,)/VLOOKUP($E364,$D$6:$AI$660,3,))*$F364</f>
        <v>0</v>
      </c>
      <c r="Q364" s="154">
        <f>(VLOOKUP($E364,$D$6:$AI$660,Q$2,)/VLOOKUP($E364,$D$6:$AI$660,3,))*$F364</f>
        <v>0</v>
      </c>
      <c r="R364" s="154">
        <f>(VLOOKUP($E364,$D$6:$AI$660,15,)/VLOOKUP($E364,$D$6:$AI$660,3,))*$F364</f>
        <v>0</v>
      </c>
      <c r="S364" s="154">
        <f>(VLOOKUP($E364,$D$6:$AI$660,16,)/VLOOKUP($E364,$D$6:$AI$660,3,))*$F364</f>
        <v>0</v>
      </c>
      <c r="T364" s="154">
        <f>(VLOOKUP($E364,$D$6:$AI$660,17,)/VLOOKUP($E364,$D$6:$AI$660,3,))*$F364</f>
        <v>0</v>
      </c>
      <c r="U364" s="155">
        <f>SUM(G364:M364)</f>
        <v>0</v>
      </c>
      <c r="V364" s="140" t="str">
        <f>IF(ABS(F364-U364)&lt;0.01,"ok","err")</f>
        <v>ok</v>
      </c>
    </row>
    <row r="365" spans="1:23">
      <c r="F365" s="16"/>
      <c r="U365" s="155"/>
    </row>
    <row r="366" spans="1:23">
      <c r="A366" s="141" t="s">
        <v>13</v>
      </c>
      <c r="F366" s="16"/>
      <c r="U366" s="155"/>
    </row>
    <row r="367" spans="1:23">
      <c r="A367" s="153" t="s">
        <v>210</v>
      </c>
      <c r="C367" s="157" t="s">
        <v>743</v>
      </c>
      <c r="D367" s="147" t="s">
        <v>282</v>
      </c>
      <c r="E367" s="147" t="s">
        <v>326</v>
      </c>
      <c r="F367" s="154">
        <f>VLOOKUP(C367,'Functional Assignment'!$C$1:$AR$731,20,)</f>
        <v>0</v>
      </c>
      <c r="G367" s="154">
        <f>(VLOOKUP($E367,$D$6:$AI$660,G$2,)/VLOOKUP($E367,$D$6:$AI$660,3,))*$F367</f>
        <v>0</v>
      </c>
      <c r="H367" s="154">
        <f>(VLOOKUP($E367,$D$6:$AI$660,H$2,)/VLOOKUP($E367,$D$6:$AI$660,3,))*$F367</f>
        <v>0</v>
      </c>
      <c r="I367" s="154">
        <f>(VLOOKUP($E367,$D$6:$AI$660,I$2,)/VLOOKUP($E367,$D$6:$AI$660,3,))*$F367</f>
        <v>0</v>
      </c>
      <c r="J367" s="154">
        <f>(VLOOKUP($E367,$D$6:$AI$660,J$2,)/VLOOKUP($E367,$D$6:$AI$660,3,))*$F367</f>
        <v>0</v>
      </c>
      <c r="K367" s="154">
        <f>(VLOOKUP($E367,$D$6:$AI$660,8,)/VLOOKUP($E367,$D$6:$AI$660,3,))*$F367</f>
        <v>0</v>
      </c>
      <c r="L367" s="154">
        <f>(VLOOKUP($E367,$D$6:$AI$660,L$2,)/VLOOKUP($E367,$D$6:$AI$660,3,))*$F367</f>
        <v>0</v>
      </c>
      <c r="M367" s="154">
        <f>(VLOOKUP($E367,$D$6:$AI$660,M$2,)/VLOOKUP($E367,$D$6:$AI$660,3,))*$F367</f>
        <v>0</v>
      </c>
      <c r="N367" s="154">
        <f>(VLOOKUP($E367,$D$6:$AI$660,11,)/VLOOKUP($E367,$D$6:$AI$660,3,))*$F367</f>
        <v>0</v>
      </c>
      <c r="O367" s="154">
        <f>(VLOOKUP($E367,$D$6:$AI$660,O$2,)/VLOOKUP($E367,$D$6:$AI$660,3,))*$F367</f>
        <v>0</v>
      </c>
      <c r="P367" s="154">
        <f>(VLOOKUP($E367,$D$6:$AI$660,P$2,)/VLOOKUP($E367,$D$6:$AI$660,3,))*$F367</f>
        <v>0</v>
      </c>
      <c r="Q367" s="154">
        <f>(VLOOKUP($E367,$D$6:$AI$660,Q$2,)/VLOOKUP($E367,$D$6:$AI$660,3,))*$F367</f>
        <v>0</v>
      </c>
      <c r="R367" s="154">
        <f>(VLOOKUP($E367,$D$6:$AI$660,15,)/VLOOKUP($E367,$D$6:$AI$660,3,))*$F367</f>
        <v>0</v>
      </c>
      <c r="S367" s="154">
        <f>(VLOOKUP($E367,$D$6:$AI$660,16,)/VLOOKUP($E367,$D$6:$AI$660,3,))*$F367</f>
        <v>0</v>
      </c>
      <c r="T367" s="154">
        <f>(VLOOKUP($E367,$D$6:$AI$660,17,)/VLOOKUP($E367,$D$6:$AI$660,3,))*$F367</f>
        <v>0</v>
      </c>
      <c r="U367" s="155">
        <f>SUM(G367:M367)</f>
        <v>0</v>
      </c>
      <c r="V367" s="140" t="str">
        <f>IF(ABS(F367-U367)&lt;0.01,"ok","err")</f>
        <v>ok</v>
      </c>
    </row>
    <row r="368" spans="1:23">
      <c r="F368" s="16"/>
      <c r="U368" s="155"/>
    </row>
    <row r="369" spans="1:24">
      <c r="A369" s="147" t="s">
        <v>14</v>
      </c>
      <c r="D369" s="147" t="s">
        <v>82</v>
      </c>
      <c r="F369" s="154">
        <f t="shared" ref="F369:T369" si="112">F332+F337+F342+F345+F348+F355+F358+F361+F364+F367</f>
        <v>-69069.999999999985</v>
      </c>
      <c r="G369" s="154">
        <f t="shared" si="112"/>
        <v>-53056.828906045092</v>
      </c>
      <c r="H369" s="154">
        <f t="shared" si="112"/>
        <v>-14049.037954856713</v>
      </c>
      <c r="I369" s="154">
        <f t="shared" si="112"/>
        <v>-822.13547671323522</v>
      </c>
      <c r="J369" s="154">
        <f t="shared" si="112"/>
        <v>-30.246910353534446</v>
      </c>
      <c r="K369" s="154">
        <f t="shared" si="112"/>
        <v>-1098.3105733309906</v>
      </c>
      <c r="L369" s="154">
        <f t="shared" si="112"/>
        <v>-13.44017870042228</v>
      </c>
      <c r="M369" s="154">
        <f t="shared" si="112"/>
        <v>0</v>
      </c>
      <c r="N369" s="154">
        <f t="shared" si="112"/>
        <v>0</v>
      </c>
      <c r="O369" s="154">
        <f t="shared" si="112"/>
        <v>0</v>
      </c>
      <c r="P369" s="154">
        <f t="shared" si="112"/>
        <v>0</v>
      </c>
      <c r="Q369" s="154">
        <f t="shared" si="112"/>
        <v>0</v>
      </c>
      <c r="R369" s="154">
        <f t="shared" si="112"/>
        <v>0</v>
      </c>
      <c r="S369" s="154">
        <f t="shared" si="112"/>
        <v>0</v>
      </c>
      <c r="T369" s="154">
        <f t="shared" si="112"/>
        <v>0</v>
      </c>
      <c r="U369" s="155">
        <f>SUM(G369:M369)</f>
        <v>-69069.999999999985</v>
      </c>
      <c r="V369" s="140" t="str">
        <f>IF(ABS(F369-U369)&lt;0.01,"ok","err")</f>
        <v>ok</v>
      </c>
      <c r="W369" s="155"/>
      <c r="X369" s="140"/>
    </row>
    <row r="370" spans="1:24">
      <c r="U370" s="155"/>
    </row>
    <row r="371" spans="1:24">
      <c r="A371" s="152" t="s">
        <v>217</v>
      </c>
      <c r="U371" s="155"/>
    </row>
    <row r="372" spans="1:24">
      <c r="U372" s="155"/>
    </row>
    <row r="373" spans="1:24">
      <c r="A373" s="141" t="s">
        <v>461</v>
      </c>
      <c r="U373" s="155"/>
    </row>
    <row r="374" spans="1:24">
      <c r="A374" s="153" t="s">
        <v>209</v>
      </c>
      <c r="C374" s="147" t="s">
        <v>178</v>
      </c>
      <c r="D374" s="147" t="s">
        <v>284</v>
      </c>
      <c r="E374" s="147" t="s">
        <v>313</v>
      </c>
      <c r="F374" s="154">
        <f>VLOOKUP(C374,'Functional Assignment'!$C$1:$AR$731,5,)</f>
        <v>0</v>
      </c>
      <c r="G374" s="154">
        <f t="shared" ref="G374:J375" si="113">(VLOOKUP($E374,$D$6:$AI$660,G$2,)/VLOOKUP($E374,$D$6:$AI$660,3,))*$F374</f>
        <v>0</v>
      </c>
      <c r="H374" s="154">
        <f t="shared" si="113"/>
        <v>0</v>
      </c>
      <c r="I374" s="154">
        <f t="shared" si="113"/>
        <v>0</v>
      </c>
      <c r="J374" s="154">
        <f t="shared" si="113"/>
        <v>0</v>
      </c>
      <c r="K374" s="154">
        <f>(VLOOKUP($E374,$D$6:$AI$660,8,)/VLOOKUP($E374,$D$6:$AI$660,3,))*$F374</f>
        <v>0</v>
      </c>
      <c r="L374" s="154">
        <f>(VLOOKUP($E374,$D$6:$AI$660,L$2,)/VLOOKUP($E374,$D$6:$AI$660,3,))*$F374</f>
        <v>0</v>
      </c>
      <c r="M374" s="154">
        <f>(VLOOKUP($E374,$D$6:$AI$660,M$2,)/VLOOKUP($E374,$D$6:$AI$660,3,))*$F374</f>
        <v>0</v>
      </c>
      <c r="N374" s="154">
        <f>(VLOOKUP($E374,$D$6:$AI$660,11,)/VLOOKUP($E374,$D$6:$AI$660,3,))*$F374</f>
        <v>0</v>
      </c>
      <c r="O374" s="154">
        <f t="shared" ref="O374:Q375" si="114">(VLOOKUP($E374,$D$6:$AI$660,O$2,)/VLOOKUP($E374,$D$6:$AI$660,3,))*$F374</f>
        <v>0</v>
      </c>
      <c r="P374" s="154">
        <f t="shared" si="114"/>
        <v>0</v>
      </c>
      <c r="Q374" s="154">
        <f t="shared" si="114"/>
        <v>0</v>
      </c>
      <c r="R374" s="154">
        <f>(VLOOKUP($E374,$D$6:$AI$660,15,)/VLOOKUP($E374,$D$6:$AI$660,3,))*$F374</f>
        <v>0</v>
      </c>
      <c r="S374" s="154">
        <f>(VLOOKUP($E374,$D$6:$AI$660,16,)/VLOOKUP($E374,$D$6:$AI$660,3,))*$F374</f>
        <v>0</v>
      </c>
      <c r="T374" s="154">
        <f>(VLOOKUP($E374,$D$6:$AI$660,17,)/VLOOKUP($E374,$D$6:$AI$660,3,))*$F374</f>
        <v>0</v>
      </c>
      <c r="U374" s="155">
        <f>SUM(G374:M374)</f>
        <v>0</v>
      </c>
      <c r="V374" s="140" t="str">
        <f>IF(ABS(F374-U374)&lt;0.01,"ok","err")</f>
        <v>ok</v>
      </c>
    </row>
    <row r="375" spans="1:24">
      <c r="A375" s="153" t="s">
        <v>229</v>
      </c>
      <c r="C375" s="147" t="s">
        <v>178</v>
      </c>
      <c r="D375" s="147" t="s">
        <v>285</v>
      </c>
      <c r="E375" s="147" t="s">
        <v>314</v>
      </c>
      <c r="F375" s="16">
        <f>VLOOKUP(C375,'Functional Assignment'!$C$1:$AR$731,6,)</f>
        <v>0</v>
      </c>
      <c r="G375" s="16">
        <f t="shared" si="113"/>
        <v>0</v>
      </c>
      <c r="H375" s="16">
        <f t="shared" si="113"/>
        <v>0</v>
      </c>
      <c r="I375" s="16">
        <f t="shared" si="113"/>
        <v>0</v>
      </c>
      <c r="J375" s="16">
        <f t="shared" si="113"/>
        <v>0</v>
      </c>
      <c r="K375" s="16">
        <f>(VLOOKUP($E375,$D$6:$AI$660,8,)/VLOOKUP($E375,$D$6:$AI$660,3,))*$F375</f>
        <v>0</v>
      </c>
      <c r="L375" s="16">
        <f>(VLOOKUP($E375,$D$6:$AI$660,L$2,)/VLOOKUP($E375,$D$6:$AI$660,3,))*$F375</f>
        <v>0</v>
      </c>
      <c r="M375" s="16">
        <f>(VLOOKUP($E375,$D$6:$AI$660,M$2,)/VLOOKUP($E375,$D$6:$AI$660,3,))*$F375</f>
        <v>0</v>
      </c>
      <c r="N375" s="16">
        <f>(VLOOKUP($E375,$D$6:$AI$660,11,)/VLOOKUP($E375,$D$6:$AI$660,3,))*$F375</f>
        <v>0</v>
      </c>
      <c r="O375" s="16">
        <f t="shared" si="114"/>
        <v>0</v>
      </c>
      <c r="P375" s="16">
        <f t="shared" si="114"/>
        <v>0</v>
      </c>
      <c r="Q375" s="16">
        <f t="shared" si="114"/>
        <v>0</v>
      </c>
      <c r="R375" s="16">
        <f>(VLOOKUP($E375,$D$6:$AI$660,15,)/VLOOKUP($E375,$D$6:$AI$660,3,))*$F375</f>
        <v>0</v>
      </c>
      <c r="S375" s="16">
        <f>(VLOOKUP($E375,$D$6:$AI$660,16,)/VLOOKUP($E375,$D$6:$AI$660,3,))*$F375</f>
        <v>0</v>
      </c>
      <c r="T375" s="16">
        <f>(VLOOKUP($E375,$D$6:$AI$660,17,)/VLOOKUP($E375,$D$6:$AI$660,3,))*$F375</f>
        <v>0</v>
      </c>
      <c r="U375" s="155">
        <f>SUM(G375:M375)</f>
        <v>0</v>
      </c>
      <c r="V375" s="140" t="str">
        <f>IF(ABS(F375-U375)&lt;0.01,"ok","err")</f>
        <v>ok</v>
      </c>
    </row>
    <row r="376" spans="1:24">
      <c r="A376" s="147" t="s">
        <v>667</v>
      </c>
      <c r="D376" s="147" t="s">
        <v>344</v>
      </c>
      <c r="F376" s="154">
        <f t="shared" ref="F376:T376" si="115">F374+F375</f>
        <v>0</v>
      </c>
      <c r="G376" s="154">
        <f t="shared" si="115"/>
        <v>0</v>
      </c>
      <c r="H376" s="154">
        <f t="shared" si="115"/>
        <v>0</v>
      </c>
      <c r="I376" s="154">
        <f t="shared" si="115"/>
        <v>0</v>
      </c>
      <c r="J376" s="154">
        <f t="shared" si="115"/>
        <v>0</v>
      </c>
      <c r="K376" s="154">
        <f t="shared" si="115"/>
        <v>0</v>
      </c>
      <c r="L376" s="154">
        <f t="shared" si="115"/>
        <v>0</v>
      </c>
      <c r="M376" s="154">
        <f t="shared" si="115"/>
        <v>0</v>
      </c>
      <c r="N376" s="154">
        <f t="shared" si="115"/>
        <v>0</v>
      </c>
      <c r="O376" s="154">
        <f t="shared" si="115"/>
        <v>0</v>
      </c>
      <c r="P376" s="154">
        <f t="shared" si="115"/>
        <v>0</v>
      </c>
      <c r="Q376" s="154">
        <f t="shared" si="115"/>
        <v>0</v>
      </c>
      <c r="R376" s="154">
        <f t="shared" si="115"/>
        <v>0</v>
      </c>
      <c r="S376" s="154">
        <f t="shared" si="115"/>
        <v>0</v>
      </c>
      <c r="T376" s="154">
        <f t="shared" si="115"/>
        <v>0</v>
      </c>
      <c r="U376" s="155">
        <f>SUM(G376:M376)</f>
        <v>0</v>
      </c>
      <c r="V376" s="140" t="str">
        <f>IF(ABS(F376-U376)&lt;0.01,"ok","err")</f>
        <v>ok</v>
      </c>
    </row>
    <row r="377" spans="1:24">
      <c r="F377" s="16"/>
      <c r="G377" s="16"/>
      <c r="U377" s="155"/>
    </row>
    <row r="378" spans="1:24">
      <c r="A378" s="141" t="s">
        <v>3</v>
      </c>
      <c r="F378" s="16"/>
      <c r="G378" s="16"/>
      <c r="U378" s="155"/>
    </row>
    <row r="379" spans="1:24">
      <c r="A379" s="153" t="s">
        <v>209</v>
      </c>
      <c r="C379" s="147" t="s">
        <v>178</v>
      </c>
      <c r="D379" s="147" t="s">
        <v>286</v>
      </c>
      <c r="E379" s="147" t="s">
        <v>315</v>
      </c>
      <c r="F379" s="154">
        <f>VLOOKUP(C379,'Functional Assignment'!$C$1:$AR$731,7,)</f>
        <v>1406309.2304456753</v>
      </c>
      <c r="G379" s="154">
        <f t="shared" ref="G379:J380" si="116">(VLOOKUP($E379,$D$6:$AI$660,G$2,)/VLOOKUP($E379,$D$6:$AI$660,3,))*$F379</f>
        <v>926554.42454200773</v>
      </c>
      <c r="H379" s="154">
        <f t="shared" si="116"/>
        <v>443295.1585652869</v>
      </c>
      <c r="I379" s="154">
        <f t="shared" si="116"/>
        <v>36459.647338380688</v>
      </c>
      <c r="J379" s="154">
        <f t="shared" si="116"/>
        <v>0</v>
      </c>
      <c r="K379" s="154">
        <f>(VLOOKUP($E379,$D$6:$AI$660,8,)/VLOOKUP($E379,$D$6:$AI$660,3,))*$F379</f>
        <v>0</v>
      </c>
      <c r="L379" s="154">
        <f>(VLOOKUP($E379,$D$6:$AI$660,L$2,)/VLOOKUP($E379,$D$6:$AI$660,3,))*$F379</f>
        <v>0</v>
      </c>
      <c r="M379" s="154">
        <f>(VLOOKUP($E379,$D$6:$AI$660,M$2,)/VLOOKUP($E379,$D$6:$AI$660,3,))*$F379</f>
        <v>0</v>
      </c>
      <c r="N379" s="154">
        <f>(VLOOKUP($E379,$D$6:$AI$660,11,)/VLOOKUP($E379,$D$6:$AI$660,3,))*$F379</f>
        <v>0</v>
      </c>
      <c r="O379" s="154">
        <f t="shared" ref="O379:Q380" si="117">(VLOOKUP($E379,$D$6:$AI$660,O$2,)/VLOOKUP($E379,$D$6:$AI$660,3,))*$F379</f>
        <v>0</v>
      </c>
      <c r="P379" s="154">
        <f t="shared" si="117"/>
        <v>0</v>
      </c>
      <c r="Q379" s="154">
        <f t="shared" si="117"/>
        <v>0</v>
      </c>
      <c r="R379" s="154">
        <f>(VLOOKUP($E379,$D$6:$AI$660,15,)/VLOOKUP($E379,$D$6:$AI$660,3,))*$F379</f>
        <v>0</v>
      </c>
      <c r="S379" s="154">
        <f>(VLOOKUP($E379,$D$6:$AI$660,16,)/VLOOKUP($E379,$D$6:$AI$660,3,))*$F379</f>
        <v>0</v>
      </c>
      <c r="T379" s="154">
        <f>(VLOOKUP($E379,$D$6:$AI$660,17,)/VLOOKUP($E379,$D$6:$AI$660,3,))*$F379</f>
        <v>0</v>
      </c>
      <c r="U379" s="155">
        <f>SUM(G379:M379)</f>
        <v>1406309.2304456751</v>
      </c>
      <c r="V379" s="140" t="str">
        <f>IF(ABS(F379-U379)&lt;0.01,"ok","err")</f>
        <v>ok</v>
      </c>
    </row>
    <row r="380" spans="1:24">
      <c r="A380" s="147" t="s">
        <v>229</v>
      </c>
      <c r="C380" s="147" t="s">
        <v>178</v>
      </c>
      <c r="D380" s="147" t="s">
        <v>287</v>
      </c>
      <c r="E380" s="147" t="s">
        <v>316</v>
      </c>
      <c r="F380" s="16">
        <f>VLOOKUP(C380,'Functional Assignment'!$C$1:$AR$731,8,)</f>
        <v>0</v>
      </c>
      <c r="G380" s="16">
        <f t="shared" si="116"/>
        <v>0</v>
      </c>
      <c r="H380" s="16">
        <f t="shared" si="116"/>
        <v>0</v>
      </c>
      <c r="I380" s="16">
        <f t="shared" si="116"/>
        <v>0</v>
      </c>
      <c r="J380" s="16">
        <f t="shared" si="116"/>
        <v>0</v>
      </c>
      <c r="K380" s="16">
        <f>(VLOOKUP($E380,$D$6:$AI$660,8,)/VLOOKUP($E380,$D$6:$AI$660,3,))*$F380</f>
        <v>0</v>
      </c>
      <c r="L380" s="16">
        <f>(VLOOKUP($E380,$D$6:$AI$660,L$2,)/VLOOKUP($E380,$D$6:$AI$660,3,))*$F380</f>
        <v>0</v>
      </c>
      <c r="M380" s="16">
        <f>(VLOOKUP($E380,$D$6:$AI$660,M$2,)/VLOOKUP($E380,$D$6:$AI$660,3,))*$F380</f>
        <v>0</v>
      </c>
      <c r="N380" s="16">
        <f>(VLOOKUP($E380,$D$6:$AI$660,11,)/VLOOKUP($E380,$D$6:$AI$660,3,))*$F380</f>
        <v>0</v>
      </c>
      <c r="O380" s="16">
        <f t="shared" si="117"/>
        <v>0</v>
      </c>
      <c r="P380" s="16">
        <f t="shared" si="117"/>
        <v>0</v>
      </c>
      <c r="Q380" s="16">
        <f t="shared" si="117"/>
        <v>0</v>
      </c>
      <c r="R380" s="16">
        <f>(VLOOKUP($E380,$D$6:$AI$660,15,)/VLOOKUP($E380,$D$6:$AI$660,3,))*$F380</f>
        <v>0</v>
      </c>
      <c r="S380" s="16">
        <f>(VLOOKUP($E380,$D$6:$AI$660,16,)/VLOOKUP($E380,$D$6:$AI$660,3,))*$F380</f>
        <v>0</v>
      </c>
      <c r="T380" s="16">
        <f>(VLOOKUP($E380,$D$6:$AI$660,17,)/VLOOKUP($E380,$D$6:$AI$660,3,))*$F380</f>
        <v>0</v>
      </c>
      <c r="U380" s="155">
        <f>SUM(G380:M380)</f>
        <v>0</v>
      </c>
      <c r="V380" s="140" t="str">
        <f>IF(ABS(F380-U380)&lt;0.01,"ok","err")</f>
        <v>ok</v>
      </c>
      <c r="W380" s="156"/>
    </row>
    <row r="381" spans="1:24">
      <c r="A381" s="147" t="s">
        <v>230</v>
      </c>
      <c r="D381" s="147" t="s">
        <v>345</v>
      </c>
      <c r="F381" s="154">
        <f>SUM(F379:F380)</f>
        <v>1406309.2304456753</v>
      </c>
      <c r="G381" s="154">
        <f t="shared" ref="G381:T381" si="118">G379+G380</f>
        <v>926554.42454200773</v>
      </c>
      <c r="H381" s="154">
        <f t="shared" si="118"/>
        <v>443295.1585652869</v>
      </c>
      <c r="I381" s="154">
        <f t="shared" si="118"/>
        <v>36459.647338380688</v>
      </c>
      <c r="J381" s="154">
        <f t="shared" si="118"/>
        <v>0</v>
      </c>
      <c r="K381" s="154">
        <f t="shared" si="118"/>
        <v>0</v>
      </c>
      <c r="L381" s="154">
        <f t="shared" si="118"/>
        <v>0</v>
      </c>
      <c r="M381" s="154">
        <f t="shared" si="118"/>
        <v>0</v>
      </c>
      <c r="N381" s="154">
        <f t="shared" si="118"/>
        <v>0</v>
      </c>
      <c r="O381" s="154">
        <f t="shared" si="118"/>
        <v>0</v>
      </c>
      <c r="P381" s="154">
        <f t="shared" si="118"/>
        <v>0</v>
      </c>
      <c r="Q381" s="154">
        <f t="shared" si="118"/>
        <v>0</v>
      </c>
      <c r="R381" s="154">
        <f t="shared" si="118"/>
        <v>0</v>
      </c>
      <c r="S381" s="154">
        <f t="shared" si="118"/>
        <v>0</v>
      </c>
      <c r="T381" s="154">
        <f t="shared" si="118"/>
        <v>0</v>
      </c>
      <c r="U381" s="155">
        <f>SUM(G381:M381)</f>
        <v>1406309.2304456751</v>
      </c>
      <c r="V381" s="140" t="str">
        <f>IF(ABS(F381-U381)&lt;0.01,"ok","err")</f>
        <v>ok</v>
      </c>
      <c r="W381" s="156"/>
    </row>
    <row r="382" spans="1:24">
      <c r="F382" s="16"/>
      <c r="G382" s="16"/>
      <c r="U382" s="155"/>
    </row>
    <row r="383" spans="1:24">
      <c r="A383" s="141" t="s">
        <v>4</v>
      </c>
      <c r="F383" s="16"/>
      <c r="G383" s="16"/>
      <c r="U383" s="155"/>
    </row>
    <row r="384" spans="1:24">
      <c r="A384" s="153" t="s">
        <v>209</v>
      </c>
      <c r="C384" s="147" t="s">
        <v>178</v>
      </c>
      <c r="D384" s="147" t="s">
        <v>288</v>
      </c>
      <c r="E384" s="147" t="s">
        <v>317</v>
      </c>
      <c r="F384" s="154">
        <f>VLOOKUP(C384,'Functional Assignment'!$C$1:$AR$731,9,)</f>
        <v>488807.02720287011</v>
      </c>
      <c r="G384" s="154">
        <f t="shared" ref="G384:J385" si="119">(VLOOKUP($E384,$D$6:$AI$660,G$2,)/VLOOKUP($E384,$D$6:$AI$660,3,))*$F384</f>
        <v>322053.14734264644</v>
      </c>
      <c r="H384" s="154">
        <f t="shared" si="119"/>
        <v>154081.18210463045</v>
      </c>
      <c r="I384" s="154">
        <f t="shared" si="119"/>
        <v>12672.697755593192</v>
      </c>
      <c r="J384" s="154">
        <f t="shared" si="119"/>
        <v>0</v>
      </c>
      <c r="K384" s="154">
        <f>(VLOOKUP($E384,$D$6:$AI$660,8,)/VLOOKUP($E384,$D$6:$AI$660,3,))*$F384</f>
        <v>0</v>
      </c>
      <c r="L384" s="154">
        <f>(VLOOKUP($E384,$D$6:$AI$660,L$2,)/VLOOKUP($E384,$D$6:$AI$660,3,))*$F384</f>
        <v>0</v>
      </c>
      <c r="M384" s="154">
        <f>(VLOOKUP($E384,$D$6:$AI$660,M$2,)/VLOOKUP($E384,$D$6:$AI$660,3,))*$F384</f>
        <v>0</v>
      </c>
      <c r="N384" s="154">
        <f>(VLOOKUP($E384,$D$6:$AI$660,11,)/VLOOKUP($E384,$D$6:$AI$660,3,))*$F384</f>
        <v>0</v>
      </c>
      <c r="O384" s="154">
        <f t="shared" ref="O384:Q385" si="120">(VLOOKUP($E384,$D$6:$AI$660,O$2,)/VLOOKUP($E384,$D$6:$AI$660,3,))*$F384</f>
        <v>0</v>
      </c>
      <c r="P384" s="154">
        <f t="shared" si="120"/>
        <v>0</v>
      </c>
      <c r="Q384" s="154">
        <f t="shared" si="120"/>
        <v>0</v>
      </c>
      <c r="R384" s="154">
        <f>(VLOOKUP($E384,$D$6:$AI$660,15,)/VLOOKUP($E384,$D$6:$AI$660,3,))*$F384</f>
        <v>0</v>
      </c>
      <c r="S384" s="154">
        <f>(VLOOKUP($E384,$D$6:$AI$660,16,)/VLOOKUP($E384,$D$6:$AI$660,3,))*$F384</f>
        <v>0</v>
      </c>
      <c r="T384" s="154">
        <f>(VLOOKUP($E384,$D$6:$AI$660,17,)/VLOOKUP($E384,$D$6:$AI$660,3,))*$F384</f>
        <v>0</v>
      </c>
      <c r="U384" s="155">
        <f>SUM(G384:M384)</f>
        <v>488807.02720287006</v>
      </c>
      <c r="V384" s="140" t="str">
        <f>IF(ABS(F384-U384)&lt;0.01,"ok","err")</f>
        <v>ok</v>
      </c>
    </row>
    <row r="385" spans="1:23">
      <c r="A385" s="147" t="s">
        <v>229</v>
      </c>
      <c r="C385" s="147" t="s">
        <v>178</v>
      </c>
      <c r="D385" s="147" t="s">
        <v>289</v>
      </c>
      <c r="E385" s="147" t="s">
        <v>318</v>
      </c>
      <c r="F385" s="16">
        <f>VLOOKUP(C385,'Functional Assignment'!$C$1:$AR$731,10,)</f>
        <v>0</v>
      </c>
      <c r="G385" s="16">
        <f t="shared" si="119"/>
        <v>0</v>
      </c>
      <c r="H385" s="16">
        <f t="shared" si="119"/>
        <v>0</v>
      </c>
      <c r="I385" s="16">
        <f t="shared" si="119"/>
        <v>0</v>
      </c>
      <c r="J385" s="16">
        <f t="shared" si="119"/>
        <v>0</v>
      </c>
      <c r="K385" s="16">
        <f>(VLOOKUP($E385,$D$6:$AI$660,8,)/VLOOKUP($E385,$D$6:$AI$660,3,))*$F385</f>
        <v>0</v>
      </c>
      <c r="L385" s="16">
        <f>(VLOOKUP($E385,$D$6:$AI$660,L$2,)/VLOOKUP($E385,$D$6:$AI$660,3,))*$F385</f>
        <v>0</v>
      </c>
      <c r="M385" s="16">
        <f>(VLOOKUP($E385,$D$6:$AI$660,M$2,)/VLOOKUP($E385,$D$6:$AI$660,3,))*$F385</f>
        <v>0</v>
      </c>
      <c r="N385" s="16">
        <f>(VLOOKUP($E385,$D$6:$AI$660,11,)/VLOOKUP($E385,$D$6:$AI$660,3,))*$F385</f>
        <v>0</v>
      </c>
      <c r="O385" s="16">
        <f t="shared" si="120"/>
        <v>0</v>
      </c>
      <c r="P385" s="16">
        <f t="shared" si="120"/>
        <v>0</v>
      </c>
      <c r="Q385" s="16">
        <f t="shared" si="120"/>
        <v>0</v>
      </c>
      <c r="R385" s="16">
        <f>(VLOOKUP($E385,$D$6:$AI$660,15,)/VLOOKUP($E385,$D$6:$AI$660,3,))*$F385</f>
        <v>0</v>
      </c>
      <c r="S385" s="16">
        <f>(VLOOKUP($E385,$D$6:$AI$660,16,)/VLOOKUP($E385,$D$6:$AI$660,3,))*$F385</f>
        <v>0</v>
      </c>
      <c r="T385" s="16">
        <f>(VLOOKUP($E385,$D$6:$AI$660,17,)/VLOOKUP($E385,$D$6:$AI$660,3,))*$F385</f>
        <v>0</v>
      </c>
      <c r="U385" s="155">
        <f>SUM(G385:M385)</f>
        <v>0</v>
      </c>
      <c r="V385" s="140" t="str">
        <f>IF(ABS(F385-U385)&lt;0.01,"ok","err")</f>
        <v>ok</v>
      </c>
    </row>
    <row r="386" spans="1:23">
      <c r="A386" s="147" t="s">
        <v>231</v>
      </c>
      <c r="D386" s="147" t="s">
        <v>346</v>
      </c>
      <c r="F386" s="154">
        <f>SUM(F384:F385)</f>
        <v>488807.02720287011</v>
      </c>
      <c r="G386" s="154">
        <f t="shared" ref="G386:T386" si="121">G384+G385</f>
        <v>322053.14734264644</v>
      </c>
      <c r="H386" s="154">
        <f t="shared" si="121"/>
        <v>154081.18210463045</v>
      </c>
      <c r="I386" s="154">
        <f t="shared" si="121"/>
        <v>12672.697755593192</v>
      </c>
      <c r="J386" s="154">
        <f t="shared" si="121"/>
        <v>0</v>
      </c>
      <c r="K386" s="154">
        <f t="shared" si="121"/>
        <v>0</v>
      </c>
      <c r="L386" s="154">
        <f t="shared" si="121"/>
        <v>0</v>
      </c>
      <c r="M386" s="154">
        <f t="shared" si="121"/>
        <v>0</v>
      </c>
      <c r="N386" s="154">
        <f t="shared" si="121"/>
        <v>0</v>
      </c>
      <c r="O386" s="154">
        <f t="shared" si="121"/>
        <v>0</v>
      </c>
      <c r="P386" s="154">
        <f t="shared" si="121"/>
        <v>0</v>
      </c>
      <c r="Q386" s="154">
        <f t="shared" si="121"/>
        <v>0</v>
      </c>
      <c r="R386" s="154">
        <f t="shared" si="121"/>
        <v>0</v>
      </c>
      <c r="S386" s="154">
        <f t="shared" si="121"/>
        <v>0</v>
      </c>
      <c r="T386" s="154">
        <f t="shared" si="121"/>
        <v>0</v>
      </c>
      <c r="U386" s="155">
        <f>SUM(G386:M386)</f>
        <v>488807.02720287006</v>
      </c>
      <c r="V386" s="140" t="str">
        <f>IF(ABS(F386-U386)&lt;0.01,"ok","err")</f>
        <v>ok</v>
      </c>
    </row>
    <row r="387" spans="1:23">
      <c r="F387" s="16"/>
      <c r="U387" s="155"/>
    </row>
    <row r="388" spans="1:23">
      <c r="A388" s="141" t="s">
        <v>6</v>
      </c>
      <c r="F388" s="16"/>
      <c r="U388" s="155"/>
    </row>
    <row r="389" spans="1:23">
      <c r="A389" s="147" t="s">
        <v>229</v>
      </c>
      <c r="C389" s="147" t="s">
        <v>178</v>
      </c>
      <c r="D389" s="147" t="s">
        <v>290</v>
      </c>
      <c r="E389" s="147" t="s">
        <v>319</v>
      </c>
      <c r="F389" s="154">
        <f>VLOOKUP(C389,'Functional Assignment'!$C$1:$AR$731,11,)</f>
        <v>0</v>
      </c>
      <c r="G389" s="154">
        <f>(VLOOKUP($E389,$D$6:$AI$660,G$2,)/VLOOKUP($E389,$D$6:$AI$660,3,))*$F389</f>
        <v>0</v>
      </c>
      <c r="H389" s="154">
        <f>(VLOOKUP($E389,$D$6:$AI$660,H$2,)/VLOOKUP($E389,$D$6:$AI$660,3,))*$F389</f>
        <v>0</v>
      </c>
      <c r="I389" s="154">
        <f>(VLOOKUP($E389,$D$6:$AI$660,I$2,)/VLOOKUP($E389,$D$6:$AI$660,3,))*$F389</f>
        <v>0</v>
      </c>
      <c r="J389" s="154">
        <f>(VLOOKUP($E389,$D$6:$AI$660,J$2,)/VLOOKUP($E389,$D$6:$AI$660,3,))*$F389</f>
        <v>0</v>
      </c>
      <c r="K389" s="154">
        <f>(VLOOKUP($E389,$D$6:$AI$660,8,)/VLOOKUP($E389,$D$6:$AI$660,3,))*$F389</f>
        <v>0</v>
      </c>
      <c r="L389" s="154">
        <f>(VLOOKUP($E389,$D$6:$AI$660,L$2,)/VLOOKUP($E389,$D$6:$AI$660,3,))*$F389</f>
        <v>0</v>
      </c>
      <c r="M389" s="154">
        <f>(VLOOKUP($E389,$D$6:$AI$660,M$2,)/VLOOKUP($E389,$D$6:$AI$660,3,))*$F389</f>
        <v>0</v>
      </c>
      <c r="N389" s="154">
        <f>(VLOOKUP($E389,$D$6:$AI$660,11,)/VLOOKUP($E389,$D$6:$AI$660,3,))*$F389</f>
        <v>0</v>
      </c>
      <c r="O389" s="154">
        <f>(VLOOKUP($E389,$D$6:$AI$660,O$2,)/VLOOKUP($E389,$D$6:$AI$660,3,))*$F389</f>
        <v>0</v>
      </c>
      <c r="P389" s="154">
        <f>(VLOOKUP($E389,$D$6:$AI$660,P$2,)/VLOOKUP($E389,$D$6:$AI$660,3,))*$F389</f>
        <v>0</v>
      </c>
      <c r="Q389" s="154">
        <f>(VLOOKUP($E389,$D$6:$AI$660,Q$2,)/VLOOKUP($E389,$D$6:$AI$660,3,))*$F389</f>
        <v>0</v>
      </c>
      <c r="R389" s="154">
        <f>(VLOOKUP($E389,$D$6:$AI$660,15,)/VLOOKUP($E389,$D$6:$AI$660,3,))*$F389</f>
        <v>0</v>
      </c>
      <c r="S389" s="154">
        <f>(VLOOKUP($E389,$D$6:$AI$660,16,)/VLOOKUP($E389,$D$6:$AI$660,3,))*$F389</f>
        <v>0</v>
      </c>
      <c r="T389" s="154">
        <f>(VLOOKUP($E389,$D$6:$AI$660,17,)/VLOOKUP($E389,$D$6:$AI$660,3,))*$F389</f>
        <v>0</v>
      </c>
      <c r="U389" s="155">
        <f>SUM(G389:M389)</f>
        <v>0</v>
      </c>
      <c r="V389" s="140" t="str">
        <f>IF(ABS(F389-U389)&lt;0.01,"ok","err")</f>
        <v>ok</v>
      </c>
    </row>
    <row r="390" spans="1:23">
      <c r="A390" s="153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55"/>
      <c r="V390" s="140"/>
    </row>
    <row r="391" spans="1:23">
      <c r="A391" s="141" t="s">
        <v>7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55"/>
      <c r="V391" s="140"/>
    </row>
    <row r="392" spans="1:23">
      <c r="A392" s="153" t="s">
        <v>209</v>
      </c>
      <c r="C392" s="147" t="s">
        <v>178</v>
      </c>
      <c r="D392" s="147" t="s">
        <v>291</v>
      </c>
      <c r="E392" s="147" t="s">
        <v>320</v>
      </c>
      <c r="F392" s="154">
        <f>VLOOKUP(C392,'Functional Assignment'!$C$1:$AR$731,12,)</f>
        <v>246613.36729447573</v>
      </c>
      <c r="G392" s="154">
        <f>(VLOOKUP($E392,$D$6:$AI$660,G$2,)/VLOOKUP($E392,$D$6:$AI$660,3,))*$F392</f>
        <v>137874.73476445314</v>
      </c>
      <c r="H392" s="154">
        <f>(VLOOKUP($E392,$D$6:$AI$660,H$2,)/VLOOKUP($E392,$D$6:$AI$660,3,))*$F392</f>
        <v>65005.44514757242</v>
      </c>
      <c r="I392" s="154">
        <f>(VLOOKUP($E392,$D$6:$AI$660,I$2,)/VLOOKUP($E392,$D$6:$AI$660,3,))*$F392</f>
        <v>4733.5320384030829</v>
      </c>
      <c r="J392" s="154">
        <f>(VLOOKUP($E392,$D$6:$AI$660,J$2,)/VLOOKUP($E392,$D$6:$AI$660,3,))*$F392</f>
        <v>1283.4767313530754</v>
      </c>
      <c r="K392" s="154">
        <f>(VLOOKUP($E392,$D$6:$AI$660,8,)/VLOOKUP($E392,$D$6:$AI$660,3,))*$F392</f>
        <v>36800.339775104949</v>
      </c>
      <c r="L392" s="154">
        <f>(VLOOKUP($E392,$D$6:$AI$660,L$2,)/VLOOKUP($E392,$D$6:$AI$660,3,))*$F392</f>
        <v>915.83883758909121</v>
      </c>
      <c r="M392" s="154">
        <f>(VLOOKUP($E392,$D$6:$AI$660,M$2,)/VLOOKUP($E392,$D$6:$AI$660,3,))*$F392</f>
        <v>0</v>
      </c>
      <c r="N392" s="154">
        <f>(VLOOKUP($E392,$D$6:$AI$660,11,)/VLOOKUP($E392,$D$6:$AI$660,3,))*$F392</f>
        <v>0</v>
      </c>
      <c r="O392" s="154">
        <f>(VLOOKUP($E392,$D$6:$AI$660,O$2,)/VLOOKUP($E392,$D$6:$AI$660,3,))*$F392</f>
        <v>0</v>
      </c>
      <c r="P392" s="154">
        <f>(VLOOKUP($E392,$D$6:$AI$660,P$2,)/VLOOKUP($E392,$D$6:$AI$660,3,))*$F392</f>
        <v>0</v>
      </c>
      <c r="Q392" s="154">
        <f>(VLOOKUP($E392,$D$6:$AI$660,Q$2,)/VLOOKUP($E392,$D$6:$AI$660,3,))*$F392</f>
        <v>0</v>
      </c>
      <c r="R392" s="154">
        <f>(VLOOKUP($E392,$D$6:$AI$660,15,)/VLOOKUP($E392,$D$6:$AI$660,3,))*$F392</f>
        <v>0</v>
      </c>
      <c r="S392" s="154">
        <f>(VLOOKUP($E392,$D$6:$AI$660,16,)/VLOOKUP($E392,$D$6:$AI$660,3,))*$F392</f>
        <v>0</v>
      </c>
      <c r="T392" s="154">
        <f>(VLOOKUP($E392,$D$6:$AI$660,17,)/VLOOKUP($E392,$D$6:$AI$660,3,))*$F392</f>
        <v>0</v>
      </c>
      <c r="U392" s="155">
        <f>SUM(G392:M392)</f>
        <v>246613.36729447576</v>
      </c>
      <c r="V392" s="140" t="str">
        <f>IF(ABS(F392-U392)&lt;0.01,"ok","err")</f>
        <v>ok</v>
      </c>
    </row>
    <row r="393" spans="1:23">
      <c r="F393" s="16"/>
      <c r="U393" s="155"/>
    </row>
    <row r="394" spans="1:23">
      <c r="A394" s="141" t="s">
        <v>8</v>
      </c>
      <c r="F394" s="16"/>
      <c r="U394" s="155"/>
    </row>
    <row r="395" spans="1:23">
      <c r="A395" s="153" t="s">
        <v>690</v>
      </c>
      <c r="C395" s="147" t="s">
        <v>178</v>
      </c>
      <c r="D395" s="147" t="s">
        <v>292</v>
      </c>
      <c r="E395" s="147" t="s">
        <v>695</v>
      </c>
      <c r="F395" s="154">
        <f>VLOOKUP(C395,'Functional Assignment'!$C$1:$AR$731,13,)</f>
        <v>1130456.0448969158</v>
      </c>
      <c r="G395" s="154">
        <f t="shared" ref="G395:J398" si="122">(VLOOKUP($E395,$D$6:$AI$660,G$2,)/VLOOKUP($E395,$D$6:$AI$660,3,))*$F395</f>
        <v>717795.2196789278</v>
      </c>
      <c r="H395" s="154">
        <f t="shared" si="122"/>
        <v>331265.79954808712</v>
      </c>
      <c r="I395" s="154">
        <f t="shared" si="122"/>
        <v>23640.098573315554</v>
      </c>
      <c r="J395" s="154">
        <f t="shared" si="122"/>
        <v>6.5386047169638112E-2</v>
      </c>
      <c r="K395" s="154">
        <f>(VLOOKUP($E395,$D$6:$AI$660,8,)/VLOOKUP($E395,$D$6:$AI$660,3,))*$F395</f>
        <v>57754.861710538258</v>
      </c>
      <c r="L395" s="154">
        <f t="shared" ref="L395:M398" si="123">(VLOOKUP($E395,$D$6:$AI$660,L$2,)/VLOOKUP($E395,$D$6:$AI$660,3,))*$F395</f>
        <v>0</v>
      </c>
      <c r="M395" s="154">
        <f t="shared" si="123"/>
        <v>0</v>
      </c>
      <c r="N395" s="154">
        <f>(VLOOKUP($E395,$D$6:$AI$660,11,)/VLOOKUP($E395,$D$6:$AI$660,3,))*$F395</f>
        <v>0</v>
      </c>
      <c r="O395" s="154">
        <f t="shared" ref="O395:Q398" si="124">(VLOOKUP($E395,$D$6:$AI$660,O$2,)/VLOOKUP($E395,$D$6:$AI$660,3,))*$F395</f>
        <v>0</v>
      </c>
      <c r="P395" s="154">
        <f t="shared" si="124"/>
        <v>0</v>
      </c>
      <c r="Q395" s="154">
        <f t="shared" si="124"/>
        <v>0</v>
      </c>
      <c r="R395" s="154">
        <f>(VLOOKUP($E395,$D$6:$AI$660,15,)/VLOOKUP($E395,$D$6:$AI$660,3,))*$F395</f>
        <v>0</v>
      </c>
      <c r="S395" s="154">
        <f>(VLOOKUP($E395,$D$6:$AI$660,16,)/VLOOKUP($E395,$D$6:$AI$660,3,))*$F395</f>
        <v>0</v>
      </c>
      <c r="T395" s="154">
        <f>(VLOOKUP($E395,$D$6:$AI$660,17,)/VLOOKUP($E395,$D$6:$AI$660,3,))*$F395</f>
        <v>0</v>
      </c>
      <c r="U395" s="155">
        <f>SUM(G395:M395)</f>
        <v>1130456.0448969158</v>
      </c>
      <c r="V395" s="140" t="str">
        <f>IF(ABS(F395-U395)&lt;0.01,"ok","err")</f>
        <v>ok</v>
      </c>
    </row>
    <row r="396" spans="1:23">
      <c r="A396" s="153" t="s">
        <v>689</v>
      </c>
      <c r="C396" s="147" t="s">
        <v>178</v>
      </c>
      <c r="D396" s="147" t="s">
        <v>293</v>
      </c>
      <c r="E396" s="147" t="s">
        <v>694</v>
      </c>
      <c r="F396" s="16">
        <f>VLOOKUP(C396,'Functional Assignment'!$C$1:$AR$731,14,)</f>
        <v>1892296.5077266463</v>
      </c>
      <c r="G396" s="16">
        <f t="shared" si="122"/>
        <v>1749785.6708767023</v>
      </c>
      <c r="H396" s="16">
        <f t="shared" si="122"/>
        <v>140741.98385435651</v>
      </c>
      <c r="I396" s="16">
        <f t="shared" si="122"/>
        <v>1488.2252641670168</v>
      </c>
      <c r="J396" s="16">
        <f t="shared" si="122"/>
        <v>7.4240140587461463</v>
      </c>
      <c r="K396" s="16">
        <f>(VLOOKUP($E396,$D$6:$AI$660,8,)/VLOOKUP($E396,$D$6:$AI$660,3,))*$F396</f>
        <v>273.2037173618582</v>
      </c>
      <c r="L396" s="16">
        <f t="shared" si="123"/>
        <v>0</v>
      </c>
      <c r="M396" s="16">
        <f t="shared" si="123"/>
        <v>0</v>
      </c>
      <c r="N396" s="16">
        <f>(VLOOKUP($E396,$D$6:$AI$660,11,)/VLOOKUP($E396,$D$6:$AI$660,3,))*$F396</f>
        <v>0</v>
      </c>
      <c r="O396" s="16">
        <f t="shared" si="124"/>
        <v>0</v>
      </c>
      <c r="P396" s="16">
        <f t="shared" si="124"/>
        <v>0</v>
      </c>
      <c r="Q396" s="16">
        <f t="shared" si="124"/>
        <v>0</v>
      </c>
      <c r="R396" s="16">
        <f>(VLOOKUP($E396,$D$6:$AI$660,15,)/VLOOKUP($E396,$D$6:$AI$660,3,))*$F396</f>
        <v>0</v>
      </c>
      <c r="S396" s="16">
        <f>(VLOOKUP($E396,$D$6:$AI$660,16,)/VLOOKUP($E396,$D$6:$AI$660,3,))*$F396</f>
        <v>0</v>
      </c>
      <c r="T396" s="16">
        <f>(VLOOKUP($E396,$D$6:$AI$660,17,)/VLOOKUP($E396,$D$6:$AI$660,3,))*$F396</f>
        <v>0</v>
      </c>
      <c r="U396" s="155">
        <f>SUM(G396:M396)</f>
        <v>1892296.5077266463</v>
      </c>
      <c r="V396" s="140" t="str">
        <f>IF(ABS(F396-U396)&lt;0.01,"ok","err")</f>
        <v>ok</v>
      </c>
      <c r="W396" s="156"/>
    </row>
    <row r="397" spans="1:23">
      <c r="A397" s="153" t="s">
        <v>691</v>
      </c>
      <c r="C397" s="147" t="s">
        <v>178</v>
      </c>
      <c r="D397" s="147" t="s">
        <v>292</v>
      </c>
      <c r="E397" s="147" t="s">
        <v>321</v>
      </c>
      <c r="F397" s="16">
        <f>VLOOKUP(C397,'Functional Assignment'!$C$1:$AR$731,15,)</f>
        <v>164502.02697251234</v>
      </c>
      <c r="G397" s="16">
        <f t="shared" si="122"/>
        <v>91968.548119970932</v>
      </c>
      <c r="H397" s="16">
        <f t="shared" si="122"/>
        <v>43361.507968289559</v>
      </c>
      <c r="I397" s="16">
        <f t="shared" si="122"/>
        <v>3157.4752966526567</v>
      </c>
      <c r="J397" s="16">
        <f t="shared" si="122"/>
        <v>856.13576504766013</v>
      </c>
      <c r="K397" s="16">
        <f>(VLOOKUP($E397,$D$6:$AI$660,8,)/VLOOKUP($E397,$D$6:$AI$660,3,))*$F397</f>
        <v>24547.454798154973</v>
      </c>
      <c r="L397" s="16">
        <f t="shared" si="123"/>
        <v>610.90502439658235</v>
      </c>
      <c r="M397" s="16">
        <f t="shared" si="123"/>
        <v>0</v>
      </c>
      <c r="N397" s="16">
        <f>(VLOOKUP($E397,$D$6:$AI$660,11,)/VLOOKUP($E397,$D$6:$AI$660,3,))*$F397</f>
        <v>0</v>
      </c>
      <c r="O397" s="16">
        <f t="shared" si="124"/>
        <v>0</v>
      </c>
      <c r="P397" s="16">
        <f t="shared" si="124"/>
        <v>0</v>
      </c>
      <c r="Q397" s="16">
        <f t="shared" si="124"/>
        <v>0</v>
      </c>
      <c r="R397" s="16"/>
      <c r="S397" s="16"/>
      <c r="T397" s="16"/>
      <c r="U397" s="155"/>
      <c r="V397" s="140"/>
    </row>
    <row r="398" spans="1:23">
      <c r="A398" s="153" t="s">
        <v>688</v>
      </c>
      <c r="C398" s="147" t="s">
        <v>178</v>
      </c>
      <c r="D398" s="147" t="s">
        <v>293</v>
      </c>
      <c r="E398" s="147" t="s">
        <v>322</v>
      </c>
      <c r="F398" s="16">
        <f>VLOOKUP(C398,'Functional Assignment'!$C$1:$AR$731,16,)</f>
        <v>118552.74885306535</v>
      </c>
      <c r="G398" s="16">
        <f t="shared" si="122"/>
        <v>109610.82777762336</v>
      </c>
      <c r="H398" s="16">
        <f t="shared" si="122"/>
        <v>8816.4199822321916</v>
      </c>
      <c r="I398" s="16">
        <f t="shared" si="122"/>
        <v>93.59809473350569</v>
      </c>
      <c r="J398" s="16">
        <f t="shared" si="122"/>
        <v>2.1392681194029546</v>
      </c>
      <c r="K398" s="16">
        <f>(VLOOKUP($E398,$D$6:$AI$660,8,)/VLOOKUP($E398,$D$6:$AI$660,3,))*$F398</f>
        <v>29.391683727449291</v>
      </c>
      <c r="L398" s="16">
        <f t="shared" si="123"/>
        <v>0.37204662946138339</v>
      </c>
      <c r="M398" s="16">
        <f t="shared" si="123"/>
        <v>0</v>
      </c>
      <c r="N398" s="16">
        <f>(VLOOKUP($E398,$D$6:$AI$660,11,)/VLOOKUP($E398,$D$6:$AI$660,3,))*$F398</f>
        <v>0</v>
      </c>
      <c r="O398" s="16">
        <f t="shared" si="124"/>
        <v>0</v>
      </c>
      <c r="P398" s="16">
        <f t="shared" si="124"/>
        <v>0</v>
      </c>
      <c r="Q398" s="16">
        <f t="shared" si="124"/>
        <v>0</v>
      </c>
      <c r="R398" s="16"/>
      <c r="S398" s="16"/>
      <c r="T398" s="16"/>
      <c r="U398" s="155"/>
      <c r="V398" s="140"/>
    </row>
    <row r="399" spans="1:23">
      <c r="A399" s="147" t="s">
        <v>232</v>
      </c>
      <c r="F399" s="154">
        <f>SUM(F395:F398)</f>
        <v>3305807.3284491398</v>
      </c>
      <c r="G399" s="154">
        <f t="shared" ref="G399:Q399" si="125">SUM(G395:G398)</f>
        <v>2669160.2664532242</v>
      </c>
      <c r="H399" s="154">
        <f t="shared" si="125"/>
        <v>524185.71135296539</v>
      </c>
      <c r="I399" s="154">
        <f t="shared" si="125"/>
        <v>28379.397228868733</v>
      </c>
      <c r="J399" s="154">
        <f t="shared" si="125"/>
        <v>865.76443327297886</v>
      </c>
      <c r="K399" s="154">
        <f t="shared" si="125"/>
        <v>82604.911909782531</v>
      </c>
      <c r="L399" s="154">
        <f t="shared" si="125"/>
        <v>611.2770710260437</v>
      </c>
      <c r="M399" s="154">
        <f t="shared" si="125"/>
        <v>0</v>
      </c>
      <c r="N399" s="154">
        <f t="shared" si="125"/>
        <v>0</v>
      </c>
      <c r="O399" s="154">
        <f t="shared" si="125"/>
        <v>0</v>
      </c>
      <c r="P399" s="154">
        <f t="shared" si="125"/>
        <v>0</v>
      </c>
      <c r="Q399" s="154">
        <f t="shared" si="125"/>
        <v>0</v>
      </c>
      <c r="R399" s="154">
        <f>R395+R396</f>
        <v>0</v>
      </c>
      <c r="S399" s="154">
        <f>S395+S396</f>
        <v>0</v>
      </c>
      <c r="T399" s="154">
        <f>T395+T396</f>
        <v>0</v>
      </c>
      <c r="U399" s="155">
        <f>SUM(G399:M399)</f>
        <v>3305807.3284491398</v>
      </c>
      <c r="V399" s="140" t="str">
        <f>IF(ABS(F399-U399)&lt;0.01,"ok","err")</f>
        <v>ok</v>
      </c>
      <c r="W399" s="156"/>
    </row>
    <row r="400" spans="1:23">
      <c r="F400" s="16"/>
      <c r="U400" s="155"/>
    </row>
    <row r="401" spans="1:24">
      <c r="A401" s="141" t="s">
        <v>10</v>
      </c>
      <c r="F401" s="16"/>
      <c r="U401" s="155"/>
    </row>
    <row r="402" spans="1:24">
      <c r="A402" s="153" t="s">
        <v>210</v>
      </c>
      <c r="C402" s="147" t="s">
        <v>178</v>
      </c>
      <c r="D402" s="147" t="s">
        <v>287</v>
      </c>
      <c r="E402" s="147" t="s">
        <v>323</v>
      </c>
      <c r="F402" s="154">
        <f>VLOOKUP(C402,'Functional Assignment'!$C$1:$AR$731,17,)</f>
        <v>1975471.2946643278</v>
      </c>
      <c r="G402" s="154">
        <f>(VLOOKUP($E402,$D$6:$AI$660,G$2,)/VLOOKUP($E402,$D$6:$AI$660,3,))*$F402</f>
        <v>1661063.1852907322</v>
      </c>
      <c r="H402" s="154">
        <f>(VLOOKUP($E402,$D$6:$AI$660,H$2,)/VLOOKUP($E402,$D$6:$AI$660,3,))*$F402</f>
        <v>308535.03321455867</v>
      </c>
      <c r="I402" s="154">
        <f>(VLOOKUP($E402,$D$6:$AI$660,I$2,)/VLOOKUP($E402,$D$6:$AI$660,3,))*$F402</f>
        <v>2872.3352624419326</v>
      </c>
      <c r="J402" s="154">
        <f>(VLOOKUP($E402,$D$6:$AI$660,J$2,)/VLOOKUP($E402,$D$6:$AI$660,3,))*$F402</f>
        <v>851.42812800032527</v>
      </c>
      <c r="K402" s="154">
        <f>(VLOOKUP($E402,$D$6:$AI$660,8,)/VLOOKUP($E402,$D$6:$AI$660,3,))*$F402</f>
        <v>2101.9014575228448</v>
      </c>
      <c r="L402" s="154">
        <f>(VLOOKUP($E402,$D$6:$AI$660,L$2,)/VLOOKUP($E402,$D$6:$AI$660,3,))*$F402</f>
        <v>47.411311071943871</v>
      </c>
      <c r="M402" s="154">
        <f>(VLOOKUP($E402,$D$6:$AI$660,M$2,)/VLOOKUP($E402,$D$6:$AI$660,3,))*$F402</f>
        <v>0</v>
      </c>
      <c r="N402" s="154">
        <f>(VLOOKUP($E402,$D$6:$AI$660,11,)/VLOOKUP($E402,$D$6:$AI$660,3,))*$F402</f>
        <v>0</v>
      </c>
      <c r="O402" s="154">
        <f>(VLOOKUP($E402,$D$6:$AI$660,O$2,)/VLOOKUP($E402,$D$6:$AI$660,3,))*$F402</f>
        <v>0</v>
      </c>
      <c r="P402" s="154">
        <f>(VLOOKUP($E402,$D$6:$AI$660,P$2,)/VLOOKUP($E402,$D$6:$AI$660,3,))*$F402</f>
        <v>0</v>
      </c>
      <c r="Q402" s="154">
        <f>(VLOOKUP($E402,$D$6:$AI$660,Q$2,)/VLOOKUP($E402,$D$6:$AI$660,3,))*$F402</f>
        <v>0</v>
      </c>
      <c r="R402" s="154">
        <f>(VLOOKUP($E402,$D$6:$AI$660,15,)/VLOOKUP($E402,$D$6:$AI$660,3,))*$F402</f>
        <v>0</v>
      </c>
      <c r="S402" s="154">
        <f>(VLOOKUP($E402,$D$6:$AI$660,16,)/VLOOKUP($E402,$D$6:$AI$660,3,))*$F402</f>
        <v>0</v>
      </c>
      <c r="T402" s="154">
        <f>(VLOOKUP($E402,$D$6:$AI$660,17,)/VLOOKUP($E402,$D$6:$AI$660,3,))*$F402</f>
        <v>0</v>
      </c>
      <c r="U402" s="155">
        <f>SUM(G402:M402)</f>
        <v>1975471.2946643278</v>
      </c>
      <c r="V402" s="140" t="str">
        <f>IF(ABS(F402-U402)&lt;0.01,"ok","err")</f>
        <v>ok</v>
      </c>
      <c r="W402" s="156"/>
    </row>
    <row r="403" spans="1:24">
      <c r="F403" s="16"/>
      <c r="U403" s="155"/>
    </row>
    <row r="404" spans="1:24">
      <c r="A404" s="141" t="s">
        <v>11</v>
      </c>
      <c r="F404" s="16"/>
      <c r="U404" s="155"/>
    </row>
    <row r="405" spans="1:24">
      <c r="A405" s="153" t="s">
        <v>210</v>
      </c>
      <c r="C405" s="147" t="s">
        <v>178</v>
      </c>
      <c r="D405" s="147" t="s">
        <v>294</v>
      </c>
      <c r="E405" s="147" t="s">
        <v>324</v>
      </c>
      <c r="F405" s="154">
        <f>VLOOKUP(C405,'Functional Assignment'!$C$1:$AR$731,18,)</f>
        <v>742298.19194350939</v>
      </c>
      <c r="G405" s="154">
        <f>(VLOOKUP($E405,$D$6:$AI$660,G$2,)/VLOOKUP($E405,$D$6:$AI$660,3,))*$F405</f>
        <v>548842.4118157269</v>
      </c>
      <c r="H405" s="154">
        <f>(VLOOKUP($E405,$D$6:$AI$660,H$2,)/VLOOKUP($E405,$D$6:$AI$660,3,))*$F405</f>
        <v>172474.05469003512</v>
      </c>
      <c r="I405" s="154">
        <f>(VLOOKUP($E405,$D$6:$AI$660,I$2,)/VLOOKUP($E405,$D$6:$AI$660,3,))*$F405</f>
        <v>12986.562692561147</v>
      </c>
      <c r="J405" s="154">
        <f>(VLOOKUP($E405,$D$6:$AI$660,J$2,)/VLOOKUP($E405,$D$6:$AI$660,3,))*$F405</f>
        <v>538.15328049529603</v>
      </c>
      <c r="K405" s="154">
        <f>(VLOOKUP($E405,$D$6:$AI$660,8,)/VLOOKUP($E405,$D$6:$AI$660,3,))*$F405</f>
        <v>7457.0094646908819</v>
      </c>
      <c r="L405" s="154">
        <f>(VLOOKUP($E405,$D$6:$AI$660,L$2,)/VLOOKUP($E405,$D$6:$AI$660,3,))*$F405</f>
        <v>0</v>
      </c>
      <c r="M405" s="154">
        <f>(VLOOKUP($E405,$D$6:$AI$660,M$2,)/VLOOKUP($E405,$D$6:$AI$660,3,))*$F405</f>
        <v>0</v>
      </c>
      <c r="N405" s="154">
        <f>(VLOOKUP($E405,$D$6:$AI$660,11,)/VLOOKUP($E405,$D$6:$AI$660,3,))*$F405</f>
        <v>0</v>
      </c>
      <c r="O405" s="154">
        <f>(VLOOKUP($E405,$D$6:$AI$660,O$2,)/VLOOKUP($E405,$D$6:$AI$660,3,))*$F405</f>
        <v>0</v>
      </c>
      <c r="P405" s="154">
        <f>(VLOOKUP($E405,$D$6:$AI$660,P$2,)/VLOOKUP($E405,$D$6:$AI$660,3,))*$F405</f>
        <v>0</v>
      </c>
      <c r="Q405" s="154">
        <f>(VLOOKUP($E405,$D$6:$AI$660,Q$2,)/VLOOKUP($E405,$D$6:$AI$660,3,))*$F405</f>
        <v>0</v>
      </c>
      <c r="R405" s="154">
        <f>(VLOOKUP($E405,$D$6:$AI$660,15,)/VLOOKUP($E405,$D$6:$AI$660,3,))*$F405</f>
        <v>0</v>
      </c>
      <c r="S405" s="154">
        <f>(VLOOKUP($E405,$D$6:$AI$660,16,)/VLOOKUP($E405,$D$6:$AI$660,3,))*$F405</f>
        <v>0</v>
      </c>
      <c r="T405" s="154">
        <f>(VLOOKUP($E405,$D$6:$AI$660,17,)/VLOOKUP($E405,$D$6:$AI$660,3,))*$F405</f>
        <v>0</v>
      </c>
      <c r="U405" s="155">
        <f>SUM(G405:M405)</f>
        <v>742298.19194350939</v>
      </c>
      <c r="V405" s="140" t="str">
        <f>IF(ABS(F405-U405)&lt;0.01,"ok","err")</f>
        <v>ok</v>
      </c>
    </row>
    <row r="406" spans="1:24">
      <c r="F406" s="16"/>
      <c r="U406" s="155"/>
    </row>
    <row r="407" spans="1:24">
      <c r="A407" s="141" t="s">
        <v>12</v>
      </c>
      <c r="F407" s="16"/>
      <c r="U407" s="155"/>
    </row>
    <row r="408" spans="1:24">
      <c r="A408" s="153" t="s">
        <v>210</v>
      </c>
      <c r="C408" s="147" t="s">
        <v>178</v>
      </c>
      <c r="D408" s="147" t="s">
        <v>295</v>
      </c>
      <c r="E408" s="147" t="s">
        <v>325</v>
      </c>
      <c r="F408" s="154">
        <f>VLOOKUP(C408,'Functional Assignment'!$C$1:$AR$731,19,)</f>
        <v>0</v>
      </c>
      <c r="G408" s="154">
        <f>(VLOOKUP($E408,$D$6:$AI$660,G$2,)/VLOOKUP($E408,$D$6:$AI$660,3,))*$F408</f>
        <v>0</v>
      </c>
      <c r="H408" s="154">
        <f>(VLOOKUP($E408,$D$6:$AI$660,H$2,)/VLOOKUP($E408,$D$6:$AI$660,3,))*$F408</f>
        <v>0</v>
      </c>
      <c r="I408" s="154">
        <f>(VLOOKUP($E408,$D$6:$AI$660,I$2,)/VLOOKUP($E408,$D$6:$AI$660,3,))*$F408</f>
        <v>0</v>
      </c>
      <c r="J408" s="154">
        <f>(VLOOKUP($E408,$D$6:$AI$660,J$2,)/VLOOKUP($E408,$D$6:$AI$660,3,))*$F408</f>
        <v>0</v>
      </c>
      <c r="K408" s="154">
        <f>(VLOOKUP($E408,$D$6:$AI$660,8,)/VLOOKUP($E408,$D$6:$AI$660,3,))*$F408</f>
        <v>0</v>
      </c>
      <c r="L408" s="154">
        <f>(VLOOKUP($E408,$D$6:$AI$660,L$2,)/VLOOKUP($E408,$D$6:$AI$660,3,))*$F408</f>
        <v>0</v>
      </c>
      <c r="M408" s="154">
        <f>(VLOOKUP($E408,$D$6:$AI$660,M$2,)/VLOOKUP($E408,$D$6:$AI$660,3,))*$F408</f>
        <v>0</v>
      </c>
      <c r="N408" s="154">
        <f>(VLOOKUP($E408,$D$6:$AI$660,11,)/VLOOKUP($E408,$D$6:$AI$660,3,))*$F408</f>
        <v>0</v>
      </c>
      <c r="O408" s="154">
        <f>(VLOOKUP($E408,$D$6:$AI$660,O$2,)/VLOOKUP($E408,$D$6:$AI$660,3,))*$F408</f>
        <v>0</v>
      </c>
      <c r="P408" s="154">
        <f>(VLOOKUP($E408,$D$6:$AI$660,P$2,)/VLOOKUP($E408,$D$6:$AI$660,3,))*$F408</f>
        <v>0</v>
      </c>
      <c r="Q408" s="154">
        <f>(VLOOKUP($E408,$D$6:$AI$660,Q$2,)/VLOOKUP($E408,$D$6:$AI$660,3,))*$F408</f>
        <v>0</v>
      </c>
      <c r="R408" s="154">
        <f>(VLOOKUP($E408,$D$6:$AI$660,15,)/VLOOKUP($E408,$D$6:$AI$660,3,))*$F408</f>
        <v>0</v>
      </c>
      <c r="S408" s="154">
        <f>(VLOOKUP($E408,$D$6:$AI$660,16,)/VLOOKUP($E408,$D$6:$AI$660,3,))*$F408</f>
        <v>0</v>
      </c>
      <c r="T408" s="154">
        <f>(VLOOKUP($E408,$D$6:$AI$660,17,)/VLOOKUP($E408,$D$6:$AI$660,3,))*$F408</f>
        <v>0</v>
      </c>
      <c r="U408" s="155">
        <f>SUM(G408:M408)</f>
        <v>0</v>
      </c>
      <c r="V408" s="140" t="str">
        <f>IF(ABS(F408-U408)&lt;0.01,"ok","err")</f>
        <v>ok</v>
      </c>
    </row>
    <row r="409" spans="1:24">
      <c r="F409" s="16"/>
      <c r="U409" s="155"/>
    </row>
    <row r="410" spans="1:24">
      <c r="A410" s="141" t="s">
        <v>13</v>
      </c>
      <c r="F410" s="16"/>
      <c r="U410" s="155"/>
    </row>
    <row r="411" spans="1:24">
      <c r="A411" s="153" t="s">
        <v>210</v>
      </c>
      <c r="C411" s="147" t="s">
        <v>178</v>
      </c>
      <c r="D411" s="147" t="s">
        <v>296</v>
      </c>
      <c r="E411" s="147" t="s">
        <v>326</v>
      </c>
      <c r="F411" s="154">
        <f>VLOOKUP(C411,'Functional Assignment'!$C$1:$AR$731,20,)</f>
        <v>0</v>
      </c>
      <c r="G411" s="154">
        <f>(VLOOKUP($E411,$D$6:$AI$660,G$2,)/VLOOKUP($E411,$D$6:$AI$660,3,))*$F411</f>
        <v>0</v>
      </c>
      <c r="H411" s="154">
        <f>(VLOOKUP($E411,$D$6:$AI$660,H$2,)/VLOOKUP($E411,$D$6:$AI$660,3,))*$F411</f>
        <v>0</v>
      </c>
      <c r="I411" s="154">
        <f>(VLOOKUP($E411,$D$6:$AI$660,I$2,)/VLOOKUP($E411,$D$6:$AI$660,3,))*$F411</f>
        <v>0</v>
      </c>
      <c r="J411" s="154">
        <f>(VLOOKUP($E411,$D$6:$AI$660,J$2,)/VLOOKUP($E411,$D$6:$AI$660,3,))*$F411</f>
        <v>0</v>
      </c>
      <c r="K411" s="154">
        <f>(VLOOKUP($E411,$D$6:$AI$660,8,)/VLOOKUP($E411,$D$6:$AI$660,3,))*$F411</f>
        <v>0</v>
      </c>
      <c r="L411" s="154">
        <f>(VLOOKUP($E411,$D$6:$AI$660,L$2,)/VLOOKUP($E411,$D$6:$AI$660,3,))*$F411</f>
        <v>0</v>
      </c>
      <c r="M411" s="154">
        <f>(VLOOKUP($E411,$D$6:$AI$660,M$2,)/VLOOKUP($E411,$D$6:$AI$660,3,))*$F411</f>
        <v>0</v>
      </c>
      <c r="N411" s="154">
        <f>(VLOOKUP($E411,$D$6:$AI$660,11,)/VLOOKUP($E411,$D$6:$AI$660,3,))*$F411</f>
        <v>0</v>
      </c>
      <c r="O411" s="154">
        <f>(VLOOKUP($E411,$D$6:$AI$660,O$2,)/VLOOKUP($E411,$D$6:$AI$660,3,))*$F411</f>
        <v>0</v>
      </c>
      <c r="P411" s="154">
        <f>(VLOOKUP($E411,$D$6:$AI$660,P$2,)/VLOOKUP($E411,$D$6:$AI$660,3,))*$F411</f>
        <v>0</v>
      </c>
      <c r="Q411" s="154">
        <f>(VLOOKUP($E411,$D$6:$AI$660,Q$2,)/VLOOKUP($E411,$D$6:$AI$660,3,))*$F411</f>
        <v>0</v>
      </c>
      <c r="R411" s="154">
        <f>(VLOOKUP($E411,$D$6:$AI$660,15,)/VLOOKUP($E411,$D$6:$AI$660,3,))*$F411</f>
        <v>0</v>
      </c>
      <c r="S411" s="154">
        <f>(VLOOKUP($E411,$D$6:$AI$660,16,)/VLOOKUP($E411,$D$6:$AI$660,3,))*$F411</f>
        <v>0</v>
      </c>
      <c r="T411" s="154">
        <f>(VLOOKUP($E411,$D$6:$AI$660,17,)/VLOOKUP($E411,$D$6:$AI$660,3,))*$F411</f>
        <v>0</v>
      </c>
      <c r="U411" s="155">
        <f>SUM(G411:M411)</f>
        <v>0</v>
      </c>
      <c r="V411" s="140" t="str">
        <f>IF(ABS(F411-U411)&lt;0.01,"ok","err")</f>
        <v>ok</v>
      </c>
    </row>
    <row r="412" spans="1:24">
      <c r="F412" s="16"/>
      <c r="U412" s="155"/>
    </row>
    <row r="413" spans="1:24">
      <c r="A413" s="147" t="s">
        <v>14</v>
      </c>
      <c r="D413" s="147" t="s">
        <v>298</v>
      </c>
      <c r="F413" s="154">
        <f t="shared" ref="F413:T413" si="126">F376+F381+F386+F389+F392+F399+F402+F405+F408+F411</f>
        <v>8165306.4399999985</v>
      </c>
      <c r="G413" s="154">
        <f t="shared" si="126"/>
        <v>6265548.1702087913</v>
      </c>
      <c r="H413" s="154">
        <f t="shared" si="126"/>
        <v>1667576.585075049</v>
      </c>
      <c r="I413" s="154">
        <f t="shared" si="126"/>
        <v>98104.172316248776</v>
      </c>
      <c r="J413" s="154">
        <f t="shared" si="126"/>
        <v>3538.8225731216753</v>
      </c>
      <c r="K413" s="154">
        <f t="shared" si="126"/>
        <v>128964.16260710121</v>
      </c>
      <c r="L413" s="154">
        <f t="shared" si="126"/>
        <v>1574.5272196870787</v>
      </c>
      <c r="M413" s="154">
        <f t="shared" si="126"/>
        <v>0</v>
      </c>
      <c r="N413" s="154">
        <f t="shared" si="126"/>
        <v>0</v>
      </c>
      <c r="O413" s="154">
        <f t="shared" si="126"/>
        <v>0</v>
      </c>
      <c r="P413" s="154">
        <f t="shared" si="126"/>
        <v>0</v>
      </c>
      <c r="Q413" s="154">
        <f t="shared" si="126"/>
        <v>0</v>
      </c>
      <c r="R413" s="154">
        <f t="shared" si="126"/>
        <v>0</v>
      </c>
      <c r="S413" s="154">
        <f t="shared" si="126"/>
        <v>0</v>
      </c>
      <c r="T413" s="154">
        <f t="shared" si="126"/>
        <v>0</v>
      </c>
      <c r="U413" s="155">
        <f>SUM(G413:M413)</f>
        <v>8165306.4399999976</v>
      </c>
      <c r="V413" s="140" t="str">
        <f>IF(ABS(F413-U413)&lt;0.01,"ok","err")</f>
        <v>ok</v>
      </c>
      <c r="W413" s="155"/>
      <c r="X413" s="140"/>
    </row>
    <row r="414" spans="1:24">
      <c r="U414" s="155"/>
    </row>
    <row r="415" spans="1:24">
      <c r="U415" s="155"/>
    </row>
    <row r="417" spans="1:22">
      <c r="U417" s="155"/>
    </row>
    <row r="418" spans="1:22">
      <c r="A418" s="152" t="s">
        <v>663</v>
      </c>
      <c r="U418" s="155"/>
    </row>
    <row r="419" spans="1:22">
      <c r="U419" s="155"/>
    </row>
    <row r="420" spans="1:22">
      <c r="A420" s="141" t="s">
        <v>461</v>
      </c>
      <c r="U420" s="155"/>
    </row>
    <row r="421" spans="1:22">
      <c r="A421" s="153" t="s">
        <v>209</v>
      </c>
      <c r="C421" s="147" t="s">
        <v>310</v>
      </c>
      <c r="D421" s="147" t="s">
        <v>389</v>
      </c>
      <c r="E421" s="147" t="s">
        <v>313</v>
      </c>
      <c r="F421" s="154">
        <f>VLOOKUP(C421,'Functional Assignment'!$C$1:$AR$731,5,)</f>
        <v>0</v>
      </c>
      <c r="G421" s="154">
        <f t="shared" ref="G421:J422" si="127">(VLOOKUP($E421,$D$6:$AI$660,G$2,)/VLOOKUP($E421,$D$6:$AI$660,3,))*$F421</f>
        <v>0</v>
      </c>
      <c r="H421" s="154">
        <f t="shared" si="127"/>
        <v>0</v>
      </c>
      <c r="I421" s="154">
        <f t="shared" si="127"/>
        <v>0</v>
      </c>
      <c r="J421" s="154">
        <f t="shared" si="127"/>
        <v>0</v>
      </c>
      <c r="K421" s="154">
        <f>(VLOOKUP($E421,$D$6:$AI$660,8,)/VLOOKUP($E421,$D$6:$AI$660,3,))*$F421</f>
        <v>0</v>
      </c>
      <c r="L421" s="154">
        <f>(VLOOKUP($E421,$D$6:$AI$660,L$2,)/VLOOKUP($E421,$D$6:$AI$660,3,))*$F421</f>
        <v>0</v>
      </c>
      <c r="M421" s="154">
        <f>(VLOOKUP($E421,$D$6:$AI$660,M$2,)/VLOOKUP($E421,$D$6:$AI$660,3,))*$F421</f>
        <v>0</v>
      </c>
      <c r="N421" s="154">
        <f>(VLOOKUP($E421,$D$6:$AI$660,11,)/VLOOKUP($E421,$D$6:$AI$660,3,))*$F421</f>
        <v>0</v>
      </c>
      <c r="O421" s="154">
        <f t="shared" ref="O421:Q422" si="128">(VLOOKUP($E421,$D$6:$AI$660,O$2,)/VLOOKUP($E421,$D$6:$AI$660,3,))*$F421</f>
        <v>0</v>
      </c>
      <c r="P421" s="154">
        <f t="shared" si="128"/>
        <v>0</v>
      </c>
      <c r="Q421" s="154">
        <f t="shared" si="128"/>
        <v>0</v>
      </c>
      <c r="R421" s="154">
        <f>(VLOOKUP($E421,$D$6:$AI$660,15,)/VLOOKUP($E421,$D$6:$AI$660,3,))*$F421</f>
        <v>0</v>
      </c>
      <c r="S421" s="154">
        <f>(VLOOKUP($E421,$D$6:$AI$660,16,)/VLOOKUP($E421,$D$6:$AI$660,3,))*$F421</f>
        <v>0</v>
      </c>
      <c r="T421" s="154">
        <f>(VLOOKUP($E421,$D$6:$AI$660,17,)/VLOOKUP($E421,$D$6:$AI$660,3,))*$F421</f>
        <v>0</v>
      </c>
      <c r="U421" s="155">
        <f>SUM(G421:M421)</f>
        <v>0</v>
      </c>
      <c r="V421" s="140" t="str">
        <f>IF(ABS(F421-U421)&lt;0.01,"ok","err")</f>
        <v>ok</v>
      </c>
    </row>
    <row r="422" spans="1:22">
      <c r="A422" s="153" t="s">
        <v>229</v>
      </c>
      <c r="C422" s="147" t="s">
        <v>310</v>
      </c>
      <c r="D422" s="147" t="s">
        <v>373</v>
      </c>
      <c r="E422" s="147" t="s">
        <v>314</v>
      </c>
      <c r="F422" s="16">
        <f>VLOOKUP(C422,'Functional Assignment'!$C$1:$AR$731,6,)</f>
        <v>0</v>
      </c>
      <c r="G422" s="16">
        <f t="shared" si="127"/>
        <v>0</v>
      </c>
      <c r="H422" s="16">
        <f t="shared" si="127"/>
        <v>0</v>
      </c>
      <c r="I422" s="16">
        <f t="shared" si="127"/>
        <v>0</v>
      </c>
      <c r="J422" s="16">
        <f t="shared" si="127"/>
        <v>0</v>
      </c>
      <c r="K422" s="16">
        <f>(VLOOKUP($E422,$D$6:$AI$660,8,)/VLOOKUP($E422,$D$6:$AI$660,3,))*$F422</f>
        <v>0</v>
      </c>
      <c r="L422" s="16">
        <f>(VLOOKUP($E422,$D$6:$AI$660,L$2,)/VLOOKUP($E422,$D$6:$AI$660,3,))*$F422</f>
        <v>0</v>
      </c>
      <c r="M422" s="16">
        <f>(VLOOKUP($E422,$D$6:$AI$660,M$2,)/VLOOKUP($E422,$D$6:$AI$660,3,))*$F422</f>
        <v>0</v>
      </c>
      <c r="N422" s="16">
        <f>(VLOOKUP($E422,$D$6:$AI$660,11,)/VLOOKUP($E422,$D$6:$AI$660,3,))*$F422</f>
        <v>0</v>
      </c>
      <c r="O422" s="16">
        <f t="shared" si="128"/>
        <v>0</v>
      </c>
      <c r="P422" s="16">
        <f t="shared" si="128"/>
        <v>0</v>
      </c>
      <c r="Q422" s="16">
        <f t="shared" si="128"/>
        <v>0</v>
      </c>
      <c r="R422" s="16">
        <f>(VLOOKUP($E422,$D$6:$AI$660,15,)/VLOOKUP($E422,$D$6:$AI$660,3,))*$F422</f>
        <v>0</v>
      </c>
      <c r="S422" s="16">
        <f>(VLOOKUP($E422,$D$6:$AI$660,16,)/VLOOKUP($E422,$D$6:$AI$660,3,))*$F422</f>
        <v>0</v>
      </c>
      <c r="T422" s="16">
        <f>(VLOOKUP($E422,$D$6:$AI$660,17,)/VLOOKUP($E422,$D$6:$AI$660,3,))*$F422</f>
        <v>0</v>
      </c>
      <c r="U422" s="155">
        <f>SUM(G422:M422)</f>
        <v>0</v>
      </c>
      <c r="V422" s="140" t="str">
        <f>IF(ABS(F422-U422)&lt;0.01,"ok","err")</f>
        <v>ok</v>
      </c>
    </row>
    <row r="423" spans="1:22">
      <c r="A423" s="147" t="s">
        <v>667</v>
      </c>
      <c r="D423" s="147" t="s">
        <v>374</v>
      </c>
      <c r="F423" s="154">
        <f t="shared" ref="F423:T423" si="129">F421+F422</f>
        <v>0</v>
      </c>
      <c r="G423" s="154">
        <f t="shared" si="129"/>
        <v>0</v>
      </c>
      <c r="H423" s="154">
        <f t="shared" si="129"/>
        <v>0</v>
      </c>
      <c r="I423" s="154">
        <f t="shared" si="129"/>
        <v>0</v>
      </c>
      <c r="J423" s="154">
        <f t="shared" si="129"/>
        <v>0</v>
      </c>
      <c r="K423" s="154">
        <f t="shared" si="129"/>
        <v>0</v>
      </c>
      <c r="L423" s="154">
        <f t="shared" si="129"/>
        <v>0</v>
      </c>
      <c r="M423" s="154">
        <f t="shared" si="129"/>
        <v>0</v>
      </c>
      <c r="N423" s="154">
        <f t="shared" si="129"/>
        <v>0</v>
      </c>
      <c r="O423" s="154">
        <f t="shared" si="129"/>
        <v>0</v>
      </c>
      <c r="P423" s="154">
        <f t="shared" si="129"/>
        <v>0</v>
      </c>
      <c r="Q423" s="154">
        <f t="shared" si="129"/>
        <v>0</v>
      </c>
      <c r="R423" s="154">
        <f t="shared" si="129"/>
        <v>0</v>
      </c>
      <c r="S423" s="154">
        <f t="shared" si="129"/>
        <v>0</v>
      </c>
      <c r="T423" s="154">
        <f t="shared" si="129"/>
        <v>0</v>
      </c>
      <c r="U423" s="155">
        <f>SUM(G423:M423)</f>
        <v>0</v>
      </c>
      <c r="V423" s="140" t="str">
        <f>IF(ABS(F423-U423)&lt;0.01,"ok","err")</f>
        <v>ok</v>
      </c>
    </row>
    <row r="424" spans="1:22">
      <c r="F424" s="16"/>
      <c r="G424" s="16"/>
      <c r="U424" s="155"/>
    </row>
    <row r="425" spans="1:22">
      <c r="A425" s="141" t="s">
        <v>3</v>
      </c>
      <c r="F425" s="16"/>
      <c r="G425" s="16"/>
      <c r="U425" s="155"/>
    </row>
    <row r="426" spans="1:22">
      <c r="A426" s="153" t="s">
        <v>209</v>
      </c>
      <c r="C426" s="147" t="s">
        <v>310</v>
      </c>
      <c r="D426" s="147" t="s">
        <v>375</v>
      </c>
      <c r="E426" s="147" t="s">
        <v>315</v>
      </c>
      <c r="F426" s="154">
        <f>VLOOKUP(C426,'Functional Assignment'!$C$1:$AR$731,7,)</f>
        <v>2208160.3024349599</v>
      </c>
      <c r="G426" s="154">
        <f t="shared" ref="G426:J427" si="130">(VLOOKUP($E426,$D$6:$AI$660,G$2,)/VLOOKUP($E426,$D$6:$AI$660,3,))*$F426</f>
        <v>1454858.3298928754</v>
      </c>
      <c r="H426" s="154">
        <f t="shared" si="130"/>
        <v>696053.72005932406</v>
      </c>
      <c r="I426" s="154">
        <f t="shared" si="130"/>
        <v>57248.252482760523</v>
      </c>
      <c r="J426" s="154">
        <f t="shared" si="130"/>
        <v>0</v>
      </c>
      <c r="K426" s="154">
        <f>(VLOOKUP($E426,$D$6:$AI$660,8,)/VLOOKUP($E426,$D$6:$AI$660,3,))*$F426</f>
        <v>0</v>
      </c>
      <c r="L426" s="154">
        <f>(VLOOKUP($E426,$D$6:$AI$660,L$2,)/VLOOKUP($E426,$D$6:$AI$660,3,))*$F426</f>
        <v>0</v>
      </c>
      <c r="M426" s="154">
        <f>(VLOOKUP($E426,$D$6:$AI$660,M$2,)/VLOOKUP($E426,$D$6:$AI$660,3,))*$F426</f>
        <v>0</v>
      </c>
      <c r="N426" s="154">
        <f>(VLOOKUP($E426,$D$6:$AI$660,11,)/VLOOKUP($E426,$D$6:$AI$660,3,))*$F426</f>
        <v>0</v>
      </c>
      <c r="O426" s="154">
        <f t="shared" ref="O426:Q427" si="131">(VLOOKUP($E426,$D$6:$AI$660,O$2,)/VLOOKUP($E426,$D$6:$AI$660,3,))*$F426</f>
        <v>0</v>
      </c>
      <c r="P426" s="154">
        <f t="shared" si="131"/>
        <v>0</v>
      </c>
      <c r="Q426" s="154">
        <f t="shared" si="131"/>
        <v>0</v>
      </c>
      <c r="R426" s="154">
        <f>(VLOOKUP($E426,$D$6:$AI$660,15,)/VLOOKUP($E426,$D$6:$AI$660,3,))*$F426</f>
        <v>0</v>
      </c>
      <c r="S426" s="154">
        <f>(VLOOKUP($E426,$D$6:$AI$660,16,)/VLOOKUP($E426,$D$6:$AI$660,3,))*$F426</f>
        <v>0</v>
      </c>
      <c r="T426" s="154">
        <f>(VLOOKUP($E426,$D$6:$AI$660,17,)/VLOOKUP($E426,$D$6:$AI$660,3,))*$F426</f>
        <v>0</v>
      </c>
      <c r="U426" s="155">
        <f>SUM(G426:M426)</f>
        <v>2208160.3024349604</v>
      </c>
      <c r="V426" s="140" t="str">
        <f>IF(ABS(F426-U426)&lt;0.01,"ok","err")</f>
        <v>ok</v>
      </c>
    </row>
    <row r="427" spans="1:22">
      <c r="A427" s="147" t="s">
        <v>229</v>
      </c>
      <c r="C427" s="147" t="s">
        <v>310</v>
      </c>
      <c r="D427" s="147" t="s">
        <v>376</v>
      </c>
      <c r="E427" s="147" t="s">
        <v>316</v>
      </c>
      <c r="F427" s="16">
        <f>VLOOKUP(C427,'Functional Assignment'!$C$1:$AR$731,8,)</f>
        <v>0</v>
      </c>
      <c r="G427" s="16">
        <f t="shared" si="130"/>
        <v>0</v>
      </c>
      <c r="H427" s="16">
        <f t="shared" si="130"/>
        <v>0</v>
      </c>
      <c r="I427" s="16">
        <f t="shared" si="130"/>
        <v>0</v>
      </c>
      <c r="J427" s="16">
        <f t="shared" si="130"/>
        <v>0</v>
      </c>
      <c r="K427" s="16">
        <f>(VLOOKUP($E427,$D$6:$AI$660,8,)/VLOOKUP($E427,$D$6:$AI$660,3,))*$F427</f>
        <v>0</v>
      </c>
      <c r="L427" s="16">
        <f>(VLOOKUP($E427,$D$6:$AI$660,L$2,)/VLOOKUP($E427,$D$6:$AI$660,3,))*$F427</f>
        <v>0</v>
      </c>
      <c r="M427" s="16">
        <f>(VLOOKUP($E427,$D$6:$AI$660,M$2,)/VLOOKUP($E427,$D$6:$AI$660,3,))*$F427</f>
        <v>0</v>
      </c>
      <c r="N427" s="16">
        <f>(VLOOKUP($E427,$D$6:$AI$660,11,)/VLOOKUP($E427,$D$6:$AI$660,3,))*$F427</f>
        <v>0</v>
      </c>
      <c r="O427" s="16">
        <f t="shared" si="131"/>
        <v>0</v>
      </c>
      <c r="P427" s="16">
        <f t="shared" si="131"/>
        <v>0</v>
      </c>
      <c r="Q427" s="16">
        <f t="shared" si="131"/>
        <v>0</v>
      </c>
      <c r="R427" s="16">
        <f>(VLOOKUP($E427,$D$6:$AI$660,15,)/VLOOKUP($E427,$D$6:$AI$660,3,))*$F427</f>
        <v>0</v>
      </c>
      <c r="S427" s="16">
        <f>(VLOOKUP($E427,$D$6:$AI$660,16,)/VLOOKUP($E427,$D$6:$AI$660,3,))*$F427</f>
        <v>0</v>
      </c>
      <c r="T427" s="16">
        <f>(VLOOKUP($E427,$D$6:$AI$660,17,)/VLOOKUP($E427,$D$6:$AI$660,3,))*$F427</f>
        <v>0</v>
      </c>
      <c r="U427" s="155">
        <f>SUM(G427:M427)</f>
        <v>0</v>
      </c>
      <c r="V427" s="140" t="str">
        <f>IF(ABS(F427-U427)&lt;0.01,"ok","err")</f>
        <v>ok</v>
      </c>
    </row>
    <row r="428" spans="1:22">
      <c r="A428" s="147" t="s">
        <v>230</v>
      </c>
      <c r="D428" s="147" t="s">
        <v>377</v>
      </c>
      <c r="F428" s="154">
        <f>SUM(F426:F427)</f>
        <v>2208160.3024349599</v>
      </c>
      <c r="G428" s="154">
        <f t="shared" ref="G428:T428" si="132">G426+G427</f>
        <v>1454858.3298928754</v>
      </c>
      <c r="H428" s="154">
        <f t="shared" si="132"/>
        <v>696053.72005932406</v>
      </c>
      <c r="I428" s="154">
        <f t="shared" si="132"/>
        <v>57248.252482760523</v>
      </c>
      <c r="J428" s="154">
        <f t="shared" si="132"/>
        <v>0</v>
      </c>
      <c r="K428" s="154">
        <f t="shared" si="132"/>
        <v>0</v>
      </c>
      <c r="L428" s="154">
        <f t="shared" si="132"/>
        <v>0</v>
      </c>
      <c r="M428" s="154">
        <f t="shared" si="132"/>
        <v>0</v>
      </c>
      <c r="N428" s="154">
        <f t="shared" si="132"/>
        <v>0</v>
      </c>
      <c r="O428" s="154">
        <f t="shared" si="132"/>
        <v>0</v>
      </c>
      <c r="P428" s="154">
        <f t="shared" si="132"/>
        <v>0</v>
      </c>
      <c r="Q428" s="154">
        <f t="shared" si="132"/>
        <v>0</v>
      </c>
      <c r="R428" s="154">
        <f t="shared" si="132"/>
        <v>0</v>
      </c>
      <c r="S428" s="154">
        <f t="shared" si="132"/>
        <v>0</v>
      </c>
      <c r="T428" s="154">
        <f t="shared" si="132"/>
        <v>0</v>
      </c>
      <c r="U428" s="155">
        <f>SUM(G428:M428)</f>
        <v>2208160.3024349604</v>
      </c>
      <c r="V428" s="140" t="str">
        <f>IF(ABS(F428-U428)&lt;0.01,"ok","err")</f>
        <v>ok</v>
      </c>
    </row>
    <row r="429" spans="1:22">
      <c r="F429" s="16"/>
      <c r="G429" s="16"/>
      <c r="U429" s="155"/>
    </row>
    <row r="430" spans="1:22">
      <c r="A430" s="141" t="s">
        <v>4</v>
      </c>
      <c r="F430" s="16"/>
      <c r="G430" s="16"/>
      <c r="U430" s="155"/>
    </row>
    <row r="431" spans="1:22">
      <c r="A431" s="153" t="s">
        <v>209</v>
      </c>
      <c r="C431" s="147" t="s">
        <v>310</v>
      </c>
      <c r="D431" s="147" t="s">
        <v>378</v>
      </c>
      <c r="E431" s="147" t="s">
        <v>317</v>
      </c>
      <c r="F431" s="154">
        <f>VLOOKUP(C431,'Functional Assignment'!$C$1:$AR$731,9,)</f>
        <v>767515.60016324476</v>
      </c>
      <c r="G431" s="154">
        <f t="shared" ref="G431:J432" si="133">(VLOOKUP($E431,$D$6:$AI$660,G$2,)/VLOOKUP($E431,$D$6:$AI$660,3,))*$F431</f>
        <v>505681.79447339545</v>
      </c>
      <c r="H431" s="154">
        <f t="shared" si="133"/>
        <v>241935.37403425298</v>
      </c>
      <c r="I431" s="154">
        <f t="shared" si="133"/>
        <v>19898.431655596301</v>
      </c>
      <c r="J431" s="154">
        <f t="shared" si="133"/>
        <v>0</v>
      </c>
      <c r="K431" s="154">
        <f>(VLOOKUP($E431,$D$6:$AI$660,8,)/VLOOKUP($E431,$D$6:$AI$660,3,))*$F431</f>
        <v>0</v>
      </c>
      <c r="L431" s="154">
        <f>(VLOOKUP($E431,$D$6:$AI$660,L$2,)/VLOOKUP($E431,$D$6:$AI$660,3,))*$F431</f>
        <v>0</v>
      </c>
      <c r="M431" s="154">
        <f>(VLOOKUP($E431,$D$6:$AI$660,M$2,)/VLOOKUP($E431,$D$6:$AI$660,3,))*$F431</f>
        <v>0</v>
      </c>
      <c r="N431" s="154">
        <f>(VLOOKUP($E431,$D$6:$AI$660,11,)/VLOOKUP($E431,$D$6:$AI$660,3,))*$F431</f>
        <v>0</v>
      </c>
      <c r="O431" s="154">
        <f t="shared" ref="O431:Q432" si="134">(VLOOKUP($E431,$D$6:$AI$660,O$2,)/VLOOKUP($E431,$D$6:$AI$660,3,))*$F431</f>
        <v>0</v>
      </c>
      <c r="P431" s="154">
        <f t="shared" si="134"/>
        <v>0</v>
      </c>
      <c r="Q431" s="154">
        <f t="shared" si="134"/>
        <v>0</v>
      </c>
      <c r="R431" s="154">
        <f>(VLOOKUP($E431,$D$6:$AI$660,15,)/VLOOKUP($E431,$D$6:$AI$660,3,))*$F431</f>
        <v>0</v>
      </c>
      <c r="S431" s="154">
        <f>(VLOOKUP($E431,$D$6:$AI$660,16,)/VLOOKUP($E431,$D$6:$AI$660,3,))*$F431</f>
        <v>0</v>
      </c>
      <c r="T431" s="154">
        <f>(VLOOKUP($E431,$D$6:$AI$660,17,)/VLOOKUP($E431,$D$6:$AI$660,3,))*$F431</f>
        <v>0</v>
      </c>
      <c r="U431" s="155">
        <f>SUM(G431:M431)</f>
        <v>767515.60016324464</v>
      </c>
      <c r="V431" s="140" t="str">
        <f>IF(ABS(F431-U431)&lt;0.01,"ok","err")</f>
        <v>ok</v>
      </c>
    </row>
    <row r="432" spans="1:22">
      <c r="A432" s="147" t="s">
        <v>229</v>
      </c>
      <c r="C432" s="147" t="s">
        <v>310</v>
      </c>
      <c r="D432" s="147" t="s">
        <v>379</v>
      </c>
      <c r="E432" s="147" t="s">
        <v>318</v>
      </c>
      <c r="F432" s="16">
        <f>VLOOKUP(C432,'Functional Assignment'!$C$1:$AR$731,10,)</f>
        <v>0</v>
      </c>
      <c r="G432" s="16">
        <f t="shared" si="133"/>
        <v>0</v>
      </c>
      <c r="H432" s="16">
        <f t="shared" si="133"/>
        <v>0</v>
      </c>
      <c r="I432" s="16">
        <f t="shared" si="133"/>
        <v>0</v>
      </c>
      <c r="J432" s="16">
        <f t="shared" si="133"/>
        <v>0</v>
      </c>
      <c r="K432" s="16">
        <f>(VLOOKUP($E432,$D$6:$AI$660,8,)/VLOOKUP($E432,$D$6:$AI$660,3,))*$F432</f>
        <v>0</v>
      </c>
      <c r="L432" s="16">
        <f>(VLOOKUP($E432,$D$6:$AI$660,L$2,)/VLOOKUP($E432,$D$6:$AI$660,3,))*$F432</f>
        <v>0</v>
      </c>
      <c r="M432" s="16">
        <f>(VLOOKUP($E432,$D$6:$AI$660,M$2,)/VLOOKUP($E432,$D$6:$AI$660,3,))*$F432</f>
        <v>0</v>
      </c>
      <c r="N432" s="16">
        <f>(VLOOKUP($E432,$D$6:$AI$660,11,)/VLOOKUP($E432,$D$6:$AI$660,3,))*$F432</f>
        <v>0</v>
      </c>
      <c r="O432" s="16">
        <f t="shared" si="134"/>
        <v>0</v>
      </c>
      <c r="P432" s="16">
        <f t="shared" si="134"/>
        <v>0</v>
      </c>
      <c r="Q432" s="16">
        <f t="shared" si="134"/>
        <v>0</v>
      </c>
      <c r="R432" s="16">
        <f>(VLOOKUP($E432,$D$6:$AI$660,15,)/VLOOKUP($E432,$D$6:$AI$660,3,))*$F432</f>
        <v>0</v>
      </c>
      <c r="S432" s="16">
        <f>(VLOOKUP($E432,$D$6:$AI$660,16,)/VLOOKUP($E432,$D$6:$AI$660,3,))*$F432</f>
        <v>0</v>
      </c>
      <c r="T432" s="16">
        <f>(VLOOKUP($E432,$D$6:$AI$660,17,)/VLOOKUP($E432,$D$6:$AI$660,3,))*$F432</f>
        <v>0</v>
      </c>
      <c r="U432" s="155">
        <f>SUM(G432:M432)</f>
        <v>0</v>
      </c>
      <c r="V432" s="140" t="str">
        <f>IF(ABS(F432-U432)&lt;0.01,"ok","err")</f>
        <v>ok</v>
      </c>
    </row>
    <row r="433" spans="1:23">
      <c r="A433" s="147" t="s">
        <v>231</v>
      </c>
      <c r="D433" s="147" t="s">
        <v>380</v>
      </c>
      <c r="F433" s="154">
        <f>SUM(F431:F432)</f>
        <v>767515.60016324476</v>
      </c>
      <c r="G433" s="154">
        <f t="shared" ref="G433:T433" si="135">G431+G432</f>
        <v>505681.79447339545</v>
      </c>
      <c r="H433" s="154">
        <f t="shared" si="135"/>
        <v>241935.37403425298</v>
      </c>
      <c r="I433" s="154">
        <f t="shared" si="135"/>
        <v>19898.431655596301</v>
      </c>
      <c r="J433" s="154">
        <f t="shared" si="135"/>
        <v>0</v>
      </c>
      <c r="K433" s="154">
        <f t="shared" si="135"/>
        <v>0</v>
      </c>
      <c r="L433" s="154">
        <f t="shared" si="135"/>
        <v>0</v>
      </c>
      <c r="M433" s="154">
        <f t="shared" si="135"/>
        <v>0</v>
      </c>
      <c r="N433" s="154">
        <f t="shared" si="135"/>
        <v>0</v>
      </c>
      <c r="O433" s="154">
        <f t="shared" si="135"/>
        <v>0</v>
      </c>
      <c r="P433" s="154">
        <f t="shared" si="135"/>
        <v>0</v>
      </c>
      <c r="Q433" s="154">
        <f t="shared" si="135"/>
        <v>0</v>
      </c>
      <c r="R433" s="154">
        <f t="shared" si="135"/>
        <v>0</v>
      </c>
      <c r="S433" s="154">
        <f t="shared" si="135"/>
        <v>0</v>
      </c>
      <c r="T433" s="154">
        <f t="shared" si="135"/>
        <v>0</v>
      </c>
      <c r="U433" s="155">
        <f>SUM(G433:M433)</f>
        <v>767515.60016324464</v>
      </c>
      <c r="V433" s="140" t="str">
        <f>IF(ABS(F433-U433)&lt;0.01,"ok","err")</f>
        <v>ok</v>
      </c>
    </row>
    <row r="434" spans="1:23">
      <c r="F434" s="16"/>
      <c r="U434" s="155"/>
    </row>
    <row r="435" spans="1:23">
      <c r="A435" s="141" t="s">
        <v>6</v>
      </c>
      <c r="F435" s="16"/>
      <c r="U435" s="155"/>
    </row>
    <row r="436" spans="1:23">
      <c r="A436" s="147" t="s">
        <v>229</v>
      </c>
      <c r="C436" s="147" t="s">
        <v>310</v>
      </c>
      <c r="D436" s="147" t="s">
        <v>381</v>
      </c>
      <c r="E436" s="147" t="s">
        <v>319</v>
      </c>
      <c r="F436" s="154">
        <f>VLOOKUP(C436,'Functional Assignment'!$C$1:$AR$731,11,)</f>
        <v>0</v>
      </c>
      <c r="G436" s="154">
        <f>(VLOOKUP($E436,$D$6:$AI$660,G$2,)/VLOOKUP($E436,$D$6:$AI$660,3,))*$F436</f>
        <v>0</v>
      </c>
      <c r="H436" s="154">
        <f>(VLOOKUP($E436,$D$6:$AI$660,H$2,)/VLOOKUP($E436,$D$6:$AI$660,3,))*$F436</f>
        <v>0</v>
      </c>
      <c r="I436" s="154">
        <f>(VLOOKUP($E436,$D$6:$AI$660,I$2,)/VLOOKUP($E436,$D$6:$AI$660,3,))*$F436</f>
        <v>0</v>
      </c>
      <c r="J436" s="154">
        <f>(VLOOKUP($E436,$D$6:$AI$660,J$2,)/VLOOKUP($E436,$D$6:$AI$660,3,))*$F436</f>
        <v>0</v>
      </c>
      <c r="K436" s="154">
        <f>(VLOOKUP($E436,$D$6:$AI$660,8,)/VLOOKUP($E436,$D$6:$AI$660,3,))*$F436</f>
        <v>0</v>
      </c>
      <c r="L436" s="154">
        <f>(VLOOKUP($E436,$D$6:$AI$660,L$2,)/VLOOKUP($E436,$D$6:$AI$660,3,))*$F436</f>
        <v>0</v>
      </c>
      <c r="M436" s="154">
        <f>(VLOOKUP($E436,$D$6:$AI$660,M$2,)/VLOOKUP($E436,$D$6:$AI$660,3,))*$F436</f>
        <v>0</v>
      </c>
      <c r="N436" s="154">
        <f>(VLOOKUP($E436,$D$6:$AI$660,11,)/VLOOKUP($E436,$D$6:$AI$660,3,))*$F436</f>
        <v>0</v>
      </c>
      <c r="O436" s="154">
        <f>(VLOOKUP($E436,$D$6:$AI$660,O$2,)/VLOOKUP($E436,$D$6:$AI$660,3,))*$F436</f>
        <v>0</v>
      </c>
      <c r="P436" s="154">
        <f>(VLOOKUP($E436,$D$6:$AI$660,P$2,)/VLOOKUP($E436,$D$6:$AI$660,3,))*$F436</f>
        <v>0</v>
      </c>
      <c r="Q436" s="154">
        <f>(VLOOKUP($E436,$D$6:$AI$660,Q$2,)/VLOOKUP($E436,$D$6:$AI$660,3,))*$F436</f>
        <v>0</v>
      </c>
      <c r="R436" s="154">
        <f>(VLOOKUP($E436,$D$6:$AI$660,15,)/VLOOKUP($E436,$D$6:$AI$660,3,))*$F436</f>
        <v>0</v>
      </c>
      <c r="S436" s="154">
        <f>(VLOOKUP($E436,$D$6:$AI$660,16,)/VLOOKUP($E436,$D$6:$AI$660,3,))*$F436</f>
        <v>0</v>
      </c>
      <c r="T436" s="154">
        <f>(VLOOKUP($E436,$D$6:$AI$660,17,)/VLOOKUP($E436,$D$6:$AI$660,3,))*$F436</f>
        <v>0</v>
      </c>
      <c r="U436" s="155">
        <f>SUM(G436:M436)</f>
        <v>0</v>
      </c>
      <c r="V436" s="140" t="str">
        <f>IF(ABS(F436-U436)&lt;0.01,"ok","err")</f>
        <v>ok</v>
      </c>
    </row>
    <row r="437" spans="1:23">
      <c r="A437" s="153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55"/>
      <c r="V437" s="140"/>
    </row>
    <row r="438" spans="1:23">
      <c r="A438" s="141" t="s">
        <v>7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55"/>
      <c r="V438" s="140"/>
    </row>
    <row r="439" spans="1:23">
      <c r="A439" s="153" t="s">
        <v>209</v>
      </c>
      <c r="C439" s="147" t="s">
        <v>310</v>
      </c>
      <c r="D439" s="147" t="s">
        <v>382</v>
      </c>
      <c r="E439" s="147" t="s">
        <v>320</v>
      </c>
      <c r="F439" s="154">
        <f>VLOOKUP(C439,'Functional Assignment'!$C$1:$AR$731,12,)</f>
        <v>387227.67078539025</v>
      </c>
      <c r="G439" s="154">
        <f>(VLOOKUP($E439,$D$6:$AI$660,G$2,)/VLOOKUP($E439,$D$6:$AI$660,3,))*$F439</f>
        <v>216488.31524708922</v>
      </c>
      <c r="H439" s="154">
        <f>(VLOOKUP($E439,$D$6:$AI$660,H$2,)/VLOOKUP($E439,$D$6:$AI$660,3,))*$F439</f>
        <v>102070.32728604968</v>
      </c>
      <c r="I439" s="154">
        <f>(VLOOKUP($E439,$D$6:$AI$660,I$2,)/VLOOKUP($E439,$D$6:$AI$660,3,))*$F439</f>
        <v>7432.5029738966041</v>
      </c>
      <c r="J439" s="154">
        <f>(VLOOKUP($E439,$D$6:$AI$660,J$2,)/VLOOKUP($E439,$D$6:$AI$660,3,))*$F439</f>
        <v>2015.2910227110403</v>
      </c>
      <c r="K439" s="154">
        <f>(VLOOKUP($E439,$D$6:$AI$660,8,)/VLOOKUP($E439,$D$6:$AI$660,3,))*$F439</f>
        <v>57783.201338835337</v>
      </c>
      <c r="L439" s="154">
        <f>(VLOOKUP($E439,$D$6:$AI$660,L$2,)/VLOOKUP($E439,$D$6:$AI$660,3,))*$F439</f>
        <v>1438.0329168084279</v>
      </c>
      <c r="M439" s="154">
        <f>(VLOOKUP($E439,$D$6:$AI$660,M$2,)/VLOOKUP($E439,$D$6:$AI$660,3,))*$F439</f>
        <v>0</v>
      </c>
      <c r="N439" s="154">
        <f>(VLOOKUP($E439,$D$6:$AI$660,11,)/VLOOKUP($E439,$D$6:$AI$660,3,))*$F439</f>
        <v>0</v>
      </c>
      <c r="O439" s="154">
        <f>(VLOOKUP($E439,$D$6:$AI$660,O$2,)/VLOOKUP($E439,$D$6:$AI$660,3,))*$F439</f>
        <v>0</v>
      </c>
      <c r="P439" s="154">
        <f>(VLOOKUP($E439,$D$6:$AI$660,P$2,)/VLOOKUP($E439,$D$6:$AI$660,3,))*$F439</f>
        <v>0</v>
      </c>
      <c r="Q439" s="154">
        <f>(VLOOKUP($E439,$D$6:$AI$660,Q$2,)/VLOOKUP($E439,$D$6:$AI$660,3,))*$F439</f>
        <v>0</v>
      </c>
      <c r="R439" s="154">
        <f>(VLOOKUP($E439,$D$6:$AI$660,15,)/VLOOKUP($E439,$D$6:$AI$660,3,))*$F439</f>
        <v>0</v>
      </c>
      <c r="S439" s="154">
        <f>(VLOOKUP($E439,$D$6:$AI$660,16,)/VLOOKUP($E439,$D$6:$AI$660,3,))*$F439</f>
        <v>0</v>
      </c>
      <c r="T439" s="154">
        <f>(VLOOKUP($E439,$D$6:$AI$660,17,)/VLOOKUP($E439,$D$6:$AI$660,3,))*$F439</f>
        <v>0</v>
      </c>
      <c r="U439" s="155">
        <f>SUM(G439:M439)</f>
        <v>387227.67078539036</v>
      </c>
      <c r="V439" s="140" t="str">
        <f>IF(ABS(F439-U439)&lt;0.01,"ok","err")</f>
        <v>ok</v>
      </c>
    </row>
    <row r="440" spans="1:23">
      <c r="F440" s="16"/>
      <c r="U440" s="155"/>
    </row>
    <row r="441" spans="1:23">
      <c r="A441" s="141" t="s">
        <v>8</v>
      </c>
      <c r="F441" s="16"/>
      <c r="U441" s="155"/>
    </row>
    <row r="442" spans="1:23">
      <c r="A442" s="153" t="s">
        <v>690</v>
      </c>
      <c r="C442" s="147" t="s">
        <v>310</v>
      </c>
      <c r="D442" s="147" t="s">
        <v>383</v>
      </c>
      <c r="E442" s="147" t="s">
        <v>695</v>
      </c>
      <c r="F442" s="154">
        <f>VLOOKUP(C442,'Functional Assignment'!$C$1:$AR$731,13,)</f>
        <v>1775020.8189971985</v>
      </c>
      <c r="G442" s="154">
        <f t="shared" ref="G442:J445" si="136">(VLOOKUP($E442,$D$6:$AI$660,G$2,)/VLOOKUP($E442,$D$6:$AI$660,3,))*$F442</f>
        <v>1127068.5529599227</v>
      </c>
      <c r="H442" s="154">
        <f t="shared" si="136"/>
        <v>520147.32768599276</v>
      </c>
      <c r="I442" s="154">
        <f t="shared" si="136"/>
        <v>37119.238134205814</v>
      </c>
      <c r="J442" s="154">
        <f t="shared" si="136"/>
        <v>0.10266794142236987</v>
      </c>
      <c r="K442" s="154">
        <f>(VLOOKUP($E442,$D$6:$AI$660,8,)/VLOOKUP($E442,$D$6:$AI$660,3,))*$F442</f>
        <v>90685.597549135855</v>
      </c>
      <c r="L442" s="154">
        <f t="shared" ref="L442:M445" si="137">(VLOOKUP($E442,$D$6:$AI$660,L$2,)/VLOOKUP($E442,$D$6:$AI$660,3,))*$F442</f>
        <v>0</v>
      </c>
      <c r="M442" s="154">
        <f t="shared" si="137"/>
        <v>0</v>
      </c>
      <c r="N442" s="154">
        <f>(VLOOKUP($E442,$D$6:$AI$660,11,)/VLOOKUP($E442,$D$6:$AI$660,3,))*$F442</f>
        <v>0</v>
      </c>
      <c r="O442" s="154">
        <f t="shared" ref="O442:Q445" si="138">(VLOOKUP($E442,$D$6:$AI$660,O$2,)/VLOOKUP($E442,$D$6:$AI$660,3,))*$F442</f>
        <v>0</v>
      </c>
      <c r="P442" s="154">
        <f t="shared" si="138"/>
        <v>0</v>
      </c>
      <c r="Q442" s="154">
        <f t="shared" si="138"/>
        <v>0</v>
      </c>
      <c r="R442" s="154">
        <f>(VLOOKUP($E442,$D$6:$AI$660,15,)/VLOOKUP($E442,$D$6:$AI$660,3,))*$F442</f>
        <v>0</v>
      </c>
      <c r="S442" s="154">
        <f>(VLOOKUP($E442,$D$6:$AI$660,16,)/VLOOKUP($E442,$D$6:$AI$660,3,))*$F442</f>
        <v>0</v>
      </c>
      <c r="T442" s="154">
        <f>(VLOOKUP($E442,$D$6:$AI$660,17,)/VLOOKUP($E442,$D$6:$AI$660,3,))*$F442</f>
        <v>0</v>
      </c>
      <c r="U442" s="155">
        <f>SUM(G442:M442)</f>
        <v>1775020.8189971985</v>
      </c>
      <c r="V442" s="140" t="str">
        <f>IF(ABS(F442-U442)&lt;0.01,"ok","err")</f>
        <v>ok</v>
      </c>
    </row>
    <row r="443" spans="1:23">
      <c r="A443" s="153" t="s">
        <v>689</v>
      </c>
      <c r="C443" s="147" t="s">
        <v>310</v>
      </c>
      <c r="D443" s="147" t="s">
        <v>384</v>
      </c>
      <c r="E443" s="147" t="s">
        <v>694</v>
      </c>
      <c r="F443" s="16">
        <f>VLOOKUP(C443,'Functional Assignment'!$C$1:$AR$731,14,)</f>
        <v>2971248.3843073957</v>
      </c>
      <c r="G443" s="16">
        <f t="shared" si="136"/>
        <v>2747480.5487659168</v>
      </c>
      <c r="H443" s="16">
        <f t="shared" si="136"/>
        <v>220990.41583808858</v>
      </c>
      <c r="I443" s="16">
        <f t="shared" si="136"/>
        <v>2336.7833178289966</v>
      </c>
      <c r="J443" s="16">
        <f t="shared" si="136"/>
        <v>11.657047237076746</v>
      </c>
      <c r="K443" s="16">
        <f>(VLOOKUP($E443,$D$6:$AI$660,8,)/VLOOKUP($E443,$D$6:$AI$660,3,))*$F443</f>
        <v>428.97933832442425</v>
      </c>
      <c r="L443" s="16">
        <f t="shared" si="137"/>
        <v>0</v>
      </c>
      <c r="M443" s="16">
        <f t="shared" si="137"/>
        <v>0</v>
      </c>
      <c r="N443" s="16">
        <f>(VLOOKUP($E443,$D$6:$AI$660,11,)/VLOOKUP($E443,$D$6:$AI$660,3,))*$F443</f>
        <v>0</v>
      </c>
      <c r="O443" s="16">
        <f t="shared" si="138"/>
        <v>0</v>
      </c>
      <c r="P443" s="16">
        <f t="shared" si="138"/>
        <v>0</v>
      </c>
      <c r="Q443" s="16">
        <f t="shared" si="138"/>
        <v>0</v>
      </c>
      <c r="R443" s="16">
        <f>(VLOOKUP($E443,$D$6:$AI$660,15,)/VLOOKUP($E443,$D$6:$AI$660,3,))*$F443</f>
        <v>0</v>
      </c>
      <c r="S443" s="16">
        <f>(VLOOKUP($E443,$D$6:$AI$660,16,)/VLOOKUP($E443,$D$6:$AI$660,3,))*$F443</f>
        <v>0</v>
      </c>
      <c r="T443" s="16">
        <f>(VLOOKUP($E443,$D$6:$AI$660,17,)/VLOOKUP($E443,$D$6:$AI$660,3,))*$F443</f>
        <v>0</v>
      </c>
      <c r="U443" s="155">
        <f>SUM(G443:M443)</f>
        <v>2971248.3843073961</v>
      </c>
      <c r="V443" s="140" t="str">
        <f>IF(ABS(F443-U443)&lt;0.01,"ok","err")</f>
        <v>ok</v>
      </c>
      <c r="W443" s="156"/>
    </row>
    <row r="444" spans="1:23">
      <c r="A444" s="153" t="s">
        <v>691</v>
      </c>
      <c r="C444" s="147" t="s">
        <v>310</v>
      </c>
      <c r="D444" s="147" t="s">
        <v>383</v>
      </c>
      <c r="E444" s="147" t="s">
        <v>321</v>
      </c>
      <c r="F444" s="16">
        <f>VLOOKUP(C444,'Functional Assignment'!$C$1:$AR$731,15,)</f>
        <v>258297.98864057072</v>
      </c>
      <c r="G444" s="16">
        <f t="shared" si="136"/>
        <v>144407.28442544633</v>
      </c>
      <c r="H444" s="16">
        <f t="shared" si="136"/>
        <v>68085.424227038748</v>
      </c>
      <c r="I444" s="16">
        <f t="shared" si="136"/>
        <v>4957.808321984684</v>
      </c>
      <c r="J444" s="16">
        <f t="shared" si="136"/>
        <v>1344.288275256439</v>
      </c>
      <c r="K444" s="16">
        <f>(VLOOKUP($E444,$D$6:$AI$660,8,)/VLOOKUP($E444,$D$6:$AI$660,3,))*$F444</f>
        <v>38543.951812023806</v>
      </c>
      <c r="L444" s="16">
        <f t="shared" si="137"/>
        <v>959.23157882074634</v>
      </c>
      <c r="M444" s="16">
        <f t="shared" si="137"/>
        <v>0</v>
      </c>
      <c r="N444" s="16">
        <f>(VLOOKUP($E444,$D$6:$AI$660,11,)/VLOOKUP($E444,$D$6:$AI$660,3,))*$F444</f>
        <v>0</v>
      </c>
      <c r="O444" s="16">
        <f t="shared" si="138"/>
        <v>0</v>
      </c>
      <c r="P444" s="16">
        <f t="shared" si="138"/>
        <v>0</v>
      </c>
      <c r="Q444" s="16">
        <f t="shared" si="138"/>
        <v>0</v>
      </c>
      <c r="R444" s="16"/>
      <c r="S444" s="16"/>
      <c r="T444" s="16"/>
      <c r="U444" s="155">
        <f>SUM(G444:M444)</f>
        <v>258297.98864057072</v>
      </c>
      <c r="V444" s="140" t="str">
        <f>IF(ABS(F444-U444)&lt;0.01,"ok","err")</f>
        <v>ok</v>
      </c>
    </row>
    <row r="445" spans="1:23">
      <c r="A445" s="153" t="s">
        <v>688</v>
      </c>
      <c r="C445" s="147" t="s">
        <v>310</v>
      </c>
      <c r="D445" s="147" t="s">
        <v>384</v>
      </c>
      <c r="E445" s="147" t="s">
        <v>322</v>
      </c>
      <c r="F445" s="16">
        <f>VLOOKUP(C445,'Functional Assignment'!$C$1:$AR$731,16,)</f>
        <v>186149.2963954439</v>
      </c>
      <c r="G445" s="16">
        <f t="shared" si="136"/>
        <v>172108.86011100022</v>
      </c>
      <c r="H445" s="16">
        <f t="shared" si="136"/>
        <v>13843.376828430408</v>
      </c>
      <c r="I445" s="16">
        <f t="shared" si="136"/>
        <v>146.96596786794527</v>
      </c>
      <c r="J445" s="16">
        <f t="shared" si="136"/>
        <v>3.3590385636829363</v>
      </c>
      <c r="K445" s="16">
        <f>(VLOOKUP($E445,$D$6:$AI$660,8,)/VLOOKUP($E445,$D$6:$AI$660,3,))*$F445</f>
        <v>46.150268961904693</v>
      </c>
      <c r="L445" s="16">
        <f t="shared" si="137"/>
        <v>0.58418061977094538</v>
      </c>
      <c r="M445" s="16">
        <f t="shared" si="137"/>
        <v>0</v>
      </c>
      <c r="N445" s="16">
        <f>(VLOOKUP($E445,$D$6:$AI$660,11,)/VLOOKUP($E445,$D$6:$AI$660,3,))*$F445</f>
        <v>0</v>
      </c>
      <c r="O445" s="16">
        <f t="shared" si="138"/>
        <v>0</v>
      </c>
      <c r="P445" s="16">
        <f t="shared" si="138"/>
        <v>0</v>
      </c>
      <c r="Q445" s="16">
        <f t="shared" si="138"/>
        <v>0</v>
      </c>
      <c r="R445" s="16"/>
      <c r="S445" s="16"/>
      <c r="T445" s="16"/>
      <c r="U445" s="155">
        <f>SUM(G445:M445)</f>
        <v>186149.2963954439</v>
      </c>
      <c r="V445" s="140" t="str">
        <f>IF(ABS(F445-U445)&lt;0.01,"ok","err")</f>
        <v>ok</v>
      </c>
    </row>
    <row r="446" spans="1:23">
      <c r="A446" s="147" t="s">
        <v>232</v>
      </c>
      <c r="F446" s="154">
        <f>SUM(F442:F445)</f>
        <v>5190716.4883406097</v>
      </c>
      <c r="G446" s="154">
        <f t="shared" ref="G446:Q446" si="139">SUM(G442:G445)</f>
        <v>4191065.2462622859</v>
      </c>
      <c r="H446" s="154">
        <f t="shared" si="139"/>
        <v>823066.54457955051</v>
      </c>
      <c r="I446" s="154">
        <f t="shared" si="139"/>
        <v>44560.795741887436</v>
      </c>
      <c r="J446" s="154">
        <f t="shared" si="139"/>
        <v>1359.4070289986212</v>
      </c>
      <c r="K446" s="154">
        <f t="shared" si="139"/>
        <v>129704.67896844599</v>
      </c>
      <c r="L446" s="154">
        <f t="shared" si="139"/>
        <v>959.81575944051724</v>
      </c>
      <c r="M446" s="154">
        <f t="shared" si="139"/>
        <v>0</v>
      </c>
      <c r="N446" s="154">
        <f t="shared" si="139"/>
        <v>0</v>
      </c>
      <c r="O446" s="154">
        <f t="shared" si="139"/>
        <v>0</v>
      </c>
      <c r="P446" s="154">
        <f t="shared" si="139"/>
        <v>0</v>
      </c>
      <c r="Q446" s="154">
        <f t="shared" si="139"/>
        <v>0</v>
      </c>
      <c r="R446" s="154">
        <f>R442+R443</f>
        <v>0</v>
      </c>
      <c r="S446" s="154">
        <f>S442+S443</f>
        <v>0</v>
      </c>
      <c r="T446" s="154">
        <f>T442+T443</f>
        <v>0</v>
      </c>
      <c r="U446" s="155">
        <f>SUM(G446:M446)</f>
        <v>5190716.4883406097</v>
      </c>
      <c r="V446" s="140" t="str">
        <f>IF(ABS(F446-U446)&lt;0.01,"ok","err")</f>
        <v>ok</v>
      </c>
      <c r="W446" s="156"/>
    </row>
    <row r="447" spans="1:23">
      <c r="F447" s="16"/>
      <c r="U447" s="155"/>
    </row>
    <row r="448" spans="1:23">
      <c r="A448" s="141" t="s">
        <v>10</v>
      </c>
      <c r="F448" s="16"/>
      <c r="U448" s="155"/>
    </row>
    <row r="449" spans="1:24">
      <c r="A449" s="153" t="s">
        <v>210</v>
      </c>
      <c r="C449" s="147" t="s">
        <v>310</v>
      </c>
      <c r="D449" s="147" t="s">
        <v>376</v>
      </c>
      <c r="E449" s="147" t="s">
        <v>323</v>
      </c>
      <c r="F449" s="154">
        <f>VLOOKUP(C449,'Functional Assignment'!$C$1:$AR$731,17,)</f>
        <v>3101847.8703258932</v>
      </c>
      <c r="G449" s="154">
        <f>(VLOOKUP($E449,$D$6:$AI$660,G$2,)/VLOOKUP($E449,$D$6:$AI$660,3,))*$F449</f>
        <v>2608170.1706763054</v>
      </c>
      <c r="H449" s="154">
        <f>(VLOOKUP($E449,$D$6:$AI$660,H$2,)/VLOOKUP($E449,$D$6:$AI$660,3,))*$F449</f>
        <v>484455.90593110892</v>
      </c>
      <c r="I449" s="154">
        <f>(VLOOKUP($E449,$D$6:$AI$660,I$2,)/VLOOKUP($E449,$D$6:$AI$660,3,))*$F449</f>
        <v>4510.0868034538489</v>
      </c>
      <c r="J449" s="154">
        <f>(VLOOKUP($E449,$D$6:$AI$660,J$2,)/VLOOKUP($E449,$D$6:$AI$660,3,))*$F449</f>
        <v>1336.89643211046</v>
      </c>
      <c r="K449" s="154">
        <f>(VLOOKUP($E449,$D$6:$AI$660,8,)/VLOOKUP($E449,$D$6:$AI$660,3,))*$F449</f>
        <v>3300.3661340267504</v>
      </c>
      <c r="L449" s="154">
        <f>(VLOOKUP($E449,$D$6:$AI$660,L$2,)/VLOOKUP($E449,$D$6:$AI$660,3,))*$F449</f>
        <v>74.444348887821434</v>
      </c>
      <c r="M449" s="154">
        <f>(VLOOKUP($E449,$D$6:$AI$660,M$2,)/VLOOKUP($E449,$D$6:$AI$660,3,))*$F449</f>
        <v>0</v>
      </c>
      <c r="N449" s="154">
        <f>(VLOOKUP($E449,$D$6:$AI$660,11,)/VLOOKUP($E449,$D$6:$AI$660,3,))*$F449</f>
        <v>0</v>
      </c>
      <c r="O449" s="154">
        <f>(VLOOKUP($E449,$D$6:$AI$660,O$2,)/VLOOKUP($E449,$D$6:$AI$660,3,))*$F449</f>
        <v>0</v>
      </c>
      <c r="P449" s="154">
        <f>(VLOOKUP($E449,$D$6:$AI$660,P$2,)/VLOOKUP($E449,$D$6:$AI$660,3,))*$F449</f>
        <v>0</v>
      </c>
      <c r="Q449" s="154">
        <f>(VLOOKUP($E449,$D$6:$AI$660,Q$2,)/VLOOKUP($E449,$D$6:$AI$660,3,))*$F449</f>
        <v>0</v>
      </c>
      <c r="R449" s="154">
        <f>(VLOOKUP($E449,$D$6:$AI$660,15,)/VLOOKUP($E449,$D$6:$AI$660,3,))*$F449</f>
        <v>0</v>
      </c>
      <c r="S449" s="154">
        <f>(VLOOKUP($E449,$D$6:$AI$660,16,)/VLOOKUP($E449,$D$6:$AI$660,3,))*$F449</f>
        <v>0</v>
      </c>
      <c r="T449" s="154">
        <f>(VLOOKUP($E449,$D$6:$AI$660,17,)/VLOOKUP($E449,$D$6:$AI$660,3,))*$F449</f>
        <v>0</v>
      </c>
      <c r="U449" s="155">
        <f>SUM(G449:M449)</f>
        <v>3101847.8703258936</v>
      </c>
      <c r="V449" s="140" t="str">
        <f>IF(ABS(F449-U449)&lt;0.01,"ok","err")</f>
        <v>ok</v>
      </c>
      <c r="W449" s="156"/>
    </row>
    <row r="450" spans="1:24">
      <c r="F450" s="16"/>
      <c r="U450" s="155"/>
    </row>
    <row r="451" spans="1:24">
      <c r="A451" s="141" t="s">
        <v>11</v>
      </c>
      <c r="F451" s="16"/>
      <c r="U451" s="155"/>
    </row>
    <row r="452" spans="1:24">
      <c r="A452" s="153" t="s">
        <v>210</v>
      </c>
      <c r="C452" s="147" t="s">
        <v>310</v>
      </c>
      <c r="D452" s="147" t="s">
        <v>385</v>
      </c>
      <c r="E452" s="147" t="s">
        <v>324</v>
      </c>
      <c r="F452" s="154">
        <f>VLOOKUP(C452,'Functional Assignment'!$C$1:$AR$731,18,)</f>
        <v>1165542.6591343996</v>
      </c>
      <c r="G452" s="154">
        <f>(VLOOKUP($E452,$D$6:$AI$660,G$2,)/VLOOKUP($E452,$D$6:$AI$660,3,))*$F452</f>
        <v>861782.03187934228</v>
      </c>
      <c r="H452" s="154">
        <f>(VLOOKUP($E452,$D$6:$AI$660,H$2,)/VLOOKUP($E452,$D$6:$AI$660,3,))*$F452</f>
        <v>270815.51661709277</v>
      </c>
      <c r="I452" s="154">
        <f>(VLOOKUP($E452,$D$6:$AI$660,I$2,)/VLOOKUP($E452,$D$6:$AI$660,3,))*$F452</f>
        <v>20391.256476151058</v>
      </c>
      <c r="J452" s="154">
        <f>(VLOOKUP($E452,$D$6:$AI$660,J$2,)/VLOOKUP($E452,$D$6:$AI$660,3,))*$F452</f>
        <v>844.99815893142068</v>
      </c>
      <c r="K452" s="154">
        <f>(VLOOKUP($E452,$D$6:$AI$660,8,)/VLOOKUP($E452,$D$6:$AI$660,3,))*$F452</f>
        <v>11708.856002881974</v>
      </c>
      <c r="L452" s="154">
        <f>(VLOOKUP($E452,$D$6:$AI$660,L$2,)/VLOOKUP($E452,$D$6:$AI$660,3,))*$F452</f>
        <v>0</v>
      </c>
      <c r="M452" s="154">
        <f>(VLOOKUP($E452,$D$6:$AI$660,M$2,)/VLOOKUP($E452,$D$6:$AI$660,3,))*$F452</f>
        <v>0</v>
      </c>
      <c r="N452" s="154">
        <f>(VLOOKUP($E452,$D$6:$AI$660,11,)/VLOOKUP($E452,$D$6:$AI$660,3,))*$F452</f>
        <v>0</v>
      </c>
      <c r="O452" s="154">
        <f>(VLOOKUP($E452,$D$6:$AI$660,O$2,)/VLOOKUP($E452,$D$6:$AI$660,3,))*$F452</f>
        <v>0</v>
      </c>
      <c r="P452" s="154">
        <f>(VLOOKUP($E452,$D$6:$AI$660,P$2,)/VLOOKUP($E452,$D$6:$AI$660,3,))*$F452</f>
        <v>0</v>
      </c>
      <c r="Q452" s="154">
        <f>(VLOOKUP($E452,$D$6:$AI$660,Q$2,)/VLOOKUP($E452,$D$6:$AI$660,3,))*$F452</f>
        <v>0</v>
      </c>
      <c r="R452" s="154">
        <f>(VLOOKUP($E452,$D$6:$AI$660,15,)/VLOOKUP($E452,$D$6:$AI$660,3,))*$F452</f>
        <v>0</v>
      </c>
      <c r="S452" s="154">
        <f>(VLOOKUP($E452,$D$6:$AI$660,16,)/VLOOKUP($E452,$D$6:$AI$660,3,))*$F452</f>
        <v>0</v>
      </c>
      <c r="T452" s="154">
        <f>(VLOOKUP($E452,$D$6:$AI$660,17,)/VLOOKUP($E452,$D$6:$AI$660,3,))*$F452</f>
        <v>0</v>
      </c>
      <c r="U452" s="155">
        <f>SUM(G452:M452)</f>
        <v>1165542.6591343994</v>
      </c>
      <c r="V452" s="140" t="str">
        <f>IF(ABS(F452-U452)&lt;0.01,"ok","err")</f>
        <v>ok</v>
      </c>
    </row>
    <row r="453" spans="1:24">
      <c r="F453" s="16"/>
      <c r="U453" s="155"/>
    </row>
    <row r="454" spans="1:24">
      <c r="A454" s="141" t="s">
        <v>12</v>
      </c>
      <c r="F454" s="16"/>
      <c r="U454" s="155"/>
    </row>
    <row r="455" spans="1:24">
      <c r="A455" s="153" t="s">
        <v>210</v>
      </c>
      <c r="C455" s="147" t="s">
        <v>310</v>
      </c>
      <c r="D455" s="147" t="s">
        <v>386</v>
      </c>
      <c r="E455" s="147" t="s">
        <v>325</v>
      </c>
      <c r="F455" s="154">
        <f>VLOOKUP(C455,'Functional Assignment'!$C$1:$AR$731,19,)</f>
        <v>0</v>
      </c>
      <c r="G455" s="154">
        <f>(VLOOKUP($E455,$D$6:$AI$660,G$2,)/VLOOKUP($E455,$D$6:$AI$660,3,))*$F455</f>
        <v>0</v>
      </c>
      <c r="H455" s="154">
        <f>(VLOOKUP($E455,$D$6:$AI$660,H$2,)/VLOOKUP($E455,$D$6:$AI$660,3,))*$F455</f>
        <v>0</v>
      </c>
      <c r="I455" s="154">
        <f>(VLOOKUP($E455,$D$6:$AI$660,I$2,)/VLOOKUP($E455,$D$6:$AI$660,3,))*$F455</f>
        <v>0</v>
      </c>
      <c r="J455" s="154">
        <f>(VLOOKUP($E455,$D$6:$AI$660,J$2,)/VLOOKUP($E455,$D$6:$AI$660,3,))*$F455</f>
        <v>0</v>
      </c>
      <c r="K455" s="154">
        <f>(VLOOKUP($E455,$D$6:$AI$660,8,)/VLOOKUP($E455,$D$6:$AI$660,3,))*$F455</f>
        <v>0</v>
      </c>
      <c r="L455" s="154">
        <f>(VLOOKUP($E455,$D$6:$AI$660,L$2,)/VLOOKUP($E455,$D$6:$AI$660,3,))*$F455</f>
        <v>0</v>
      </c>
      <c r="M455" s="154">
        <f>(VLOOKUP($E455,$D$6:$AI$660,M$2,)/VLOOKUP($E455,$D$6:$AI$660,3,))*$F455</f>
        <v>0</v>
      </c>
      <c r="N455" s="154">
        <f>(VLOOKUP($E455,$D$6:$AI$660,11,)/VLOOKUP($E455,$D$6:$AI$660,3,))*$F455</f>
        <v>0</v>
      </c>
      <c r="O455" s="154">
        <f>(VLOOKUP($E455,$D$6:$AI$660,O$2,)/VLOOKUP($E455,$D$6:$AI$660,3,))*$F455</f>
        <v>0</v>
      </c>
      <c r="P455" s="154">
        <f>(VLOOKUP($E455,$D$6:$AI$660,P$2,)/VLOOKUP($E455,$D$6:$AI$660,3,))*$F455</f>
        <v>0</v>
      </c>
      <c r="Q455" s="154">
        <f>(VLOOKUP($E455,$D$6:$AI$660,Q$2,)/VLOOKUP($E455,$D$6:$AI$660,3,))*$F455</f>
        <v>0</v>
      </c>
      <c r="R455" s="154">
        <f>(VLOOKUP($E455,$D$6:$AI$660,15,)/VLOOKUP($E455,$D$6:$AI$660,3,))*$F455</f>
        <v>0</v>
      </c>
      <c r="S455" s="154">
        <f>(VLOOKUP($E455,$D$6:$AI$660,16,)/VLOOKUP($E455,$D$6:$AI$660,3,))*$F455</f>
        <v>0</v>
      </c>
      <c r="T455" s="154">
        <f>(VLOOKUP($E455,$D$6:$AI$660,17,)/VLOOKUP($E455,$D$6:$AI$660,3,))*$F455</f>
        <v>0</v>
      </c>
      <c r="U455" s="155">
        <f>SUM(G455:M455)</f>
        <v>0</v>
      </c>
      <c r="V455" s="140" t="str">
        <f>IF(ABS(F455-U455)&lt;0.01,"ok","err")</f>
        <v>ok</v>
      </c>
    </row>
    <row r="456" spans="1:24">
      <c r="F456" s="16"/>
      <c r="U456" s="155"/>
    </row>
    <row r="457" spans="1:24">
      <c r="A457" s="141" t="s">
        <v>13</v>
      </c>
      <c r="F457" s="16"/>
      <c r="U457" s="155"/>
    </row>
    <row r="458" spans="1:24">
      <c r="A458" s="153" t="s">
        <v>210</v>
      </c>
      <c r="C458" s="147" t="s">
        <v>310</v>
      </c>
      <c r="D458" s="147" t="s">
        <v>387</v>
      </c>
      <c r="E458" s="147" t="s">
        <v>326</v>
      </c>
      <c r="F458" s="154">
        <f>VLOOKUP(C458,'Functional Assignment'!$C$1:$AR$731,20,)</f>
        <v>0</v>
      </c>
      <c r="G458" s="154">
        <f>(VLOOKUP($E458,$D$6:$AI$660,G$2,)/VLOOKUP($E458,$D$6:$AI$660,3,))*$F458</f>
        <v>0</v>
      </c>
      <c r="H458" s="154">
        <f>(VLOOKUP($E458,$D$6:$AI$660,H$2,)/VLOOKUP($E458,$D$6:$AI$660,3,))*$F458</f>
        <v>0</v>
      </c>
      <c r="I458" s="154">
        <f>(VLOOKUP($E458,$D$6:$AI$660,I$2,)/VLOOKUP($E458,$D$6:$AI$660,3,))*$F458</f>
        <v>0</v>
      </c>
      <c r="J458" s="154">
        <f>(VLOOKUP($E458,$D$6:$AI$660,J$2,)/VLOOKUP($E458,$D$6:$AI$660,3,))*$F458</f>
        <v>0</v>
      </c>
      <c r="K458" s="154">
        <f>(VLOOKUP($E458,$D$6:$AI$660,8,)/VLOOKUP($E458,$D$6:$AI$660,3,))*$F458</f>
        <v>0</v>
      </c>
      <c r="L458" s="154">
        <f>(VLOOKUP($E458,$D$6:$AI$660,L$2,)/VLOOKUP($E458,$D$6:$AI$660,3,))*$F458</f>
        <v>0</v>
      </c>
      <c r="M458" s="154">
        <f>(VLOOKUP($E458,$D$6:$AI$660,M$2,)/VLOOKUP($E458,$D$6:$AI$660,3,))*$F458</f>
        <v>0</v>
      </c>
      <c r="N458" s="154">
        <f>(VLOOKUP($E458,$D$6:$AI$660,11,)/VLOOKUP($E458,$D$6:$AI$660,3,))*$F458</f>
        <v>0</v>
      </c>
      <c r="O458" s="154">
        <f>(VLOOKUP($E458,$D$6:$AI$660,O$2,)/VLOOKUP($E458,$D$6:$AI$660,3,))*$F458</f>
        <v>0</v>
      </c>
      <c r="P458" s="154">
        <f>(VLOOKUP($E458,$D$6:$AI$660,P$2,)/VLOOKUP($E458,$D$6:$AI$660,3,))*$F458</f>
        <v>0</v>
      </c>
      <c r="Q458" s="154">
        <f>(VLOOKUP($E458,$D$6:$AI$660,Q$2,)/VLOOKUP($E458,$D$6:$AI$660,3,))*$F458</f>
        <v>0</v>
      </c>
      <c r="R458" s="154">
        <f>(VLOOKUP($E458,$D$6:$AI$660,15,)/VLOOKUP($E458,$D$6:$AI$660,3,))*$F458</f>
        <v>0</v>
      </c>
      <c r="S458" s="154">
        <f>(VLOOKUP($E458,$D$6:$AI$660,16,)/VLOOKUP($E458,$D$6:$AI$660,3,))*$F458</f>
        <v>0</v>
      </c>
      <c r="T458" s="154">
        <f>(VLOOKUP($E458,$D$6:$AI$660,17,)/VLOOKUP($E458,$D$6:$AI$660,3,))*$F458</f>
        <v>0</v>
      </c>
      <c r="U458" s="155">
        <f>SUM(G458:M458)</f>
        <v>0</v>
      </c>
      <c r="V458" s="140" t="str">
        <f>IF(ABS(F458-U458)&lt;0.01,"ok","err")</f>
        <v>ok</v>
      </c>
    </row>
    <row r="459" spans="1:24">
      <c r="F459" s="16"/>
      <c r="U459" s="155"/>
    </row>
    <row r="460" spans="1:24">
      <c r="A460" s="147" t="s">
        <v>14</v>
      </c>
      <c r="D460" s="147" t="s">
        <v>388</v>
      </c>
      <c r="F460" s="154">
        <f t="shared" ref="F460:T460" si="140">F423+F428+F433+F436+F439+F446+F449+F452+F455+F458</f>
        <v>12821010.591184497</v>
      </c>
      <c r="G460" s="154">
        <f t="shared" si="140"/>
        <v>9838045.8884312939</v>
      </c>
      <c r="H460" s="154">
        <f t="shared" si="140"/>
        <v>2618397.3885073792</v>
      </c>
      <c r="I460" s="154">
        <f t="shared" si="140"/>
        <v>154041.32613374578</v>
      </c>
      <c r="J460" s="154">
        <f t="shared" si="140"/>
        <v>5556.5926427515424</v>
      </c>
      <c r="K460" s="154">
        <f t="shared" si="140"/>
        <v>202497.10244419007</v>
      </c>
      <c r="L460" s="154">
        <f t="shared" si="140"/>
        <v>2472.2930251367666</v>
      </c>
      <c r="M460" s="154">
        <f t="shared" si="140"/>
        <v>0</v>
      </c>
      <c r="N460" s="154">
        <f t="shared" si="140"/>
        <v>0</v>
      </c>
      <c r="O460" s="154">
        <f t="shared" si="140"/>
        <v>0</v>
      </c>
      <c r="P460" s="154">
        <f t="shared" si="140"/>
        <v>0</v>
      </c>
      <c r="Q460" s="154">
        <f t="shared" si="140"/>
        <v>0</v>
      </c>
      <c r="R460" s="154">
        <f t="shared" si="140"/>
        <v>0</v>
      </c>
      <c r="S460" s="154">
        <f t="shared" si="140"/>
        <v>0</v>
      </c>
      <c r="T460" s="154">
        <f t="shared" si="140"/>
        <v>0</v>
      </c>
      <c r="U460" s="155">
        <f>SUM(G460:M460)</f>
        <v>12821010.591184499</v>
      </c>
      <c r="V460" s="140" t="str">
        <f>IF(ABS(F460-U460)&lt;0.01,"ok","err")</f>
        <v>ok</v>
      </c>
      <c r="W460" s="155"/>
      <c r="X460" s="140"/>
    </row>
    <row r="461" spans="1:24">
      <c r="U461" s="155"/>
    </row>
    <row r="462" spans="1:24">
      <c r="U462" s="155"/>
    </row>
    <row r="463" spans="1:24">
      <c r="A463" s="152" t="s">
        <v>365</v>
      </c>
      <c r="U463" s="155"/>
    </row>
    <row r="464" spans="1:24">
      <c r="G464" s="158"/>
      <c r="U464" s="155"/>
    </row>
    <row r="465" spans="1:25">
      <c r="A465" s="141" t="s">
        <v>218</v>
      </c>
      <c r="U465" s="155"/>
    </row>
    <row r="466" spans="1:25">
      <c r="A466" s="153" t="s">
        <v>303</v>
      </c>
      <c r="E466" s="147" t="s">
        <v>785</v>
      </c>
      <c r="F466" s="16">
        <v>334037984.83669817</v>
      </c>
      <c r="G466" s="16">
        <f t="shared" ref="G466:J469" si="141">(VLOOKUP($E466,$D$6:$AI$663,G$2,)/VLOOKUP($E466,$D$6:$AI$663,3,))*$F466</f>
        <v>220393501.10999998</v>
      </c>
      <c r="H466" s="16">
        <f t="shared" si="141"/>
        <v>94537965.239999995</v>
      </c>
      <c r="I466" s="16">
        <f t="shared" si="141"/>
        <v>9504796.0899999999</v>
      </c>
      <c r="J466" s="16">
        <f t="shared" si="141"/>
        <v>2376092.09</v>
      </c>
      <c r="K466" s="16">
        <f>(VLOOKUP($E466,$D$6:$AI$663,8,)/VLOOKUP($E466,$D$6:$AI$663,3,))*$F466</f>
        <v>6987865.7800000003</v>
      </c>
      <c r="L466" s="16">
        <f>(VLOOKUP($E466,$D$6:$AI$663,L$2,)/VLOOKUP($E466,$D$6:$AI$663,3,))*$F466</f>
        <v>237764.52669826537</v>
      </c>
      <c r="M466" s="16">
        <f>(VLOOKUP($E466,$D$6:$AI$663,M$2,)/VLOOKUP($E466,$D$6:$AI$663,3,))*$F466</f>
        <v>0</v>
      </c>
      <c r="N466" s="16">
        <v>0</v>
      </c>
      <c r="O466" s="16">
        <f t="shared" ref="O466:Q468" si="142">(VLOOKUP($E466,$D$6:$AI$663,O$2,)/VLOOKUP($E466,$D$6:$AI$663,3,))*$F466</f>
        <v>0</v>
      </c>
      <c r="P466" s="16">
        <f t="shared" si="142"/>
        <v>0</v>
      </c>
      <c r="Q466" s="16">
        <f t="shared" si="142"/>
        <v>0</v>
      </c>
      <c r="R466" s="16">
        <v>0</v>
      </c>
      <c r="S466" s="16">
        <v>0</v>
      </c>
      <c r="T466" s="16">
        <v>0</v>
      </c>
      <c r="U466" s="155">
        <f>SUM(G466:M466)</f>
        <v>334037984.83669817</v>
      </c>
      <c r="V466" s="140" t="str">
        <f>IF(ABS(F466-U466)&lt;2,"ok","err")</f>
        <v>ok</v>
      </c>
      <c r="W466" s="155"/>
      <c r="X466" s="140"/>
    </row>
    <row r="467" spans="1:25">
      <c r="A467" s="147" t="s">
        <v>771</v>
      </c>
      <c r="E467" s="147" t="s">
        <v>785</v>
      </c>
      <c r="F467" s="16">
        <v>5458606.8618000001</v>
      </c>
      <c r="G467" s="16">
        <f t="shared" si="141"/>
        <v>3601511.0019398094</v>
      </c>
      <c r="H467" s="16">
        <f t="shared" si="141"/>
        <v>1544870.9703237915</v>
      </c>
      <c r="I467" s="16">
        <f t="shared" si="141"/>
        <v>155320.49500971552</v>
      </c>
      <c r="J467" s="16">
        <f t="shared" si="141"/>
        <v>38828.376338946742</v>
      </c>
      <c r="K467" s="16">
        <f>(VLOOKUP($E467,$D$6:$AI$663,8,)/VLOOKUP($E467,$D$6:$AI$663,3,))*$F467</f>
        <v>114190.64246448784</v>
      </c>
      <c r="L467" s="16">
        <f>(VLOOKUP($E467,$D$6:$AI$663,L$2,)/VLOOKUP($E467,$D$6:$AI$663,3,))*$F467</f>
        <v>3885.3757232497665</v>
      </c>
      <c r="M467" s="16">
        <f>(VLOOKUP($E467,$D$6:$AI$663,M$2,)/VLOOKUP($E467,$D$6:$AI$663,3,))*$F467</f>
        <v>0</v>
      </c>
      <c r="N467" s="16">
        <v>0</v>
      </c>
      <c r="O467" s="16">
        <f t="shared" si="142"/>
        <v>0</v>
      </c>
      <c r="P467" s="16">
        <f t="shared" si="142"/>
        <v>0</v>
      </c>
      <c r="Q467" s="16">
        <f t="shared" si="142"/>
        <v>0</v>
      </c>
      <c r="R467" s="16">
        <v>0</v>
      </c>
      <c r="S467" s="16">
        <v>0</v>
      </c>
      <c r="T467" s="16">
        <v>0</v>
      </c>
      <c r="U467" s="155">
        <f>SUM(G467:M467)</f>
        <v>5458606.861800001</v>
      </c>
      <c r="V467" s="140" t="str">
        <f>IF(ABS(F467-U467)&lt;2,"ok","err")</f>
        <v>ok</v>
      </c>
      <c r="W467" s="155"/>
      <c r="X467" s="140"/>
    </row>
    <row r="468" spans="1:25">
      <c r="A468" s="147" t="s">
        <v>654</v>
      </c>
      <c r="E468" s="147" t="s">
        <v>676</v>
      </c>
      <c r="F468" s="154">
        <v>1234768</v>
      </c>
      <c r="G468" s="16">
        <f t="shared" si="141"/>
        <v>1028042.134094503</v>
      </c>
      <c r="H468" s="16">
        <f t="shared" si="141"/>
        <v>189000.81465052479</v>
      </c>
      <c r="I468" s="16">
        <f t="shared" si="141"/>
        <v>13032.042851115501</v>
      </c>
      <c r="J468" s="16">
        <f t="shared" si="141"/>
        <v>4693.0084038566065</v>
      </c>
      <c r="K468" s="16">
        <f>(VLOOKUP($E468,$D$6:$AI$663,8,)/VLOOKUP($E468,$D$6:$AI$663,3,))*$F468</f>
        <v>0</v>
      </c>
      <c r="L468" s="16">
        <f>(VLOOKUP($E468,$D$6:$AI$663,L$2,)/VLOOKUP($E468,$D$6:$AI$663,3,))*$F468</f>
        <v>0</v>
      </c>
      <c r="M468" s="16">
        <f>SUM(O468:T468)</f>
        <v>0</v>
      </c>
      <c r="N468" s="16">
        <v>0</v>
      </c>
      <c r="O468" s="16">
        <f t="shared" si="142"/>
        <v>0</v>
      </c>
      <c r="P468" s="16">
        <f t="shared" si="142"/>
        <v>0</v>
      </c>
      <c r="Q468" s="16">
        <f t="shared" si="142"/>
        <v>0</v>
      </c>
      <c r="R468" s="16">
        <v>0</v>
      </c>
      <c r="S468" s="16">
        <v>0</v>
      </c>
      <c r="T468" s="16">
        <v>0</v>
      </c>
      <c r="U468" s="155">
        <f>SUM(G468:M468)</f>
        <v>1234768</v>
      </c>
      <c r="V468" s="140" t="str">
        <f>IF(ABS(F468-U468)&lt;1,"ok","err")</f>
        <v>ok</v>
      </c>
      <c r="W468" s="155"/>
      <c r="X468" s="140"/>
    </row>
    <row r="469" spans="1:25">
      <c r="A469" s="147" t="s">
        <v>703</v>
      </c>
      <c r="D469" s="147" t="s">
        <v>220</v>
      </c>
      <c r="E469" s="159" t="s">
        <v>729</v>
      </c>
      <c r="F469" s="16">
        <v>310022.12219066662</v>
      </c>
      <c r="G469" s="16">
        <f t="shared" si="141"/>
        <v>88963.306391088496</v>
      </c>
      <c r="H469" s="16">
        <f t="shared" si="141"/>
        <v>221058.81579957815</v>
      </c>
      <c r="I469" s="16">
        <f t="shared" si="141"/>
        <v>0</v>
      </c>
      <c r="J469" s="16">
        <f t="shared" si="141"/>
        <v>0</v>
      </c>
      <c r="K469" s="16">
        <f>(VLOOKUP($E469,$D$6:$AI$663,8,)/VLOOKUP($E469,$D$6:$AI$663,3,))*$F469</f>
        <v>0</v>
      </c>
      <c r="L469" s="16">
        <f>(VLOOKUP($E469,$D$6:$AI$663,L$2,)/VLOOKUP($E469,$D$6:$AI$663,3,))*$F469</f>
        <v>0</v>
      </c>
      <c r="M469" s="16">
        <f>SUM(O469:T469)</f>
        <v>0</v>
      </c>
      <c r="N469" s="16">
        <f>(VLOOKUP($E469,$D$6:$AI$660,11,)/VLOOKUP($E469,$D$6:$AI$660,3,))*$F469</f>
        <v>0</v>
      </c>
      <c r="O469" s="16">
        <f>(VLOOKUP($E469,$D$6:$AI$660,O$2,)/VLOOKUP($E469,$D$6:$AI$660,3,))*$F469</f>
        <v>0</v>
      </c>
      <c r="P469" s="16">
        <f>(VLOOKUP($E469,$D$6:$AI$660,P$2,)/VLOOKUP($E469,$D$6:$AI$660,3,))*$F469</f>
        <v>0</v>
      </c>
      <c r="Q469" s="16">
        <f>(VLOOKUP($E469,$D$6:$AI$660,Q$2,)/VLOOKUP($E469,$D$6:$AI$660,3,))*$F469</f>
        <v>0</v>
      </c>
      <c r="R469" s="16">
        <f>(VLOOKUP($E469,$D$6:$AI$660,15,)/VLOOKUP($E469,$D$6:$AI$660,3,))*$F469</f>
        <v>0</v>
      </c>
      <c r="S469" s="16">
        <f>(VLOOKUP($E469,$D$6:$AI$660,16,)/VLOOKUP($E469,$D$6:$AI$660,3,))*$F469</f>
        <v>0</v>
      </c>
      <c r="T469" s="16">
        <f>(VLOOKUP($E469,$D$6:$AI$660,17,)/VLOOKUP($E469,$D$6:$AI$660,3,))*$F469</f>
        <v>0</v>
      </c>
      <c r="U469" s="155">
        <f>SUM(G469:M469)</f>
        <v>310022.12219066662</v>
      </c>
      <c r="V469" s="140" t="str">
        <f>IF(ABS(F469-U469)&lt;0.01,"ok","err")</f>
        <v>ok</v>
      </c>
      <c r="W469" s="155"/>
      <c r="X469" s="140"/>
    </row>
    <row r="470" spans="1:25">
      <c r="U470" s="155"/>
    </row>
    <row r="471" spans="1:25">
      <c r="A471" s="147" t="s">
        <v>767</v>
      </c>
      <c r="D471" s="147" t="s">
        <v>221</v>
      </c>
      <c r="F471" s="155">
        <f t="shared" ref="F471:T471" si="143">SUM(F466:F470)</f>
        <v>341041381.82068884</v>
      </c>
      <c r="G471" s="155">
        <f t="shared" si="143"/>
        <v>225112017.55242538</v>
      </c>
      <c r="H471" s="155">
        <f t="shared" si="143"/>
        <v>96492895.84077388</v>
      </c>
      <c r="I471" s="155">
        <f t="shared" si="143"/>
        <v>9673148.6278608292</v>
      </c>
      <c r="J471" s="155">
        <f t="shared" si="143"/>
        <v>2419613.4747428033</v>
      </c>
      <c r="K471" s="155">
        <f t="shared" si="143"/>
        <v>7102056.4224644881</v>
      </c>
      <c r="L471" s="155">
        <f t="shared" si="143"/>
        <v>241649.90242151514</v>
      </c>
      <c r="M471" s="155">
        <f t="shared" si="143"/>
        <v>0</v>
      </c>
      <c r="N471" s="155">
        <f t="shared" si="143"/>
        <v>0</v>
      </c>
      <c r="O471" s="155">
        <f t="shared" si="143"/>
        <v>0</v>
      </c>
      <c r="P471" s="155">
        <f t="shared" si="143"/>
        <v>0</v>
      </c>
      <c r="Q471" s="155">
        <f t="shared" si="143"/>
        <v>0</v>
      </c>
      <c r="R471" s="155">
        <f t="shared" si="143"/>
        <v>0</v>
      </c>
      <c r="S471" s="155">
        <f t="shared" si="143"/>
        <v>0</v>
      </c>
      <c r="T471" s="155">
        <f t="shared" si="143"/>
        <v>0</v>
      </c>
      <c r="U471" s="155">
        <f>SUM(G471:M471)</f>
        <v>341041381.82068896</v>
      </c>
      <c r="V471" s="140" t="str">
        <f>IF(ABS(F471-U471)&lt;2,"ok","err")</f>
        <v>ok</v>
      </c>
      <c r="W471" s="155"/>
      <c r="X471" s="140"/>
    </row>
    <row r="472" spans="1:25">
      <c r="F472" s="155"/>
      <c r="U472" s="155"/>
    </row>
    <row r="473" spans="1:25">
      <c r="A473" s="141" t="s">
        <v>655</v>
      </c>
      <c r="Q473" s="155"/>
      <c r="U473" s="155"/>
    </row>
    <row r="474" spans="1:25">
      <c r="A474" s="147" t="s">
        <v>873</v>
      </c>
      <c r="F474" s="16">
        <v>-18939886</v>
      </c>
      <c r="G474" s="16">
        <v>-12833668</v>
      </c>
      <c r="H474" s="16">
        <v>-5604314</v>
      </c>
      <c r="I474" s="16">
        <v>-378798</v>
      </c>
      <c r="J474" s="16">
        <v>-123106</v>
      </c>
      <c r="K474" s="16"/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55">
        <v>0</v>
      </c>
      <c r="S474" s="155">
        <v>0</v>
      </c>
      <c r="T474" s="155">
        <v>0</v>
      </c>
      <c r="U474" s="16">
        <f>SUM(G474:M474)</f>
        <v>-18939886</v>
      </c>
      <c r="V474" s="140" t="str">
        <f>IF(ABS(F474-U474=0),"ok","err")</f>
        <v>ok</v>
      </c>
      <c r="W474" s="19"/>
      <c r="X474" s="140"/>
      <c r="Y474" s="156">
        <f>+F474-U474</f>
        <v>0</v>
      </c>
    </row>
    <row r="475" spans="1:25">
      <c r="A475" s="147" t="s">
        <v>772</v>
      </c>
      <c r="E475" s="147" t="s">
        <v>783</v>
      </c>
      <c r="F475" s="16">
        <v>-167683934</v>
      </c>
      <c r="G475" s="154">
        <f t="shared" ref="G475:J477" si="144">(VLOOKUP($E475,$D$6:$AI$660,G$2,)/VLOOKUP($E475,$D$6:$AI$660,3,))*$F475</f>
        <v>-105116312.00000001</v>
      </c>
      <c r="H475" s="154">
        <f t="shared" si="144"/>
        <v>-54544206</v>
      </c>
      <c r="I475" s="154">
        <f t="shared" si="144"/>
        <v>-6048391</v>
      </c>
      <c r="J475" s="154">
        <f t="shared" si="144"/>
        <v>-1975025</v>
      </c>
      <c r="K475" s="154">
        <f>(VLOOKUP($E475,$D$6:$AI$660,8,)/VLOOKUP($E475,$D$6:$AI$660,3,))*$F475</f>
        <v>0</v>
      </c>
      <c r="L475" s="154">
        <f t="shared" ref="L475:M477" si="145">(VLOOKUP($E475,$D$6:$AI$660,L$2,)/VLOOKUP($E475,$D$6:$AI$660,3,))*$F475</f>
        <v>0</v>
      </c>
      <c r="M475" s="154">
        <f t="shared" si="145"/>
        <v>0</v>
      </c>
      <c r="N475" s="154">
        <f>(VLOOKUP($E475,$D$6:$AI$660,11,)/VLOOKUP($E475,$D$6:$AI$660,3,))*$F475</f>
        <v>0</v>
      </c>
      <c r="O475" s="154">
        <f t="shared" ref="O475:Q477" si="146">(VLOOKUP($E475,$D$6:$AI$660,O$2,)/VLOOKUP($E475,$D$6:$AI$660,3,))*$F475</f>
        <v>0</v>
      </c>
      <c r="P475" s="154">
        <f t="shared" si="146"/>
        <v>0</v>
      </c>
      <c r="Q475" s="154">
        <f t="shared" si="146"/>
        <v>0</v>
      </c>
      <c r="U475" s="155">
        <f>SUM(G475:M475)</f>
        <v>-167683934</v>
      </c>
      <c r="V475" s="140" t="str">
        <f>IF(ABS((F475-U475)&lt;0.001),"ok","err")</f>
        <v>ok</v>
      </c>
      <c r="W475" s="155"/>
      <c r="X475" s="140"/>
    </row>
    <row r="476" spans="1:25">
      <c r="A476" s="147" t="s">
        <v>882</v>
      </c>
      <c r="E476" s="147" t="s">
        <v>785</v>
      </c>
      <c r="F476" s="16">
        <v>-1840503.8</v>
      </c>
      <c r="G476" s="154">
        <f t="shared" si="144"/>
        <v>-1214338.1732067473</v>
      </c>
      <c r="H476" s="154">
        <f t="shared" si="144"/>
        <v>-520891.31226662867</v>
      </c>
      <c r="I476" s="154">
        <f t="shared" si="144"/>
        <v>-52370.131889109201</v>
      </c>
      <c r="J476" s="154">
        <f t="shared" si="144"/>
        <v>-13091.943788766659</v>
      </c>
      <c r="K476" s="154">
        <f>(VLOOKUP($E476,$D$6:$AI$660,8,)/VLOOKUP($E476,$D$6:$AI$660,3,))*$F476</f>
        <v>-38502.188690509087</v>
      </c>
      <c r="L476" s="154">
        <f t="shared" si="145"/>
        <v>-1310.0501582396159</v>
      </c>
      <c r="M476" s="154">
        <f t="shared" si="145"/>
        <v>0</v>
      </c>
      <c r="N476" s="154">
        <f>(VLOOKUP($E476,$D$6:$AI$660,11,)/VLOOKUP($E476,$D$6:$AI$660,3,))*$F476</f>
        <v>0</v>
      </c>
      <c r="O476" s="154">
        <f t="shared" si="146"/>
        <v>0</v>
      </c>
      <c r="P476" s="154">
        <f t="shared" si="146"/>
        <v>0</v>
      </c>
      <c r="Q476" s="154">
        <f t="shared" si="146"/>
        <v>0</v>
      </c>
      <c r="U476" s="155">
        <f>SUM(G476:M476)</f>
        <v>-1840503.8000000007</v>
      </c>
      <c r="V476" s="140" t="str">
        <f>IF(ABS((F476-U476)&lt;0.001),"ok","err")</f>
        <v>ok</v>
      </c>
      <c r="W476" s="155"/>
      <c r="X476" s="140"/>
    </row>
    <row r="477" spans="1:25">
      <c r="A477" s="147" t="s">
        <v>701</v>
      </c>
      <c r="E477" s="147" t="s">
        <v>700</v>
      </c>
      <c r="F477" s="16">
        <v>-4660303</v>
      </c>
      <c r="G477" s="16">
        <f t="shared" si="144"/>
        <v>-1917160.9756932515</v>
      </c>
      <c r="H477" s="16">
        <f t="shared" si="144"/>
        <v>-1064992.432813928</v>
      </c>
      <c r="I477" s="16">
        <f t="shared" si="144"/>
        <v>0</v>
      </c>
      <c r="J477" s="16">
        <f t="shared" si="144"/>
        <v>-6736.8698972382799</v>
      </c>
      <c r="K477" s="16">
        <f>(VLOOKUP($E477,$D$6:$AI$660,8,)/VLOOKUP($E477,$D$6:$AI$660,3,))*$F477</f>
        <v>-1578211.5215017274</v>
      </c>
      <c r="L477" s="16">
        <f t="shared" si="145"/>
        <v>-93201.200093854743</v>
      </c>
      <c r="M477" s="16">
        <f t="shared" si="145"/>
        <v>0</v>
      </c>
      <c r="N477" s="16">
        <f>(VLOOKUP($E477,$D$6:$AI$660,11,)/VLOOKUP($E477,$D$6:$AI$660,3,))*$F477</f>
        <v>0</v>
      </c>
      <c r="O477" s="16">
        <f t="shared" si="146"/>
        <v>0</v>
      </c>
      <c r="P477" s="16">
        <f t="shared" si="146"/>
        <v>0</v>
      </c>
      <c r="Q477" s="16">
        <f t="shared" si="146"/>
        <v>0</v>
      </c>
      <c r="R477" s="16"/>
      <c r="S477" s="16"/>
      <c r="T477" s="16"/>
      <c r="U477" s="155">
        <f>SUM(G477:M477)</f>
        <v>-4660303.0000000009</v>
      </c>
      <c r="V477" s="140" t="str">
        <f>IF(ABS((F477-U477)&lt;0.001),"ok","err")</f>
        <v>ok</v>
      </c>
      <c r="W477" s="16"/>
      <c r="X477" s="140"/>
    </row>
    <row r="478" spans="1:25">
      <c r="A478" s="147" t="s">
        <v>657</v>
      </c>
      <c r="F478" s="155">
        <f t="shared" ref="F478:T478" si="147">SUM(F474:F477)</f>
        <v>-193124626.80000001</v>
      </c>
      <c r="G478" s="155">
        <f t="shared" si="147"/>
        <v>-121081479.14890002</v>
      </c>
      <c r="H478" s="155">
        <f t="shared" si="147"/>
        <v>-61734403.745080553</v>
      </c>
      <c r="I478" s="155">
        <f t="shared" si="147"/>
        <v>-6479559.1318891095</v>
      </c>
      <c r="J478" s="155">
        <f t="shared" si="147"/>
        <v>-2117959.8136860053</v>
      </c>
      <c r="K478" s="155">
        <f t="shared" si="147"/>
        <v>-1616713.7101922366</v>
      </c>
      <c r="L478" s="155">
        <f t="shared" si="147"/>
        <v>-94511.250252094353</v>
      </c>
      <c r="M478" s="155">
        <f t="shared" si="147"/>
        <v>0</v>
      </c>
      <c r="N478" s="155">
        <f t="shared" si="147"/>
        <v>0</v>
      </c>
      <c r="O478" s="155">
        <f t="shared" si="147"/>
        <v>0</v>
      </c>
      <c r="P478" s="155">
        <f t="shared" si="147"/>
        <v>0</v>
      </c>
      <c r="Q478" s="155">
        <f t="shared" si="147"/>
        <v>0</v>
      </c>
      <c r="R478" s="155">
        <f t="shared" si="147"/>
        <v>0</v>
      </c>
      <c r="S478" s="155">
        <f t="shared" si="147"/>
        <v>0</v>
      </c>
      <c r="T478" s="155">
        <f t="shared" si="147"/>
        <v>0</v>
      </c>
      <c r="U478" s="155">
        <f>SUM(G478:M478)</f>
        <v>-193124626.80000001</v>
      </c>
      <c r="V478" s="140" t="str">
        <f>IF(ABS(F478-U478)&lt;0.01,"ok","err")</f>
        <v>ok</v>
      </c>
      <c r="W478" s="155"/>
      <c r="X478" s="140"/>
    </row>
    <row r="479" spans="1:25"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40"/>
    </row>
    <row r="480" spans="1:25">
      <c r="A480" s="141" t="s">
        <v>662</v>
      </c>
      <c r="D480" s="147" t="s">
        <v>788</v>
      </c>
      <c r="E480" s="155"/>
      <c r="F480" s="155">
        <f t="shared" ref="F480:T480" si="148">F471+F478</f>
        <v>147916755.02068883</v>
      </c>
      <c r="G480" s="155">
        <f t="shared" si="148"/>
        <v>104030538.40352537</v>
      </c>
      <c r="H480" s="155">
        <f t="shared" si="148"/>
        <v>34758492.095693327</v>
      </c>
      <c r="I480" s="155">
        <f t="shared" si="148"/>
        <v>3193589.4959717197</v>
      </c>
      <c r="J480" s="155">
        <f t="shared" si="148"/>
        <v>301653.66105679795</v>
      </c>
      <c r="K480" s="155">
        <f t="shared" si="148"/>
        <v>5485342.712272251</v>
      </c>
      <c r="L480" s="155">
        <f t="shared" si="148"/>
        <v>147138.65216942079</v>
      </c>
      <c r="M480" s="155">
        <f t="shared" si="148"/>
        <v>0</v>
      </c>
      <c r="N480" s="155">
        <f t="shared" si="148"/>
        <v>0</v>
      </c>
      <c r="O480" s="155">
        <f t="shared" si="148"/>
        <v>0</v>
      </c>
      <c r="P480" s="155">
        <f t="shared" si="148"/>
        <v>0</v>
      </c>
      <c r="Q480" s="155">
        <f t="shared" si="148"/>
        <v>0</v>
      </c>
      <c r="R480" s="155">
        <f t="shared" si="148"/>
        <v>0</v>
      </c>
      <c r="S480" s="155">
        <f t="shared" si="148"/>
        <v>0</v>
      </c>
      <c r="T480" s="155">
        <f t="shared" si="148"/>
        <v>0</v>
      </c>
      <c r="U480" s="155">
        <f>SUM(G480:M480)</f>
        <v>147916755.02068886</v>
      </c>
      <c r="V480" s="140" t="str">
        <f>IF(ABS(F480-U480)&lt;2,"ok","err")</f>
        <v>ok</v>
      </c>
      <c r="W480" s="155"/>
      <c r="X480" s="140"/>
    </row>
    <row r="481" spans="1:24">
      <c r="A481" s="155"/>
      <c r="U481" s="155"/>
    </row>
    <row r="482" spans="1:24">
      <c r="A482" s="141" t="s">
        <v>305</v>
      </c>
      <c r="U482" s="155"/>
    </row>
    <row r="483" spans="1:24">
      <c r="A483" s="153" t="s">
        <v>222</v>
      </c>
      <c r="F483" s="155">
        <f t="shared" ref="F483:T483" si="149">F143</f>
        <v>69416767.277806863</v>
      </c>
      <c r="G483" s="155">
        <f t="shared" si="149"/>
        <v>52448152.551797725</v>
      </c>
      <c r="H483" s="155">
        <f t="shared" si="149"/>
        <v>14440988.761191713</v>
      </c>
      <c r="I483" s="155">
        <f t="shared" si="149"/>
        <v>934393.33039841417</v>
      </c>
      <c r="J483" s="155">
        <f t="shared" si="149"/>
        <v>41641.01311996732</v>
      </c>
      <c r="K483" s="155">
        <f t="shared" si="149"/>
        <v>1516584.1501017779</v>
      </c>
      <c r="L483" s="155">
        <f t="shared" si="149"/>
        <v>35007.47119725767</v>
      </c>
      <c r="M483" s="155">
        <f t="shared" si="149"/>
        <v>0</v>
      </c>
      <c r="N483" s="155">
        <f t="shared" si="149"/>
        <v>0</v>
      </c>
      <c r="O483" s="155">
        <f t="shared" si="149"/>
        <v>0</v>
      </c>
      <c r="P483" s="155">
        <f t="shared" si="149"/>
        <v>0</v>
      </c>
      <c r="Q483" s="155">
        <f t="shared" si="149"/>
        <v>0</v>
      </c>
      <c r="R483" s="155">
        <f t="shared" si="149"/>
        <v>0</v>
      </c>
      <c r="S483" s="155">
        <f t="shared" si="149"/>
        <v>0</v>
      </c>
      <c r="T483" s="155">
        <f t="shared" si="149"/>
        <v>0</v>
      </c>
      <c r="U483" s="155">
        <f>SUM(G483:M483)</f>
        <v>69416767.277806863</v>
      </c>
      <c r="V483" s="140" t="str">
        <f>IF(ABS(F483-U483)&lt;0.01,"ok","err")</f>
        <v>ok</v>
      </c>
      <c r="W483" s="155"/>
      <c r="X483" s="140"/>
    </row>
    <row r="484" spans="1:24">
      <c r="A484" s="153" t="s">
        <v>223</v>
      </c>
      <c r="F484" s="16">
        <f t="shared" ref="F484:T484" si="150">F236</f>
        <v>29156819.934268154</v>
      </c>
      <c r="G484" s="16">
        <f t="shared" si="150"/>
        <v>22643580.181327078</v>
      </c>
      <c r="H484" s="16">
        <f t="shared" si="150"/>
        <v>5761447.3643373353</v>
      </c>
      <c r="I484" s="16">
        <f t="shared" si="150"/>
        <v>311225.08055582736</v>
      </c>
      <c r="J484" s="16">
        <f t="shared" si="150"/>
        <v>14078.583571317477</v>
      </c>
      <c r="K484" s="16">
        <f t="shared" si="150"/>
        <v>421212.0684381451</v>
      </c>
      <c r="L484" s="16">
        <f t="shared" si="150"/>
        <v>5276.6560384534841</v>
      </c>
      <c r="M484" s="16">
        <f t="shared" si="150"/>
        <v>0</v>
      </c>
      <c r="N484" s="16">
        <f t="shared" si="150"/>
        <v>0</v>
      </c>
      <c r="O484" s="16">
        <f t="shared" si="150"/>
        <v>0</v>
      </c>
      <c r="P484" s="16">
        <f t="shared" si="150"/>
        <v>0</v>
      </c>
      <c r="Q484" s="16">
        <f t="shared" si="150"/>
        <v>0</v>
      </c>
      <c r="R484" s="16">
        <f t="shared" si="150"/>
        <v>0</v>
      </c>
      <c r="S484" s="16">
        <f t="shared" si="150"/>
        <v>0</v>
      </c>
      <c r="T484" s="16">
        <f t="shared" si="150"/>
        <v>0</v>
      </c>
      <c r="U484" s="155">
        <f>SUM(G484:M484)</f>
        <v>29156819.934268158</v>
      </c>
      <c r="V484" s="140" t="str">
        <f>IF(ABS(F484-U484)&lt;0.01,"ok","err")</f>
        <v>ok</v>
      </c>
      <c r="W484" s="155"/>
      <c r="X484" s="140"/>
    </row>
    <row r="485" spans="1:24">
      <c r="A485" s="159" t="s">
        <v>748</v>
      </c>
      <c r="F485" s="16">
        <f t="shared" ref="F485:Q485" si="151">F281+F325+F369</f>
        <v>-69069.999999999985</v>
      </c>
      <c r="G485" s="16">
        <f t="shared" si="151"/>
        <v>-53056.828906045092</v>
      </c>
      <c r="H485" s="16">
        <f t="shared" si="151"/>
        <v>-14049.037954856713</v>
      </c>
      <c r="I485" s="16">
        <f t="shared" si="151"/>
        <v>-822.13547671323522</v>
      </c>
      <c r="J485" s="16">
        <f t="shared" si="151"/>
        <v>-30.246910353534446</v>
      </c>
      <c r="K485" s="16">
        <f t="shared" si="151"/>
        <v>-1098.3105733309906</v>
      </c>
      <c r="L485" s="16">
        <f t="shared" si="151"/>
        <v>-13.44017870042228</v>
      </c>
      <c r="M485" s="16">
        <f t="shared" si="151"/>
        <v>0</v>
      </c>
      <c r="N485" s="16">
        <f t="shared" si="151"/>
        <v>0</v>
      </c>
      <c r="O485" s="16">
        <f t="shared" si="151"/>
        <v>0</v>
      </c>
      <c r="P485" s="16">
        <f t="shared" si="151"/>
        <v>0</v>
      </c>
      <c r="Q485" s="16">
        <f t="shared" si="151"/>
        <v>0</v>
      </c>
      <c r="R485" s="16">
        <f t="shared" ref="R485:T486" si="152">R412</f>
        <v>0</v>
      </c>
      <c r="S485" s="16">
        <f t="shared" si="152"/>
        <v>0</v>
      </c>
      <c r="T485" s="16">
        <f t="shared" si="152"/>
        <v>0</v>
      </c>
      <c r="U485" s="155">
        <f>SUM(G485:M485)</f>
        <v>-69069.999999999985</v>
      </c>
      <c r="V485" s="140" t="str">
        <f>IF(ABS(F485-U485)&lt;0.01,"ok","err")</f>
        <v>ok</v>
      </c>
      <c r="W485" s="155"/>
      <c r="X485" s="140"/>
    </row>
    <row r="486" spans="1:24">
      <c r="A486" s="153" t="s">
        <v>224</v>
      </c>
      <c r="F486" s="16">
        <f t="shared" ref="F486:Q486" si="153">F413</f>
        <v>8165306.4399999985</v>
      </c>
      <c r="G486" s="16">
        <f t="shared" si="153"/>
        <v>6265548.1702087913</v>
      </c>
      <c r="H486" s="16">
        <f t="shared" si="153"/>
        <v>1667576.585075049</v>
      </c>
      <c r="I486" s="16">
        <f t="shared" si="153"/>
        <v>98104.172316248776</v>
      </c>
      <c r="J486" s="16">
        <f t="shared" si="153"/>
        <v>3538.8225731216753</v>
      </c>
      <c r="K486" s="16">
        <f t="shared" si="153"/>
        <v>128964.16260710121</v>
      </c>
      <c r="L486" s="16">
        <f t="shared" si="153"/>
        <v>1574.5272196870787</v>
      </c>
      <c r="M486" s="16">
        <f t="shared" si="153"/>
        <v>0</v>
      </c>
      <c r="N486" s="16">
        <f t="shared" si="153"/>
        <v>0</v>
      </c>
      <c r="O486" s="16">
        <f t="shared" si="153"/>
        <v>0</v>
      </c>
      <c r="P486" s="16">
        <f t="shared" si="153"/>
        <v>0</v>
      </c>
      <c r="Q486" s="16">
        <f t="shared" si="153"/>
        <v>0</v>
      </c>
      <c r="R486" s="16">
        <f t="shared" si="152"/>
        <v>0</v>
      </c>
      <c r="S486" s="16">
        <f t="shared" si="152"/>
        <v>0</v>
      </c>
      <c r="T486" s="16">
        <f t="shared" si="152"/>
        <v>0</v>
      </c>
      <c r="U486" s="155">
        <f>SUM(G486:M486)</f>
        <v>8165306.4399999976</v>
      </c>
      <c r="V486" s="140" t="str">
        <f>IF(ABS(F486-U486)&lt;0.01,"ok","err")</f>
        <v>ok</v>
      </c>
      <c r="W486" s="155"/>
      <c r="X486" s="140"/>
    </row>
    <row r="487" spans="1:24">
      <c r="A487" s="147" t="s">
        <v>225</v>
      </c>
      <c r="D487" s="147" t="s">
        <v>226</v>
      </c>
      <c r="F487" s="155">
        <f>SUM(F483:F486)</f>
        <v>106669823.65207502</v>
      </c>
      <c r="G487" s="155">
        <f t="shared" ref="G487:T487" si="154">SUM(G483:G486)</f>
        <v>81304224.07442756</v>
      </c>
      <c r="H487" s="155">
        <f t="shared" si="154"/>
        <v>21855963.672649242</v>
      </c>
      <c r="I487" s="155">
        <f t="shared" si="154"/>
        <v>1342900.4477937771</v>
      </c>
      <c r="J487" s="155">
        <f t="shared" si="154"/>
        <v>59228.172354052935</v>
      </c>
      <c r="K487" s="155">
        <f t="shared" si="154"/>
        <v>2065662.0705736931</v>
      </c>
      <c r="L487" s="155">
        <f t="shared" si="154"/>
        <v>41845.214276697807</v>
      </c>
      <c r="M487" s="155">
        <f t="shared" si="154"/>
        <v>0</v>
      </c>
      <c r="N487" s="155">
        <f t="shared" si="154"/>
        <v>0</v>
      </c>
      <c r="O487" s="155">
        <f t="shared" si="154"/>
        <v>0</v>
      </c>
      <c r="P487" s="155">
        <f t="shared" si="154"/>
        <v>0</v>
      </c>
      <c r="Q487" s="155">
        <f t="shared" si="154"/>
        <v>0</v>
      </c>
      <c r="R487" s="155">
        <f t="shared" si="154"/>
        <v>0</v>
      </c>
      <c r="S487" s="155">
        <f t="shared" si="154"/>
        <v>0</v>
      </c>
      <c r="T487" s="155">
        <f t="shared" si="154"/>
        <v>0</v>
      </c>
      <c r="U487" s="155">
        <f>SUM(G487:M487)</f>
        <v>106669823.65207504</v>
      </c>
      <c r="V487" s="140" t="str">
        <f>IF(ABS(F487-U487)&lt;0.01,"ok","err")</f>
        <v>ok</v>
      </c>
      <c r="W487" s="155"/>
      <c r="X487" s="140"/>
    </row>
    <row r="488" spans="1:24"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40"/>
    </row>
    <row r="489" spans="1:24">
      <c r="A489" s="161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40"/>
    </row>
    <row r="490" spans="1:24">
      <c r="A490" s="161"/>
      <c r="F490" s="15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5"/>
      <c r="S490" s="155"/>
      <c r="T490" s="155"/>
      <c r="U490" s="155"/>
      <c r="V490" s="140"/>
    </row>
    <row r="491" spans="1:24">
      <c r="A491" s="162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40"/>
    </row>
    <row r="492" spans="1:24">
      <c r="A492" s="156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40"/>
    </row>
    <row r="493" spans="1:24">
      <c r="A493" s="152" t="s">
        <v>664</v>
      </c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40"/>
    </row>
    <row r="494" spans="1:24">
      <c r="A494" s="141" t="s">
        <v>656</v>
      </c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40"/>
    </row>
    <row r="495" spans="1:24" hidden="1">
      <c r="A495" s="147" t="s">
        <v>702</v>
      </c>
      <c r="D495" s="147" t="s">
        <v>330</v>
      </c>
      <c r="E495" s="147" t="s">
        <v>700</v>
      </c>
      <c r="F495" s="16">
        <v>0</v>
      </c>
      <c r="G495" s="16">
        <f t="shared" ref="G495:J513" si="155">(VLOOKUP($E495,$D$6:$AI$660,G$2,)/VLOOKUP($E495,$D$6:$AI$660,3,))*$F495</f>
        <v>0</v>
      </c>
      <c r="H495" s="16">
        <f t="shared" si="155"/>
        <v>0</v>
      </c>
      <c r="I495" s="16">
        <f t="shared" si="155"/>
        <v>0</v>
      </c>
      <c r="J495" s="16">
        <f t="shared" si="155"/>
        <v>0</v>
      </c>
      <c r="K495" s="16">
        <f t="shared" ref="K495:K513" si="156">(VLOOKUP($E495,$D$6:$AI$660,8,)/VLOOKUP($E495,$D$6:$AI$660,3,))*$F495</f>
        <v>0</v>
      </c>
      <c r="L495" s="16">
        <f t="shared" ref="L495:M513" si="157">(VLOOKUP($E495,$D$6:$AI$660,L$2,)/VLOOKUP($E495,$D$6:$AI$660,3,))*$F495</f>
        <v>0</v>
      </c>
      <c r="M495" s="16">
        <f t="shared" si="157"/>
        <v>0</v>
      </c>
      <c r="N495" s="16">
        <f t="shared" ref="N495:N513" si="158">(VLOOKUP($E495,$D$6:$AI$660,11,)/VLOOKUP($E495,$D$6:$AI$660,3,))*$F495</f>
        <v>0</v>
      </c>
      <c r="O495" s="16">
        <f t="shared" ref="O495:Q513" si="159">(VLOOKUP($E495,$D$6:$AI$660,O$2,)/VLOOKUP($E495,$D$6:$AI$660,3,))*$F495</f>
        <v>0</v>
      </c>
      <c r="P495" s="16">
        <f t="shared" si="159"/>
        <v>0</v>
      </c>
      <c r="Q495" s="16">
        <f t="shared" si="159"/>
        <v>0</v>
      </c>
      <c r="R495" s="16">
        <f t="shared" ref="R495:R513" si="160">(VLOOKUP($E495,$D$6:$AI$660,15,)/VLOOKUP($E495,$D$6:$AI$660,3,))*$F495</f>
        <v>0</v>
      </c>
      <c r="S495" s="16">
        <f t="shared" ref="S495:S513" si="161">(VLOOKUP($E495,$D$6:$AI$660,16,)/VLOOKUP($E495,$D$6:$AI$660,3,))*$F495</f>
        <v>0</v>
      </c>
      <c r="T495" s="16">
        <f t="shared" ref="T495:T513" si="162">(VLOOKUP($E495,$D$6:$AI$660,17,)/VLOOKUP($E495,$D$6:$AI$660,3,))*$F495</f>
        <v>0</v>
      </c>
      <c r="U495" s="155">
        <f>SUM(G495:M495)</f>
        <v>0</v>
      </c>
      <c r="V495" s="140" t="str">
        <f>IF(ABS(F495-U495)&lt;0.01,"ok","err")</f>
        <v>ok</v>
      </c>
      <c r="W495" s="155"/>
      <c r="X495" s="140"/>
    </row>
    <row r="496" spans="1:24" hidden="1">
      <c r="A496" s="147" t="s">
        <v>660</v>
      </c>
      <c r="D496" s="147" t="s">
        <v>331</v>
      </c>
      <c r="E496" s="147" t="s">
        <v>297</v>
      </c>
      <c r="F496" s="16">
        <v>0</v>
      </c>
      <c r="G496" s="16">
        <f t="shared" si="155"/>
        <v>0</v>
      </c>
      <c r="H496" s="16">
        <f t="shared" si="155"/>
        <v>0</v>
      </c>
      <c r="I496" s="16">
        <f t="shared" si="155"/>
        <v>0</v>
      </c>
      <c r="J496" s="16">
        <f t="shared" si="155"/>
        <v>0</v>
      </c>
      <c r="K496" s="16">
        <f t="shared" si="156"/>
        <v>0</v>
      </c>
      <c r="L496" s="16">
        <f t="shared" si="157"/>
        <v>0</v>
      </c>
      <c r="M496" s="16">
        <f t="shared" si="157"/>
        <v>0</v>
      </c>
      <c r="N496" s="16">
        <f t="shared" si="158"/>
        <v>0</v>
      </c>
      <c r="O496" s="16">
        <f t="shared" si="159"/>
        <v>0</v>
      </c>
      <c r="P496" s="16">
        <f t="shared" si="159"/>
        <v>0</v>
      </c>
      <c r="Q496" s="16">
        <f t="shared" si="159"/>
        <v>0</v>
      </c>
      <c r="R496" s="16">
        <f t="shared" si="160"/>
        <v>0</v>
      </c>
      <c r="S496" s="16">
        <f t="shared" si="161"/>
        <v>0</v>
      </c>
      <c r="T496" s="16">
        <f t="shared" si="162"/>
        <v>0</v>
      </c>
      <c r="U496" s="155">
        <f>SUM(G496:M496)</f>
        <v>0</v>
      </c>
      <c r="V496" s="140" t="str">
        <f>IF(ABS(F496-U496)&lt;0.01,"ok","err")</f>
        <v>ok</v>
      </c>
      <c r="W496" s="155"/>
      <c r="X496" s="140"/>
    </row>
    <row r="497" spans="1:24" hidden="1">
      <c r="A497" s="147" t="s">
        <v>659</v>
      </c>
      <c r="D497" s="147" t="s">
        <v>332</v>
      </c>
      <c r="E497" s="147" t="s">
        <v>356</v>
      </c>
      <c r="F497" s="16">
        <v>0</v>
      </c>
      <c r="G497" s="16">
        <f t="shared" si="155"/>
        <v>0</v>
      </c>
      <c r="H497" s="16">
        <f t="shared" si="155"/>
        <v>0</v>
      </c>
      <c r="I497" s="16">
        <f t="shared" si="155"/>
        <v>0</v>
      </c>
      <c r="J497" s="16">
        <f t="shared" si="155"/>
        <v>0</v>
      </c>
      <c r="K497" s="16">
        <f t="shared" si="156"/>
        <v>0</v>
      </c>
      <c r="L497" s="16">
        <f t="shared" si="157"/>
        <v>0</v>
      </c>
      <c r="M497" s="16">
        <f t="shared" si="157"/>
        <v>0</v>
      </c>
      <c r="N497" s="16">
        <f t="shared" si="158"/>
        <v>0</v>
      </c>
      <c r="O497" s="16">
        <f t="shared" si="159"/>
        <v>0</v>
      </c>
      <c r="P497" s="16">
        <f t="shared" si="159"/>
        <v>0</v>
      </c>
      <c r="Q497" s="16">
        <f t="shared" si="159"/>
        <v>0</v>
      </c>
      <c r="R497" s="16">
        <f t="shared" si="160"/>
        <v>0</v>
      </c>
      <c r="S497" s="16">
        <f t="shared" si="161"/>
        <v>0</v>
      </c>
      <c r="T497" s="16">
        <f t="shared" si="162"/>
        <v>0</v>
      </c>
      <c r="U497" s="155">
        <f>SUM(G497:M497)</f>
        <v>0</v>
      </c>
      <c r="V497" s="140" t="str">
        <f>IF(ABS(F497-U497)&lt;0.01,"ok","err")</f>
        <v>ok</v>
      </c>
      <c r="W497" s="155"/>
      <c r="X497" s="140"/>
    </row>
    <row r="498" spans="1:24" hidden="1">
      <c r="A498" s="147" t="s">
        <v>789</v>
      </c>
      <c r="D498" s="147" t="s">
        <v>333</v>
      </c>
      <c r="E498" s="147" t="s">
        <v>356</v>
      </c>
      <c r="F498" s="16">
        <v>0</v>
      </c>
      <c r="G498" s="16">
        <f t="shared" si="155"/>
        <v>0</v>
      </c>
      <c r="H498" s="16">
        <f t="shared" si="155"/>
        <v>0</v>
      </c>
      <c r="I498" s="16">
        <f t="shared" si="155"/>
        <v>0</v>
      </c>
      <c r="J498" s="16">
        <f t="shared" si="155"/>
        <v>0</v>
      </c>
      <c r="K498" s="16">
        <f t="shared" si="156"/>
        <v>0</v>
      </c>
      <c r="L498" s="16">
        <f t="shared" si="157"/>
        <v>0</v>
      </c>
      <c r="M498" s="16">
        <f t="shared" si="157"/>
        <v>0</v>
      </c>
      <c r="N498" s="16">
        <f t="shared" si="158"/>
        <v>0</v>
      </c>
      <c r="O498" s="16">
        <f t="shared" si="159"/>
        <v>0</v>
      </c>
      <c r="P498" s="16">
        <f t="shared" si="159"/>
        <v>0</v>
      </c>
      <c r="Q498" s="16">
        <f t="shared" si="159"/>
        <v>0</v>
      </c>
      <c r="R498" s="16">
        <f t="shared" si="160"/>
        <v>0</v>
      </c>
      <c r="S498" s="16">
        <f t="shared" si="161"/>
        <v>0</v>
      </c>
      <c r="T498" s="16">
        <f t="shared" si="162"/>
        <v>0</v>
      </c>
      <c r="U498" s="155">
        <f t="shared" ref="U498:U512" si="163">SUM(G498:M498)</f>
        <v>0</v>
      </c>
      <c r="V498" s="140" t="str">
        <f t="shared" ref="V498:V512" si="164">IF(ABS(F498-U498)&lt;0.01,"ok","err")</f>
        <v>ok</v>
      </c>
      <c r="W498" s="155"/>
      <c r="X498" s="140"/>
    </row>
    <row r="499" spans="1:24">
      <c r="A499" s="147" t="s">
        <v>773</v>
      </c>
      <c r="E499" s="147" t="s">
        <v>214</v>
      </c>
      <c r="F499" s="16">
        <v>-1078923.5699999998</v>
      </c>
      <c r="G499" s="16">
        <f t="shared" si="155"/>
        <v>-809984.3663687692</v>
      </c>
      <c r="H499" s="16">
        <f t="shared" si="155"/>
        <v>-236003.3572787499</v>
      </c>
      <c r="I499" s="16">
        <f t="shared" si="155"/>
        <v>-15124.274771281174</v>
      </c>
      <c r="J499" s="16">
        <f t="shared" si="155"/>
        <v>-477.54374954731361</v>
      </c>
      <c r="K499" s="16">
        <f t="shared" si="156"/>
        <v>-17103.217603090827</v>
      </c>
      <c r="L499" s="16">
        <f t="shared" si="157"/>
        <v>-230.8102285617021</v>
      </c>
      <c r="M499" s="16">
        <f t="shared" si="157"/>
        <v>0</v>
      </c>
      <c r="N499" s="16">
        <f t="shared" si="158"/>
        <v>0</v>
      </c>
      <c r="O499" s="16">
        <f t="shared" si="159"/>
        <v>0</v>
      </c>
      <c r="P499" s="16">
        <f t="shared" si="159"/>
        <v>0</v>
      </c>
      <c r="Q499" s="16">
        <f t="shared" si="159"/>
        <v>0</v>
      </c>
      <c r="R499" s="16">
        <f t="shared" si="160"/>
        <v>0</v>
      </c>
      <c r="S499" s="16">
        <f t="shared" si="161"/>
        <v>0</v>
      </c>
      <c r="T499" s="16">
        <f t="shared" si="162"/>
        <v>0</v>
      </c>
      <c r="U499" s="155">
        <f t="shared" si="163"/>
        <v>-1078923.5700000003</v>
      </c>
      <c r="V499" s="140" t="str">
        <f t="shared" si="164"/>
        <v>ok</v>
      </c>
      <c r="W499" s="155"/>
      <c r="X499" s="140"/>
    </row>
    <row r="500" spans="1:24" hidden="1">
      <c r="A500" s="147" t="s">
        <v>835</v>
      </c>
      <c r="E500" s="147" t="s">
        <v>214</v>
      </c>
      <c r="F500" s="16">
        <v>0</v>
      </c>
      <c r="G500" s="16">
        <f t="shared" si="155"/>
        <v>0</v>
      </c>
      <c r="H500" s="16">
        <f t="shared" si="155"/>
        <v>0</v>
      </c>
      <c r="I500" s="16">
        <f t="shared" si="155"/>
        <v>0</v>
      </c>
      <c r="J500" s="16">
        <f t="shared" si="155"/>
        <v>0</v>
      </c>
      <c r="K500" s="16">
        <f t="shared" si="156"/>
        <v>0</v>
      </c>
      <c r="L500" s="16">
        <f t="shared" si="157"/>
        <v>0</v>
      </c>
      <c r="M500" s="16">
        <f t="shared" si="157"/>
        <v>0</v>
      </c>
      <c r="N500" s="16">
        <f t="shared" si="158"/>
        <v>0</v>
      </c>
      <c r="O500" s="16">
        <f t="shared" si="159"/>
        <v>0</v>
      </c>
      <c r="P500" s="16">
        <f t="shared" si="159"/>
        <v>0</v>
      </c>
      <c r="Q500" s="16">
        <f t="shared" si="159"/>
        <v>0</v>
      </c>
      <c r="R500" s="16">
        <f t="shared" si="160"/>
        <v>0</v>
      </c>
      <c r="S500" s="16">
        <f t="shared" si="161"/>
        <v>0</v>
      </c>
      <c r="T500" s="16">
        <f t="shared" si="162"/>
        <v>0</v>
      </c>
      <c r="U500" s="155">
        <f t="shared" si="163"/>
        <v>0</v>
      </c>
      <c r="V500" s="140" t="str">
        <f t="shared" si="164"/>
        <v>ok</v>
      </c>
      <c r="W500" s="155"/>
      <c r="X500" s="140"/>
    </row>
    <row r="501" spans="1:24">
      <c r="A501" s="147" t="s">
        <v>790</v>
      </c>
      <c r="D501" s="147" t="s">
        <v>334</v>
      </c>
      <c r="E501" s="147" t="s">
        <v>211</v>
      </c>
      <c r="F501" s="16">
        <v>-123505</v>
      </c>
      <c r="G501" s="16">
        <f t="shared" si="155"/>
        <v>-94841.024214605437</v>
      </c>
      <c r="H501" s="16">
        <f t="shared" si="155"/>
        <v>-25152.585956562467</v>
      </c>
      <c r="I501" s="16">
        <f t="shared" si="155"/>
        <v>-1473.9983157714364</v>
      </c>
      <c r="J501" s="16">
        <f t="shared" si="155"/>
        <v>-53.962280729980527</v>
      </c>
      <c r="K501" s="16">
        <f t="shared" si="156"/>
        <v>-1959.4511569631177</v>
      </c>
      <c r="L501" s="16">
        <f t="shared" si="157"/>
        <v>-23.97807536757362</v>
      </c>
      <c r="M501" s="16">
        <f t="shared" si="157"/>
        <v>0</v>
      </c>
      <c r="N501" s="16">
        <f t="shared" si="158"/>
        <v>0</v>
      </c>
      <c r="O501" s="16">
        <f t="shared" si="159"/>
        <v>0</v>
      </c>
      <c r="P501" s="16">
        <f t="shared" si="159"/>
        <v>0</v>
      </c>
      <c r="Q501" s="16">
        <f t="shared" si="159"/>
        <v>0</v>
      </c>
      <c r="R501" s="16">
        <f t="shared" si="160"/>
        <v>0</v>
      </c>
      <c r="S501" s="16">
        <f t="shared" si="161"/>
        <v>0</v>
      </c>
      <c r="T501" s="16">
        <f t="shared" si="162"/>
        <v>0</v>
      </c>
      <c r="U501" s="155">
        <f t="shared" si="163"/>
        <v>-123505</v>
      </c>
      <c r="V501" s="140" t="str">
        <f t="shared" si="164"/>
        <v>ok</v>
      </c>
      <c r="W501" s="155"/>
      <c r="X501" s="140"/>
    </row>
    <row r="502" spans="1:24" hidden="1">
      <c r="A502" s="147" t="s">
        <v>661</v>
      </c>
      <c r="D502" s="147" t="s">
        <v>335</v>
      </c>
      <c r="E502" s="147" t="s">
        <v>299</v>
      </c>
      <c r="F502" s="16">
        <v>0</v>
      </c>
      <c r="G502" s="16">
        <f t="shared" si="155"/>
        <v>0</v>
      </c>
      <c r="H502" s="16">
        <f t="shared" si="155"/>
        <v>0</v>
      </c>
      <c r="I502" s="16">
        <f t="shared" si="155"/>
        <v>0</v>
      </c>
      <c r="J502" s="16">
        <f t="shared" si="155"/>
        <v>0</v>
      </c>
      <c r="K502" s="16">
        <f t="shared" si="156"/>
        <v>0</v>
      </c>
      <c r="L502" s="16">
        <f t="shared" si="157"/>
        <v>0</v>
      </c>
      <c r="M502" s="16">
        <f t="shared" si="157"/>
        <v>0</v>
      </c>
      <c r="N502" s="16">
        <f t="shared" si="158"/>
        <v>0</v>
      </c>
      <c r="O502" s="16">
        <f t="shared" si="159"/>
        <v>0</v>
      </c>
      <c r="P502" s="16">
        <f t="shared" si="159"/>
        <v>0</v>
      </c>
      <c r="Q502" s="16">
        <f t="shared" si="159"/>
        <v>0</v>
      </c>
      <c r="R502" s="16">
        <f t="shared" si="160"/>
        <v>0</v>
      </c>
      <c r="S502" s="16">
        <f t="shared" si="161"/>
        <v>0</v>
      </c>
      <c r="T502" s="16">
        <f t="shared" si="162"/>
        <v>0</v>
      </c>
      <c r="U502" s="155">
        <f t="shared" si="163"/>
        <v>0</v>
      </c>
      <c r="V502" s="140" t="str">
        <f t="shared" si="164"/>
        <v>ok</v>
      </c>
      <c r="W502" s="155"/>
      <c r="X502" s="140"/>
    </row>
    <row r="503" spans="1:24" hidden="1">
      <c r="A503" s="147" t="s">
        <v>836</v>
      </c>
      <c r="E503" s="147" t="s">
        <v>214</v>
      </c>
      <c r="F503" s="16">
        <v>0</v>
      </c>
      <c r="G503" s="16">
        <f t="shared" si="155"/>
        <v>0</v>
      </c>
      <c r="H503" s="16">
        <f t="shared" si="155"/>
        <v>0</v>
      </c>
      <c r="I503" s="16">
        <f t="shared" si="155"/>
        <v>0</v>
      </c>
      <c r="J503" s="16">
        <f t="shared" si="155"/>
        <v>0</v>
      </c>
      <c r="K503" s="16">
        <f t="shared" si="156"/>
        <v>0</v>
      </c>
      <c r="L503" s="16">
        <f t="shared" si="157"/>
        <v>0</v>
      </c>
      <c r="M503" s="16">
        <f t="shared" si="157"/>
        <v>0</v>
      </c>
      <c r="N503" s="16">
        <f t="shared" si="158"/>
        <v>0</v>
      </c>
      <c r="O503" s="16">
        <f t="shared" si="159"/>
        <v>0</v>
      </c>
      <c r="P503" s="16">
        <f t="shared" si="159"/>
        <v>0</v>
      </c>
      <c r="Q503" s="16">
        <f t="shared" si="159"/>
        <v>0</v>
      </c>
      <c r="R503" s="16">
        <f t="shared" si="160"/>
        <v>0</v>
      </c>
      <c r="S503" s="16">
        <f t="shared" si="161"/>
        <v>0</v>
      </c>
      <c r="T503" s="16">
        <f t="shared" si="162"/>
        <v>0</v>
      </c>
      <c r="U503" s="155">
        <f t="shared" si="163"/>
        <v>0</v>
      </c>
      <c r="V503" s="140" t="str">
        <f t="shared" si="164"/>
        <v>ok</v>
      </c>
      <c r="W503" s="155"/>
      <c r="X503" s="140"/>
    </row>
    <row r="504" spans="1:24" hidden="1">
      <c r="A504" s="147" t="s">
        <v>837</v>
      </c>
      <c r="E504" s="147" t="s">
        <v>783</v>
      </c>
      <c r="F504" s="16">
        <v>0</v>
      </c>
      <c r="G504" s="16">
        <f t="shared" si="155"/>
        <v>0</v>
      </c>
      <c r="H504" s="16">
        <f t="shared" si="155"/>
        <v>0</v>
      </c>
      <c r="I504" s="16">
        <f t="shared" si="155"/>
        <v>0</v>
      </c>
      <c r="J504" s="16">
        <f t="shared" si="155"/>
        <v>0</v>
      </c>
      <c r="K504" s="16">
        <f t="shared" si="156"/>
        <v>0</v>
      </c>
      <c r="L504" s="16">
        <f t="shared" si="157"/>
        <v>0</v>
      </c>
      <c r="M504" s="16">
        <f t="shared" si="157"/>
        <v>0</v>
      </c>
      <c r="N504" s="16">
        <f t="shared" si="158"/>
        <v>0</v>
      </c>
      <c r="O504" s="16">
        <f t="shared" si="159"/>
        <v>0</v>
      </c>
      <c r="P504" s="16">
        <f t="shared" si="159"/>
        <v>0</v>
      </c>
      <c r="Q504" s="16">
        <f t="shared" si="159"/>
        <v>0</v>
      </c>
      <c r="R504" s="16">
        <f t="shared" si="160"/>
        <v>0</v>
      </c>
      <c r="S504" s="16">
        <f t="shared" si="161"/>
        <v>0</v>
      </c>
      <c r="T504" s="16">
        <f t="shared" si="162"/>
        <v>0</v>
      </c>
      <c r="U504" s="155">
        <f t="shared" si="163"/>
        <v>0</v>
      </c>
      <c r="V504" s="140" t="str">
        <f t="shared" si="164"/>
        <v>ok</v>
      </c>
      <c r="W504" s="155"/>
      <c r="X504" s="140"/>
    </row>
    <row r="505" spans="1:24" hidden="1">
      <c r="A505" s="147" t="s">
        <v>774</v>
      </c>
      <c r="D505" s="147" t="s">
        <v>336</v>
      </c>
      <c r="E505" s="147" t="s">
        <v>214</v>
      </c>
      <c r="F505" s="16">
        <v>0</v>
      </c>
      <c r="G505" s="16">
        <f t="shared" si="155"/>
        <v>0</v>
      </c>
      <c r="H505" s="16">
        <f t="shared" si="155"/>
        <v>0</v>
      </c>
      <c r="I505" s="16">
        <f t="shared" si="155"/>
        <v>0</v>
      </c>
      <c r="J505" s="16">
        <f t="shared" si="155"/>
        <v>0</v>
      </c>
      <c r="K505" s="16">
        <f t="shared" si="156"/>
        <v>0</v>
      </c>
      <c r="L505" s="16">
        <f t="shared" si="157"/>
        <v>0</v>
      </c>
      <c r="M505" s="16">
        <f t="shared" si="157"/>
        <v>0</v>
      </c>
      <c r="N505" s="16">
        <f t="shared" si="158"/>
        <v>0</v>
      </c>
      <c r="O505" s="16">
        <f t="shared" si="159"/>
        <v>0</v>
      </c>
      <c r="P505" s="16">
        <f t="shared" si="159"/>
        <v>0</v>
      </c>
      <c r="Q505" s="16">
        <f t="shared" si="159"/>
        <v>0</v>
      </c>
      <c r="R505" s="16">
        <f t="shared" si="160"/>
        <v>0</v>
      </c>
      <c r="S505" s="16">
        <f t="shared" si="161"/>
        <v>0</v>
      </c>
      <c r="T505" s="16">
        <f t="shared" si="162"/>
        <v>0</v>
      </c>
      <c r="U505" s="155">
        <f t="shared" si="163"/>
        <v>0</v>
      </c>
      <c r="V505" s="140" t="str">
        <f t="shared" si="164"/>
        <v>ok</v>
      </c>
      <c r="W505" s="155"/>
      <c r="X505" s="140"/>
    </row>
    <row r="506" spans="1:24" hidden="1">
      <c r="A506" s="147" t="s">
        <v>791</v>
      </c>
      <c r="D506" s="147" t="s">
        <v>337</v>
      </c>
      <c r="E506" s="147" t="s">
        <v>356</v>
      </c>
      <c r="F506" s="16">
        <v>0</v>
      </c>
      <c r="G506" s="16">
        <f t="shared" si="155"/>
        <v>0</v>
      </c>
      <c r="H506" s="16">
        <f t="shared" si="155"/>
        <v>0</v>
      </c>
      <c r="I506" s="16">
        <f t="shared" si="155"/>
        <v>0</v>
      </c>
      <c r="J506" s="16">
        <f t="shared" si="155"/>
        <v>0</v>
      </c>
      <c r="K506" s="16">
        <f t="shared" si="156"/>
        <v>0</v>
      </c>
      <c r="L506" s="16">
        <f t="shared" si="157"/>
        <v>0</v>
      </c>
      <c r="M506" s="16">
        <f t="shared" si="157"/>
        <v>0</v>
      </c>
      <c r="N506" s="16">
        <f t="shared" si="158"/>
        <v>0</v>
      </c>
      <c r="O506" s="16">
        <f t="shared" si="159"/>
        <v>0</v>
      </c>
      <c r="P506" s="16">
        <f t="shared" si="159"/>
        <v>0</v>
      </c>
      <c r="Q506" s="16">
        <f t="shared" si="159"/>
        <v>0</v>
      </c>
      <c r="R506" s="16">
        <f t="shared" si="160"/>
        <v>0</v>
      </c>
      <c r="S506" s="16">
        <f t="shared" si="161"/>
        <v>0</v>
      </c>
      <c r="T506" s="16">
        <f t="shared" si="162"/>
        <v>0</v>
      </c>
      <c r="U506" s="155">
        <f t="shared" si="163"/>
        <v>0</v>
      </c>
      <c r="V506" s="140" t="str">
        <f t="shared" si="164"/>
        <v>ok</v>
      </c>
      <c r="W506" s="155"/>
      <c r="X506" s="140"/>
    </row>
    <row r="507" spans="1:24" hidden="1">
      <c r="A507" s="147" t="s">
        <v>779</v>
      </c>
      <c r="E507" s="147" t="s">
        <v>214</v>
      </c>
      <c r="F507" s="16">
        <v>0</v>
      </c>
      <c r="G507" s="16">
        <f t="shared" si="155"/>
        <v>0</v>
      </c>
      <c r="H507" s="16">
        <f t="shared" si="155"/>
        <v>0</v>
      </c>
      <c r="I507" s="16">
        <f t="shared" si="155"/>
        <v>0</v>
      </c>
      <c r="J507" s="16">
        <f t="shared" si="155"/>
        <v>0</v>
      </c>
      <c r="K507" s="16">
        <f t="shared" si="156"/>
        <v>0</v>
      </c>
      <c r="L507" s="16">
        <f t="shared" si="157"/>
        <v>0</v>
      </c>
      <c r="M507" s="16">
        <f t="shared" si="157"/>
        <v>0</v>
      </c>
      <c r="N507" s="16">
        <f t="shared" si="158"/>
        <v>0</v>
      </c>
      <c r="O507" s="16">
        <f t="shared" si="159"/>
        <v>0</v>
      </c>
      <c r="P507" s="16">
        <f t="shared" si="159"/>
        <v>0</v>
      </c>
      <c r="Q507" s="16">
        <f t="shared" si="159"/>
        <v>0</v>
      </c>
      <c r="R507" s="16">
        <f t="shared" si="160"/>
        <v>0</v>
      </c>
      <c r="S507" s="16">
        <f t="shared" si="161"/>
        <v>0</v>
      </c>
      <c r="T507" s="16">
        <f t="shared" si="162"/>
        <v>0</v>
      </c>
      <c r="U507" s="155">
        <f t="shared" si="163"/>
        <v>0</v>
      </c>
      <c r="V507" s="140" t="str">
        <f t="shared" si="164"/>
        <v>ok</v>
      </c>
      <c r="W507" s="155"/>
      <c r="X507" s="140"/>
    </row>
    <row r="508" spans="1:24" hidden="1">
      <c r="A508" s="147" t="s">
        <v>775</v>
      </c>
      <c r="E508" s="147" t="s">
        <v>214</v>
      </c>
      <c r="F508" s="16">
        <v>0</v>
      </c>
      <c r="G508" s="16">
        <f t="shared" si="155"/>
        <v>0</v>
      </c>
      <c r="H508" s="16">
        <f t="shared" si="155"/>
        <v>0</v>
      </c>
      <c r="I508" s="16">
        <f t="shared" si="155"/>
        <v>0</v>
      </c>
      <c r="J508" s="16">
        <f t="shared" si="155"/>
        <v>0</v>
      </c>
      <c r="K508" s="16">
        <f t="shared" si="156"/>
        <v>0</v>
      </c>
      <c r="L508" s="16">
        <f t="shared" si="157"/>
        <v>0</v>
      </c>
      <c r="M508" s="16">
        <f t="shared" si="157"/>
        <v>0</v>
      </c>
      <c r="N508" s="16">
        <f t="shared" si="158"/>
        <v>0</v>
      </c>
      <c r="O508" s="16">
        <f t="shared" si="159"/>
        <v>0</v>
      </c>
      <c r="P508" s="16">
        <f t="shared" si="159"/>
        <v>0</v>
      </c>
      <c r="Q508" s="16">
        <f t="shared" si="159"/>
        <v>0</v>
      </c>
      <c r="R508" s="16">
        <f t="shared" si="160"/>
        <v>0</v>
      </c>
      <c r="S508" s="16">
        <f t="shared" si="161"/>
        <v>0</v>
      </c>
      <c r="T508" s="16">
        <f t="shared" si="162"/>
        <v>0</v>
      </c>
      <c r="U508" s="155">
        <f t="shared" si="163"/>
        <v>0</v>
      </c>
      <c r="V508" s="140" t="str">
        <f t="shared" si="164"/>
        <v>ok</v>
      </c>
      <c r="W508" s="155"/>
      <c r="X508" s="140"/>
    </row>
    <row r="509" spans="1:24">
      <c r="A509" s="147" t="s">
        <v>776</v>
      </c>
      <c r="E509" s="147" t="s">
        <v>782</v>
      </c>
      <c r="F509" s="16">
        <v>988759.21</v>
      </c>
      <c r="G509" s="16">
        <f t="shared" si="155"/>
        <v>620680.85104067007</v>
      </c>
      <c r="H509" s="16">
        <f t="shared" si="155"/>
        <v>315440.79389364464</v>
      </c>
      <c r="I509" s="16">
        <f t="shared" si="155"/>
        <v>33053.222833795262</v>
      </c>
      <c r="J509" s="16">
        <f t="shared" si="155"/>
        <v>10779.136233430021</v>
      </c>
      <c r="K509" s="16">
        <f t="shared" si="156"/>
        <v>8323.0251037870567</v>
      </c>
      <c r="L509" s="16">
        <f t="shared" si="157"/>
        <v>482.18089467303736</v>
      </c>
      <c r="M509" s="16">
        <f t="shared" si="157"/>
        <v>0</v>
      </c>
      <c r="N509" s="16">
        <f t="shared" si="158"/>
        <v>0</v>
      </c>
      <c r="O509" s="16">
        <f t="shared" si="159"/>
        <v>0</v>
      </c>
      <c r="P509" s="16">
        <f t="shared" si="159"/>
        <v>0</v>
      </c>
      <c r="Q509" s="16">
        <f t="shared" si="159"/>
        <v>0</v>
      </c>
      <c r="R509" s="16">
        <f t="shared" si="160"/>
        <v>0</v>
      </c>
      <c r="S509" s="16">
        <f t="shared" si="161"/>
        <v>0</v>
      </c>
      <c r="T509" s="16">
        <f t="shared" si="162"/>
        <v>0</v>
      </c>
      <c r="U509" s="155">
        <f t="shared" si="163"/>
        <v>988759.21000000008</v>
      </c>
      <c r="V509" s="140" t="str">
        <f t="shared" si="164"/>
        <v>ok</v>
      </c>
      <c r="W509" s="155"/>
      <c r="X509" s="140"/>
    </row>
    <row r="510" spans="1:24" hidden="1">
      <c r="A510" s="188" t="s">
        <v>777</v>
      </c>
      <c r="E510" s="147" t="s">
        <v>388</v>
      </c>
      <c r="F510" s="16">
        <v>0</v>
      </c>
      <c r="G510" s="16">
        <f t="shared" si="155"/>
        <v>0</v>
      </c>
      <c r="H510" s="16">
        <f t="shared" si="155"/>
        <v>0</v>
      </c>
      <c r="I510" s="16">
        <f t="shared" si="155"/>
        <v>0</v>
      </c>
      <c r="J510" s="16">
        <f t="shared" si="155"/>
        <v>0</v>
      </c>
      <c r="K510" s="16">
        <f t="shared" si="156"/>
        <v>0</v>
      </c>
      <c r="L510" s="16">
        <f t="shared" si="157"/>
        <v>0</v>
      </c>
      <c r="M510" s="16">
        <f t="shared" si="157"/>
        <v>0</v>
      </c>
      <c r="N510" s="16">
        <f t="shared" si="158"/>
        <v>0</v>
      </c>
      <c r="O510" s="16">
        <f t="shared" si="159"/>
        <v>0</v>
      </c>
      <c r="P510" s="16">
        <f t="shared" si="159"/>
        <v>0</v>
      </c>
      <c r="Q510" s="16">
        <f t="shared" si="159"/>
        <v>0</v>
      </c>
      <c r="R510" s="16">
        <f t="shared" si="160"/>
        <v>0</v>
      </c>
      <c r="S510" s="16">
        <f t="shared" si="161"/>
        <v>0</v>
      </c>
      <c r="T510" s="16">
        <f t="shared" si="162"/>
        <v>0</v>
      </c>
      <c r="U510" s="155">
        <f t="shared" si="163"/>
        <v>0</v>
      </c>
      <c r="V510" s="140" t="str">
        <f t="shared" si="164"/>
        <v>ok</v>
      </c>
      <c r="W510" s="155"/>
      <c r="X510" s="140"/>
    </row>
    <row r="511" spans="1:24" hidden="1">
      <c r="A511" s="188" t="s">
        <v>778</v>
      </c>
      <c r="E511" s="147" t="s">
        <v>214</v>
      </c>
      <c r="F511" s="16">
        <v>0</v>
      </c>
      <c r="G511" s="16">
        <f t="shared" si="155"/>
        <v>0</v>
      </c>
      <c r="H511" s="16">
        <f t="shared" si="155"/>
        <v>0</v>
      </c>
      <c r="I511" s="16">
        <f t="shared" si="155"/>
        <v>0</v>
      </c>
      <c r="J511" s="16">
        <f t="shared" si="155"/>
        <v>0</v>
      </c>
      <c r="K511" s="16">
        <f t="shared" si="156"/>
        <v>0</v>
      </c>
      <c r="L511" s="16">
        <f t="shared" si="157"/>
        <v>0</v>
      </c>
      <c r="M511" s="16">
        <f t="shared" si="157"/>
        <v>0</v>
      </c>
      <c r="N511" s="16">
        <f t="shared" si="158"/>
        <v>0</v>
      </c>
      <c r="O511" s="16">
        <f t="shared" si="159"/>
        <v>0</v>
      </c>
      <c r="P511" s="16">
        <f t="shared" si="159"/>
        <v>0</v>
      </c>
      <c r="Q511" s="16">
        <f t="shared" si="159"/>
        <v>0</v>
      </c>
      <c r="R511" s="16">
        <f t="shared" si="160"/>
        <v>0</v>
      </c>
      <c r="S511" s="16">
        <f t="shared" si="161"/>
        <v>0</v>
      </c>
      <c r="T511" s="16">
        <f t="shared" si="162"/>
        <v>0</v>
      </c>
      <c r="U511" s="155">
        <f t="shared" si="163"/>
        <v>0</v>
      </c>
      <c r="V511" s="140" t="str">
        <f t="shared" si="164"/>
        <v>ok</v>
      </c>
      <c r="W511" s="155"/>
      <c r="X511" s="140"/>
    </row>
    <row r="512" spans="1:24" hidden="1">
      <c r="A512" s="188" t="s">
        <v>851</v>
      </c>
      <c r="E512" s="147" t="s">
        <v>297</v>
      </c>
      <c r="F512" s="16">
        <v>0</v>
      </c>
      <c r="G512" s="16">
        <f t="shared" si="155"/>
        <v>0</v>
      </c>
      <c r="H512" s="16">
        <f t="shared" si="155"/>
        <v>0</v>
      </c>
      <c r="I512" s="16">
        <f t="shared" si="155"/>
        <v>0</v>
      </c>
      <c r="J512" s="16">
        <f t="shared" si="155"/>
        <v>0</v>
      </c>
      <c r="K512" s="16">
        <f t="shared" si="156"/>
        <v>0</v>
      </c>
      <c r="L512" s="16">
        <f t="shared" si="157"/>
        <v>0</v>
      </c>
      <c r="M512" s="16">
        <f t="shared" si="157"/>
        <v>0</v>
      </c>
      <c r="N512" s="16">
        <f t="shared" si="158"/>
        <v>0</v>
      </c>
      <c r="O512" s="16">
        <f t="shared" si="159"/>
        <v>0</v>
      </c>
      <c r="P512" s="16">
        <f t="shared" si="159"/>
        <v>0</v>
      </c>
      <c r="Q512" s="16">
        <f t="shared" si="159"/>
        <v>0</v>
      </c>
      <c r="R512" s="16">
        <f t="shared" si="160"/>
        <v>0</v>
      </c>
      <c r="S512" s="16">
        <f t="shared" si="161"/>
        <v>0</v>
      </c>
      <c r="T512" s="16">
        <f t="shared" si="162"/>
        <v>0</v>
      </c>
      <c r="U512" s="155">
        <f t="shared" si="163"/>
        <v>0</v>
      </c>
      <c r="V512" s="140" t="str">
        <f t="shared" si="164"/>
        <v>ok</v>
      </c>
      <c r="W512" s="155"/>
      <c r="X512" s="140"/>
    </row>
    <row r="513" spans="1:30" hidden="1">
      <c r="A513" s="188" t="s">
        <v>834</v>
      </c>
      <c r="E513" s="147" t="s">
        <v>214</v>
      </c>
      <c r="F513" s="16">
        <v>0</v>
      </c>
      <c r="G513" s="16">
        <f t="shared" si="155"/>
        <v>0</v>
      </c>
      <c r="H513" s="16">
        <f t="shared" si="155"/>
        <v>0</v>
      </c>
      <c r="I513" s="16">
        <f t="shared" si="155"/>
        <v>0</v>
      </c>
      <c r="J513" s="16">
        <f t="shared" si="155"/>
        <v>0</v>
      </c>
      <c r="K513" s="16">
        <f t="shared" si="156"/>
        <v>0</v>
      </c>
      <c r="L513" s="16">
        <f t="shared" si="157"/>
        <v>0</v>
      </c>
      <c r="M513" s="16">
        <f t="shared" si="157"/>
        <v>0</v>
      </c>
      <c r="N513" s="16">
        <f t="shared" si="158"/>
        <v>0</v>
      </c>
      <c r="O513" s="16">
        <f t="shared" si="159"/>
        <v>0</v>
      </c>
      <c r="P513" s="16">
        <f t="shared" si="159"/>
        <v>0</v>
      </c>
      <c r="Q513" s="16">
        <f t="shared" si="159"/>
        <v>0</v>
      </c>
      <c r="R513" s="16">
        <f t="shared" si="160"/>
        <v>0</v>
      </c>
      <c r="S513" s="16">
        <f t="shared" si="161"/>
        <v>0</v>
      </c>
      <c r="T513" s="16">
        <f t="shared" si="162"/>
        <v>0</v>
      </c>
      <c r="U513" s="155">
        <f>SUM(G513:M513)</f>
        <v>0</v>
      </c>
      <c r="V513" s="140" t="str">
        <f>IF(ABS(F513-U513)&lt;0.01,"ok","err")</f>
        <v>ok</v>
      </c>
      <c r="W513" s="155"/>
      <c r="X513" s="140"/>
    </row>
    <row r="514" spans="1:30">
      <c r="F514" s="17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55"/>
      <c r="V514" s="140"/>
      <c r="W514" s="155"/>
      <c r="X514" s="140"/>
    </row>
    <row r="515" spans="1:30">
      <c r="A515" s="147" t="s">
        <v>329</v>
      </c>
      <c r="D515" s="147" t="s">
        <v>338</v>
      </c>
      <c r="F515" s="155">
        <f t="shared" ref="F515:T515" si="165">SUM(F495:F513)</f>
        <v>-213669.35999999987</v>
      </c>
      <c r="G515" s="155">
        <f t="shared" si="165"/>
        <v>-284144.53954270459</v>
      </c>
      <c r="H515" s="155">
        <f t="shared" si="165"/>
        <v>54284.850658332289</v>
      </c>
      <c r="I515" s="155">
        <f t="shared" si="165"/>
        <v>16454.949746742652</v>
      </c>
      <c r="J515" s="155">
        <f t="shared" si="165"/>
        <v>10247.630203152727</v>
      </c>
      <c r="K515" s="155">
        <f t="shared" si="165"/>
        <v>-10739.643656266888</v>
      </c>
      <c r="L515" s="155">
        <f t="shared" si="165"/>
        <v>227.39259074376164</v>
      </c>
      <c r="M515" s="155">
        <f t="shared" si="165"/>
        <v>0</v>
      </c>
      <c r="N515" s="155">
        <f t="shared" si="165"/>
        <v>0</v>
      </c>
      <c r="O515" s="155">
        <f t="shared" si="165"/>
        <v>0</v>
      </c>
      <c r="P515" s="155">
        <f t="shared" si="165"/>
        <v>0</v>
      </c>
      <c r="Q515" s="155">
        <f t="shared" si="165"/>
        <v>0</v>
      </c>
      <c r="R515" s="155">
        <f t="shared" si="165"/>
        <v>0</v>
      </c>
      <c r="S515" s="155">
        <f t="shared" si="165"/>
        <v>0</v>
      </c>
      <c r="T515" s="155">
        <f t="shared" si="165"/>
        <v>0</v>
      </c>
      <c r="U515" s="155">
        <f>SUM(G515:M515)</f>
        <v>-213669.36000000007</v>
      </c>
      <c r="V515" s="140" t="str">
        <f>IF(ABS(F515-U515)&lt;0.01,"ok","err")</f>
        <v>ok</v>
      </c>
      <c r="W515" s="155"/>
      <c r="X515" s="140"/>
    </row>
    <row r="516" spans="1:30"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40"/>
    </row>
    <row r="517" spans="1:30">
      <c r="A517" s="147" t="s">
        <v>308</v>
      </c>
      <c r="F517" s="155">
        <f t="shared" ref="F517:T517" si="166">F471+F478-F487-F515</f>
        <v>41460600.728613809</v>
      </c>
      <c r="G517" s="155">
        <f t="shared" si="166"/>
        <v>23010458.868640512</v>
      </c>
      <c r="H517" s="155">
        <f t="shared" si="166"/>
        <v>12848243.572385753</v>
      </c>
      <c r="I517" s="155">
        <f t="shared" si="166"/>
        <v>1834234.0984312</v>
      </c>
      <c r="J517" s="155">
        <f t="shared" si="166"/>
        <v>232177.85849959229</v>
      </c>
      <c r="K517" s="155">
        <f t="shared" si="166"/>
        <v>3430420.2853548247</v>
      </c>
      <c r="L517" s="155">
        <f t="shared" si="166"/>
        <v>105066.04530197922</v>
      </c>
      <c r="M517" s="155">
        <f t="shared" si="166"/>
        <v>0</v>
      </c>
      <c r="N517" s="155">
        <f t="shared" si="166"/>
        <v>0</v>
      </c>
      <c r="O517" s="155">
        <f t="shared" si="166"/>
        <v>0</v>
      </c>
      <c r="P517" s="155">
        <f t="shared" si="166"/>
        <v>0</v>
      </c>
      <c r="Q517" s="155">
        <f t="shared" si="166"/>
        <v>0</v>
      </c>
      <c r="R517" s="155">
        <f t="shared" si="166"/>
        <v>0</v>
      </c>
      <c r="S517" s="155">
        <f t="shared" si="166"/>
        <v>0</v>
      </c>
      <c r="T517" s="155">
        <f t="shared" si="166"/>
        <v>0</v>
      </c>
      <c r="U517" s="155">
        <f>SUM(G517:M517)</f>
        <v>41460600.728613861</v>
      </c>
      <c r="V517" s="140" t="str">
        <f>IF(ABS(F517-U517)&lt;2,"ok","err")</f>
        <v>ok</v>
      </c>
      <c r="W517" s="155"/>
      <c r="X517" s="140"/>
    </row>
    <row r="518" spans="1:30"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40"/>
    </row>
    <row r="519" spans="1:30">
      <c r="A519" s="147" t="s">
        <v>300</v>
      </c>
      <c r="E519" s="147" t="s">
        <v>309</v>
      </c>
      <c r="F519" s="154">
        <v>11768163.24</v>
      </c>
      <c r="G519" s="16">
        <f>(VLOOKUP($E519,$D$6:$AI$660,G$2,)/VLOOKUP($E519,$D$6:$AI$660,3,))*$F519</f>
        <v>5412616.0839573778</v>
      </c>
      <c r="H519" s="16">
        <f>(VLOOKUP($E519,$D$6:$AI$660,H$2,)/VLOOKUP($E519,$D$6:$AI$660,3,))*$F519</f>
        <v>4203499.3948687017</v>
      </c>
      <c r="I519" s="16">
        <f>(VLOOKUP($E519,$D$6:$AI$660,I$2,)/VLOOKUP($E519,$D$6:$AI$660,3,))*$F519</f>
        <v>690400.34177107096</v>
      </c>
      <c r="J519" s="16">
        <f>(VLOOKUP($E519,$D$6:$AI$660,J$2,)/VLOOKUP($E519,$D$6:$AI$660,3,))*$F519</f>
        <v>93119.909798336317</v>
      </c>
      <c r="K519" s="16">
        <f>(VLOOKUP($E519,$D$6:$AI$660,8,)/VLOOKUP($E519,$D$6:$AI$660,3,))*$F519</f>
        <v>1326371.1792099834</v>
      </c>
      <c r="L519" s="16">
        <f>(VLOOKUP($E519,$D$6:$AI$660,L$2,)/VLOOKUP($E519,$D$6:$AI$660,3,))*$F519</f>
        <v>42156.330394551325</v>
      </c>
      <c r="M519" s="16">
        <f>(VLOOKUP($E519,$D$6:$AI$660,M$2,)/VLOOKUP($E519,$D$6:$AI$660,3,))*$F519</f>
        <v>0</v>
      </c>
      <c r="N519" s="16">
        <f>(VLOOKUP($E519,$D$6:$AI$660,11,)/VLOOKUP($E519,$D$6:$AI$660,3,))*$F519</f>
        <v>0</v>
      </c>
      <c r="O519" s="16">
        <f>(VLOOKUP($E519,$D$6:$AI$660,O$2,)/VLOOKUP($E519,$D$6:$AI$660,3,))*$F519</f>
        <v>0</v>
      </c>
      <c r="P519" s="16">
        <f>(VLOOKUP($E519,$D$6:$AI$660,P$2,)/VLOOKUP($E519,$D$6:$AI$660,3,))*$F519</f>
        <v>0</v>
      </c>
      <c r="Q519" s="16">
        <f>(VLOOKUP($E519,$D$6:$AI$660,Q$2,)/VLOOKUP($E519,$D$6:$AI$660,3,))*$F519</f>
        <v>0</v>
      </c>
      <c r="R519" s="16">
        <f>(VLOOKUP($E519,$D$6:$AI$660,15,)/VLOOKUP($E519,$D$6:$AI$660,3,))*$F519</f>
        <v>0</v>
      </c>
      <c r="S519" s="16">
        <f>(VLOOKUP($E519,$D$6:$AI$660,16,)/VLOOKUP($E519,$D$6:$AI$660,3,))*$F519</f>
        <v>0</v>
      </c>
      <c r="T519" s="16">
        <f>(VLOOKUP($E519,$D$6:$AI$660,17,)/VLOOKUP($E519,$D$6:$AI$660,3,))*$F519</f>
        <v>0</v>
      </c>
      <c r="U519" s="155">
        <f>SUM(G519:M519)</f>
        <v>11768163.240000023</v>
      </c>
      <c r="V519" s="140" t="str">
        <f>IF(ABS(F519-U519)&lt;1,"ok","err")</f>
        <v>ok</v>
      </c>
      <c r="W519" s="155"/>
      <c r="X519" s="140"/>
    </row>
    <row r="520" spans="1:30">
      <c r="A520" s="153"/>
      <c r="F520" s="155"/>
      <c r="U520" s="155"/>
    </row>
    <row r="521" spans="1:30">
      <c r="A521" s="147" t="s">
        <v>706</v>
      </c>
      <c r="D521" s="147" t="s">
        <v>227</v>
      </c>
      <c r="F521" s="155">
        <f>F517-F519</f>
        <v>29692437.488613807</v>
      </c>
      <c r="G521" s="155">
        <f t="shared" ref="G521:T521" si="167">G517-G519</f>
        <v>17597842.784683134</v>
      </c>
      <c r="H521" s="155">
        <f t="shared" si="167"/>
        <v>8644744.1775170509</v>
      </c>
      <c r="I521" s="155">
        <f t="shared" si="167"/>
        <v>1143833.7566601289</v>
      </c>
      <c r="J521" s="155">
        <f t="shared" si="167"/>
        <v>139057.94870125595</v>
      </c>
      <c r="K521" s="155">
        <f t="shared" si="167"/>
        <v>2104049.1061448413</v>
      </c>
      <c r="L521" s="155">
        <f t="shared" si="167"/>
        <v>62909.714907427893</v>
      </c>
      <c r="M521" s="155">
        <f t="shared" si="167"/>
        <v>0</v>
      </c>
      <c r="N521" s="155">
        <f t="shared" si="167"/>
        <v>0</v>
      </c>
      <c r="O521" s="155">
        <f t="shared" si="167"/>
        <v>0</v>
      </c>
      <c r="P521" s="155">
        <f t="shared" si="167"/>
        <v>0</v>
      </c>
      <c r="Q521" s="155">
        <f t="shared" si="167"/>
        <v>0</v>
      </c>
      <c r="R521" s="155">
        <f t="shared" si="167"/>
        <v>0</v>
      </c>
      <c r="S521" s="155">
        <f t="shared" si="167"/>
        <v>0</v>
      </c>
      <c r="T521" s="155">
        <f t="shared" si="167"/>
        <v>0</v>
      </c>
      <c r="U521" s="155">
        <f>SUM(G521:M521)</f>
        <v>29692437.48861384</v>
      </c>
      <c r="V521" s="140" t="str">
        <f>IF(ABS(F521-U521)&lt;2,"ok","err")</f>
        <v>ok</v>
      </c>
      <c r="W521" s="155"/>
      <c r="X521" s="140"/>
    </row>
    <row r="522" spans="1:30">
      <c r="F522" s="155"/>
      <c r="U522" s="155"/>
    </row>
    <row r="523" spans="1:30">
      <c r="A523" s="141" t="s">
        <v>665</v>
      </c>
      <c r="F523" s="155">
        <f t="shared" ref="F523:T523" si="168">F97</f>
        <v>540861618.08308005</v>
      </c>
      <c r="G523" s="155">
        <f t="shared" si="168"/>
        <v>406043085.16145486</v>
      </c>
      <c r="H523" s="155">
        <f t="shared" si="168"/>
        <v>118307877.62920402</v>
      </c>
      <c r="I523" s="155">
        <f t="shared" si="168"/>
        <v>7581760.1474108519</v>
      </c>
      <c r="J523" s="155">
        <f t="shared" si="168"/>
        <v>239391.45669569643</v>
      </c>
      <c r="K523" s="155">
        <f t="shared" si="168"/>
        <v>8573799.1127904672</v>
      </c>
      <c r="L523" s="155">
        <f t="shared" si="168"/>
        <v>115704.57552429572</v>
      </c>
      <c r="M523" s="155">
        <f t="shared" si="168"/>
        <v>0</v>
      </c>
      <c r="N523" s="155">
        <f t="shared" si="168"/>
        <v>0</v>
      </c>
      <c r="O523" s="155">
        <f t="shared" si="168"/>
        <v>0</v>
      </c>
      <c r="P523" s="155">
        <f t="shared" si="168"/>
        <v>0</v>
      </c>
      <c r="Q523" s="155">
        <f t="shared" si="168"/>
        <v>0</v>
      </c>
      <c r="R523" s="155">
        <f t="shared" si="168"/>
        <v>0</v>
      </c>
      <c r="S523" s="155">
        <f t="shared" si="168"/>
        <v>0</v>
      </c>
      <c r="T523" s="155">
        <f t="shared" si="168"/>
        <v>0</v>
      </c>
      <c r="U523" s="155">
        <f>SUM(G523:M523)</f>
        <v>540861618.08308029</v>
      </c>
      <c r="V523" s="140" t="str">
        <f>IF(ABS(F523-U523)&lt;0.01,"ok","err")</f>
        <v>ok</v>
      </c>
      <c r="W523" s="155"/>
      <c r="X523" s="140"/>
    </row>
    <row r="524" spans="1:30">
      <c r="A524" s="141" t="s">
        <v>186</v>
      </c>
      <c r="E524" s="147" t="s">
        <v>297</v>
      </c>
      <c r="F524" s="155">
        <v>0</v>
      </c>
      <c r="G524" s="16">
        <f t="shared" ref="G524:J525" si="169">(VLOOKUP($E524,$D$6:$AI$660,G$2,)/VLOOKUP($E524,$D$6:$AI$660,3,))*$F524</f>
        <v>0</v>
      </c>
      <c r="H524" s="16">
        <f t="shared" si="169"/>
        <v>0</v>
      </c>
      <c r="I524" s="16">
        <f t="shared" si="169"/>
        <v>0</v>
      </c>
      <c r="J524" s="16">
        <f t="shared" si="169"/>
        <v>0</v>
      </c>
      <c r="K524" s="16">
        <f>(VLOOKUP($E524,$D$6:$AI$660,8,)/VLOOKUP($E524,$D$6:$AI$660,3,))*$F524</f>
        <v>0</v>
      </c>
      <c r="L524" s="16">
        <f>(VLOOKUP($E524,$D$6:$AI$660,L$2,)/VLOOKUP($E524,$D$6:$AI$660,3,))*$F524</f>
        <v>0</v>
      </c>
      <c r="M524" s="16">
        <f>(VLOOKUP($E524,$D$6:$AI$660,M$2,)/VLOOKUP($E524,$D$6:$AI$660,3,))*$F524</f>
        <v>0</v>
      </c>
      <c r="N524" s="16">
        <f>(VLOOKUP($E524,$D$6:$AI$660,11,)/VLOOKUP($E524,$D$6:$AI$660,3,))*$F524</f>
        <v>0</v>
      </c>
      <c r="O524" s="16">
        <f t="shared" ref="O524:Q525" si="170">(VLOOKUP($E524,$D$6:$AI$660,O$2,)/VLOOKUP($E524,$D$6:$AI$660,3,))*$F524</f>
        <v>0</v>
      </c>
      <c r="P524" s="16">
        <f t="shared" si="170"/>
        <v>0</v>
      </c>
      <c r="Q524" s="16">
        <f t="shared" si="170"/>
        <v>0</v>
      </c>
      <c r="R524" s="16">
        <f>(VLOOKUP($E524,$D$6:$AI$660,15,)/VLOOKUP($E524,$D$6:$AI$660,3,))*$F524</f>
        <v>0</v>
      </c>
      <c r="S524" s="16">
        <f>(VLOOKUP($E524,$D$6:$AI$660,16,)/VLOOKUP($E524,$D$6:$AI$660,3,))*$F524</f>
        <v>0</v>
      </c>
      <c r="T524" s="16">
        <f>(VLOOKUP($E524,$D$6:$AI$660,17,)/VLOOKUP($E524,$D$6:$AI$660,3,))*$F524</f>
        <v>0</v>
      </c>
      <c r="U524" s="155">
        <f>SUM(G524:M524)</f>
        <v>0</v>
      </c>
      <c r="V524" s="140" t="str">
        <f>IF(ABS(F524-U524)&lt;0.01,"ok","err")</f>
        <v>ok</v>
      </c>
      <c r="W524" s="155"/>
      <c r="X524" s="140"/>
    </row>
    <row r="525" spans="1:30">
      <c r="A525" s="141" t="s">
        <v>870</v>
      </c>
      <c r="E525" s="147" t="s">
        <v>299</v>
      </c>
      <c r="F525" s="155">
        <v>0</v>
      </c>
      <c r="G525" s="16">
        <f t="shared" si="169"/>
        <v>0</v>
      </c>
      <c r="H525" s="16">
        <f t="shared" si="169"/>
        <v>0</v>
      </c>
      <c r="I525" s="16">
        <f t="shared" si="169"/>
        <v>0</v>
      </c>
      <c r="J525" s="16">
        <f t="shared" si="169"/>
        <v>0</v>
      </c>
      <c r="K525" s="16">
        <f>(VLOOKUP($E525,$D$6:$AI$660,8,)/VLOOKUP($E525,$D$6:$AI$660,3,))*$F525</f>
        <v>0</v>
      </c>
      <c r="L525" s="16">
        <f>(VLOOKUP($E525,$D$6:$AI$660,L$2,)/VLOOKUP($E525,$D$6:$AI$660,3,))*$F525</f>
        <v>0</v>
      </c>
      <c r="M525" s="16">
        <f>(VLOOKUP($E525,$D$6:$AI$660,M$2,)/VLOOKUP($E525,$D$6:$AI$660,3,))*$F525</f>
        <v>0</v>
      </c>
      <c r="N525" s="16">
        <f>(VLOOKUP($E525,$D$6:$AI$660,11,)/VLOOKUP($E525,$D$6:$AI$660,3,))*$F525</f>
        <v>0</v>
      </c>
      <c r="O525" s="16">
        <f t="shared" si="170"/>
        <v>0</v>
      </c>
      <c r="P525" s="16">
        <f t="shared" si="170"/>
        <v>0</v>
      </c>
      <c r="Q525" s="16">
        <f t="shared" si="170"/>
        <v>0</v>
      </c>
      <c r="R525" s="16">
        <f>(VLOOKUP($E525,$D$6:$AI$660,15,)/VLOOKUP($E525,$D$6:$AI$660,3,))*$F525</f>
        <v>0</v>
      </c>
      <c r="S525" s="16">
        <f>(VLOOKUP($E525,$D$6:$AI$660,16,)/VLOOKUP($E525,$D$6:$AI$660,3,))*$F525</f>
        <v>0</v>
      </c>
      <c r="T525" s="16">
        <f>(VLOOKUP($E525,$D$6:$AI$660,17,)/VLOOKUP($E525,$D$6:$AI$660,3,))*$F525</f>
        <v>0</v>
      </c>
      <c r="U525" s="155">
        <f>SUM(G525:M525)</f>
        <v>0</v>
      </c>
      <c r="V525" s="140" t="str">
        <f>IF(ABS(F525-U525)&lt;0.01,"ok","err")</f>
        <v>ok</v>
      </c>
      <c r="W525" s="155"/>
      <c r="X525" s="140"/>
    </row>
    <row r="526" spans="1:30" ht="16.5" thickBot="1">
      <c r="A526" s="141" t="s">
        <v>92</v>
      </c>
      <c r="F526" s="155">
        <f>SUM(F523:F525)</f>
        <v>540861618.08308005</v>
      </c>
      <c r="G526" s="155">
        <f>SUM(G523:G525)</f>
        <v>406043085.16145486</v>
      </c>
      <c r="H526" s="155">
        <f t="shared" ref="H526:T526" si="171">SUM(H523:H525)</f>
        <v>118307877.62920402</v>
      </c>
      <c r="I526" s="155">
        <f t="shared" si="171"/>
        <v>7581760.1474108519</v>
      </c>
      <c r="J526" s="155">
        <f t="shared" si="171"/>
        <v>239391.45669569643</v>
      </c>
      <c r="K526" s="155">
        <f t="shared" si="171"/>
        <v>8573799.1127904672</v>
      </c>
      <c r="L526" s="155">
        <f t="shared" si="171"/>
        <v>115704.57552429572</v>
      </c>
      <c r="M526" s="155">
        <f t="shared" si="171"/>
        <v>0</v>
      </c>
      <c r="N526" s="155">
        <f t="shared" si="171"/>
        <v>0</v>
      </c>
      <c r="O526" s="155">
        <f t="shared" si="171"/>
        <v>0</v>
      </c>
      <c r="P526" s="155">
        <f t="shared" si="171"/>
        <v>0</v>
      </c>
      <c r="Q526" s="155">
        <f t="shared" si="171"/>
        <v>0</v>
      </c>
      <c r="R526" s="155">
        <f t="shared" si="171"/>
        <v>0</v>
      </c>
      <c r="S526" s="155">
        <f t="shared" si="171"/>
        <v>0</v>
      </c>
      <c r="T526" s="155">
        <f t="shared" si="171"/>
        <v>0</v>
      </c>
      <c r="U526" s="155">
        <f>SUM(G526:M526)</f>
        <v>540861618.08308029</v>
      </c>
      <c r="V526" s="140" t="str">
        <f>IF(ABS(F526-U526)&lt;0.01,"ok","err")</f>
        <v>ok</v>
      </c>
      <c r="W526" s="155"/>
      <c r="X526" s="140"/>
    </row>
    <row r="527" spans="1:30" ht="16.5" thickBot="1">
      <c r="A527" s="163" t="s">
        <v>707</v>
      </c>
      <c r="B527" s="164"/>
      <c r="C527" s="164"/>
      <c r="D527" s="164"/>
      <c r="E527" s="164"/>
      <c r="F527" s="165">
        <f>IF(F523&lt;&gt;0,F521/F526,"")</f>
        <v>5.4898400063679215E-2</v>
      </c>
      <c r="G527" s="165">
        <f t="shared" ref="G527:T527" si="172">IF(G523&lt;&gt;0,G521/G526,"")</f>
        <v>4.3339841085301839E-2</v>
      </c>
      <c r="H527" s="165">
        <f t="shared" si="172"/>
        <v>7.3069894843444616E-2</v>
      </c>
      <c r="I527" s="165">
        <f t="shared" si="172"/>
        <v>0.15086651838369547</v>
      </c>
      <c r="J527" s="165">
        <f t="shared" si="172"/>
        <v>0.58088099976775742</v>
      </c>
      <c r="K527" s="165">
        <f t="shared" si="172"/>
        <v>0.24540452586601927</v>
      </c>
      <c r="L527" s="165">
        <f t="shared" si="172"/>
        <v>0.54370982843472837</v>
      </c>
      <c r="M527" s="165" t="str">
        <f t="shared" si="172"/>
        <v/>
      </c>
      <c r="N527" s="165" t="str">
        <f t="shared" si="172"/>
        <v/>
      </c>
      <c r="O527" s="165" t="str">
        <f t="shared" si="172"/>
        <v/>
      </c>
      <c r="P527" s="165" t="str">
        <f t="shared" si="172"/>
        <v/>
      </c>
      <c r="Q527" s="165" t="str">
        <f t="shared" si="172"/>
        <v/>
      </c>
      <c r="R527" s="165" t="str">
        <f t="shared" si="172"/>
        <v/>
      </c>
      <c r="S527" s="165" t="str">
        <f t="shared" si="172"/>
        <v/>
      </c>
      <c r="T527" s="165" t="str">
        <f t="shared" si="172"/>
        <v/>
      </c>
      <c r="U527" s="165"/>
      <c r="V527" s="166"/>
      <c r="W527" s="166"/>
      <c r="X527" s="167"/>
      <c r="Y527" s="167"/>
      <c r="Z527" s="168"/>
      <c r="AD527" s="18"/>
    </row>
    <row r="528" spans="1:30">
      <c r="U528" s="155"/>
    </row>
    <row r="529" spans="1:21" hidden="1">
      <c r="A529" s="147" t="s">
        <v>312</v>
      </c>
      <c r="F529" s="169">
        <f>F466/F580</f>
        <v>7.540262464517296</v>
      </c>
      <c r="G529" s="169">
        <f>G466/G580</f>
        <v>11.027907036504011</v>
      </c>
      <c r="H529" s="169">
        <f>H466/H580</f>
        <v>9.0606812065022062</v>
      </c>
      <c r="I529" s="169">
        <f>I466/I580</f>
        <v>7.1174290105713141</v>
      </c>
      <c r="J529" s="169">
        <f>J466/J580</f>
        <v>5.9577507968185941</v>
      </c>
      <c r="K529" s="169">
        <v>0</v>
      </c>
      <c r="L529" s="169">
        <f>L466/L580</f>
        <v>0.40085241384793224</v>
      </c>
      <c r="M529" s="169" t="e">
        <f>M466/M580</f>
        <v>#DIV/0!</v>
      </c>
      <c r="N529" s="169"/>
      <c r="O529" s="169"/>
      <c r="P529" s="169"/>
      <c r="Q529" s="169"/>
      <c r="R529" s="169"/>
      <c r="S529" s="169"/>
      <c r="T529" s="169"/>
      <c r="U529" s="155"/>
    </row>
    <row r="530" spans="1:21" hidden="1">
      <c r="U530" s="155"/>
    </row>
    <row r="531" spans="1:21" hidden="1">
      <c r="A531" s="147" t="s">
        <v>370</v>
      </c>
      <c r="F531" s="158">
        <f t="shared" ref="F531:M531" si="173">F580/(F588*365)</f>
        <v>0.21333392512268676</v>
      </c>
      <c r="G531" s="158">
        <f t="shared" si="173"/>
        <v>0.17214251471563186</v>
      </c>
      <c r="H531" s="158">
        <f t="shared" si="173"/>
        <v>0.19061751742242511</v>
      </c>
      <c r="I531" s="158">
        <f t="shared" si="173"/>
        <v>0.33504372188592535</v>
      </c>
      <c r="J531" s="158">
        <f t="shared" si="173"/>
        <v>0.36902864697299559</v>
      </c>
      <c r="K531" s="158">
        <v>0</v>
      </c>
      <c r="L531" s="158">
        <f t="shared" si="173"/>
        <v>0.76914929475244109</v>
      </c>
      <c r="M531" s="158" t="e">
        <f t="shared" si="173"/>
        <v>#DIV/0!</v>
      </c>
      <c r="N531" s="158"/>
      <c r="O531" s="158"/>
      <c r="P531" s="158"/>
      <c r="Q531" s="158"/>
      <c r="R531" s="158"/>
      <c r="S531" s="158"/>
      <c r="T531" s="158"/>
      <c r="U531" s="155"/>
    </row>
    <row r="532" spans="1:21" hidden="1">
      <c r="F532" s="15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5"/>
    </row>
    <row r="533" spans="1:21" hidden="1">
      <c r="F533" s="15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5"/>
    </row>
    <row r="534" spans="1:21" hidden="1">
      <c r="F534" s="155">
        <f>F487+F515+F519</f>
        <v>118224317.53207502</v>
      </c>
      <c r="U534" s="155"/>
    </row>
    <row r="535" spans="1:21" hidden="1"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55"/>
    </row>
    <row r="536" spans="1:21" hidden="1">
      <c r="U536" s="155"/>
    </row>
    <row r="537" spans="1:21" hidden="1">
      <c r="U537" s="155"/>
    </row>
    <row r="538" spans="1:21" hidden="1">
      <c r="U538" s="155"/>
    </row>
    <row r="539" spans="1:21" hidden="1">
      <c r="U539" s="155"/>
    </row>
    <row r="540" spans="1:21" hidden="1">
      <c r="U540" s="155"/>
    </row>
    <row r="541" spans="1:21" hidden="1">
      <c r="U541" s="155"/>
    </row>
    <row r="542" spans="1:21" hidden="1">
      <c r="U542" s="155"/>
    </row>
    <row r="543" spans="1:21" hidden="1">
      <c r="U543" s="155"/>
    </row>
    <row r="544" spans="1:21" hidden="1">
      <c r="U544" s="155"/>
    </row>
    <row r="545" spans="1:24" hidden="1">
      <c r="U545" s="155"/>
    </row>
    <row r="546" spans="1:24" hidden="1">
      <c r="U546" s="155"/>
    </row>
    <row r="547" spans="1:24" hidden="1">
      <c r="U547" s="155"/>
    </row>
    <row r="548" spans="1:24" hidden="1">
      <c r="U548" s="155"/>
    </row>
    <row r="549" spans="1:24" hidden="1">
      <c r="U549" s="155"/>
    </row>
    <row r="550" spans="1:24" hidden="1">
      <c r="U550" s="155"/>
    </row>
    <row r="551" spans="1:24" hidden="1">
      <c r="U551" s="155"/>
    </row>
    <row r="552" spans="1:24" hidden="1">
      <c r="U552" s="155"/>
    </row>
    <row r="553" spans="1:24" hidden="1">
      <c r="U553" s="155"/>
    </row>
    <row r="554" spans="1:24" hidden="1">
      <c r="A554" s="141"/>
      <c r="U554" s="155"/>
    </row>
    <row r="555" spans="1:24">
      <c r="U555" s="155"/>
    </row>
    <row r="556" spans="1:24">
      <c r="A556" s="161"/>
      <c r="F556" s="155"/>
      <c r="G556" s="155"/>
      <c r="H556" s="155"/>
      <c r="K556" s="147" t="s">
        <v>682</v>
      </c>
      <c r="U556" s="155"/>
    </row>
    <row r="557" spans="1:24">
      <c r="A557" s="152" t="s">
        <v>766</v>
      </c>
      <c r="U557" s="155"/>
    </row>
    <row r="558" spans="1:24">
      <c r="U558" s="155"/>
    </row>
    <row r="559" spans="1:24">
      <c r="A559" s="141" t="s">
        <v>366</v>
      </c>
      <c r="F559" s="155">
        <f>F521</f>
        <v>29692437.488613807</v>
      </c>
      <c r="G559" s="155">
        <f t="shared" ref="G559:T559" si="174">G521</f>
        <v>17597842.784683134</v>
      </c>
      <c r="H559" s="155">
        <f t="shared" si="174"/>
        <v>8644744.1775170509</v>
      </c>
      <c r="I559" s="155">
        <f t="shared" si="174"/>
        <v>1143833.7566601289</v>
      </c>
      <c r="J559" s="155">
        <f t="shared" si="174"/>
        <v>139057.94870125595</v>
      </c>
      <c r="K559" s="155">
        <f t="shared" si="174"/>
        <v>2104049.1061448413</v>
      </c>
      <c r="L559" s="155">
        <f t="shared" si="174"/>
        <v>62909.714907427893</v>
      </c>
      <c r="M559" s="155">
        <f>M521</f>
        <v>0</v>
      </c>
      <c r="N559" s="155">
        <f t="shared" si="174"/>
        <v>0</v>
      </c>
      <c r="O559" s="155">
        <f t="shared" si="174"/>
        <v>0</v>
      </c>
      <c r="P559" s="155">
        <f t="shared" si="174"/>
        <v>0</v>
      </c>
      <c r="Q559" s="155">
        <f t="shared" si="174"/>
        <v>0</v>
      </c>
      <c r="R559" s="155">
        <f t="shared" si="174"/>
        <v>0</v>
      </c>
      <c r="S559" s="155">
        <f t="shared" si="174"/>
        <v>0</v>
      </c>
      <c r="T559" s="155">
        <f t="shared" si="174"/>
        <v>0</v>
      </c>
      <c r="U559" s="155">
        <f>SUM(G559:M559)</f>
        <v>29692437.48861384</v>
      </c>
      <c r="V559" s="140" t="str">
        <f>IF(ABS(F559-U559)&lt;2,"ok","err")</f>
        <v>ok</v>
      </c>
      <c r="W559" s="155"/>
      <c r="X559" s="140"/>
    </row>
    <row r="560" spans="1:24">
      <c r="U560" s="155"/>
    </row>
    <row r="561" spans="1:24">
      <c r="A561" s="141" t="s">
        <v>367</v>
      </c>
      <c r="F561" s="154">
        <v>13893819.26645709</v>
      </c>
      <c r="G561" s="154">
        <v>9166943.9133427516</v>
      </c>
      <c r="H561" s="187">
        <v>3932167.784766431</v>
      </c>
      <c r="I561" s="187">
        <v>395338.03050436731</v>
      </c>
      <c r="J561" s="187">
        <v>98830.059925841691</v>
      </c>
      <c r="K561" s="16">
        <v>290650.01171361946</v>
      </c>
      <c r="L561" s="16">
        <v>9889.4662040766925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U561" s="155">
        <f>SUM(G561:M561)</f>
        <v>13893819.26645709</v>
      </c>
      <c r="V561" s="140" t="str">
        <f>IF(ABS(F561-U561)&lt;0.01,"ok","err")</f>
        <v>ok</v>
      </c>
      <c r="W561" s="155"/>
    </row>
    <row r="562" spans="1:24">
      <c r="A562" s="141" t="s">
        <v>885</v>
      </c>
      <c r="E562" s="147" t="s">
        <v>785</v>
      </c>
      <c r="F562" s="16">
        <v>227042.73354291782</v>
      </c>
      <c r="G562" s="16">
        <f>(VLOOKUP($E562,$D$6:$AI$660,G$2,)/VLOOKUP($E562,$D$6:$AI$660,3,))*$F562</f>
        <v>149799.55938714882</v>
      </c>
      <c r="H562" s="16">
        <f>(VLOOKUP($E562,$D$6:$AI$660,H$2,)/VLOOKUP($E562,$D$6:$AI$660,3,))*$F562</f>
        <v>64256.638544170877</v>
      </c>
      <c r="I562" s="16">
        <f>(VLOOKUP($E562,$D$6:$AI$660,I$2,)/VLOOKUP($E562,$D$6:$AI$660,3,))*$F562</f>
        <v>6460.3278189952571</v>
      </c>
      <c r="J562" s="16">
        <f>(VLOOKUP($E562,$D$6:$AI$660,J$2,)/VLOOKUP($E562,$D$6:$AI$660,3,))*$F562</f>
        <v>1615.0092736520328</v>
      </c>
      <c r="K562" s="16">
        <f>(VLOOKUP($E562,$D$6:$AI$660,8,)/VLOOKUP($E562,$D$6:$AI$660,3,))*$F562</f>
        <v>4749.5920234874811</v>
      </c>
      <c r="L562" s="16">
        <f>(VLOOKUP($E562,$D$6:$AI$660,L$2,)/VLOOKUP($E562,$D$6:$AI$660,3,))*$F562</f>
        <v>161.6064954633913</v>
      </c>
      <c r="M562" s="16">
        <f>(VLOOKUP($E562,$D$6:$AI$660,M$2,)/VLOOKUP($E562,$D$6:$AI$660,3,))*$F562</f>
        <v>0</v>
      </c>
      <c r="N562" s="16">
        <f>(VLOOKUP($E562,$D$6:$AI$660,11,)/VLOOKUP($E562,$D$6:$AI$660,3,))*$F562</f>
        <v>0</v>
      </c>
      <c r="O562" s="16">
        <f>(VLOOKUP($E562,$D$6:$AI$660,O$2,)/VLOOKUP($E562,$D$6:$AI$660,3,))*$F562</f>
        <v>0</v>
      </c>
      <c r="P562" s="16">
        <f>(VLOOKUP($E562,$D$6:$AI$660,P$2,)/VLOOKUP($E562,$D$6:$AI$660,3,))*$F562</f>
        <v>0</v>
      </c>
      <c r="Q562" s="16">
        <f>(VLOOKUP($E562,$D$6:$AI$660,Q$2,)/VLOOKUP($E562,$D$6:$AI$660,3,))*$F562</f>
        <v>0</v>
      </c>
      <c r="R562" s="16">
        <f>(VLOOKUP($E562,$D$6:$AI$660,15,)/VLOOKUP($E562,$D$6:$AI$660,3,))*$F562</f>
        <v>0</v>
      </c>
      <c r="S562" s="16">
        <f>(VLOOKUP($E562,$D$6:$AI$660,16,)/VLOOKUP($E562,$D$6:$AI$660,3,))*$F562</f>
        <v>0</v>
      </c>
      <c r="T562" s="16">
        <f>(VLOOKUP($E562,$D$6:$AI$660,17,)/VLOOKUP($E562,$D$6:$AI$660,3,))*$F562</f>
        <v>0</v>
      </c>
      <c r="U562" s="155">
        <f>SUM(G562:M562)</f>
        <v>227042.73354291791</v>
      </c>
      <c r="V562" s="140" t="str">
        <f>IF(ABS(F562-U562)&lt;0.01,"ok","err")</f>
        <v>ok</v>
      </c>
      <c r="W562" s="155"/>
      <c r="X562" s="140"/>
    </row>
    <row r="563" spans="1:24">
      <c r="F563" s="155"/>
      <c r="U563" s="155"/>
    </row>
    <row r="564" spans="1:24">
      <c r="A564" s="141" t="s">
        <v>709</v>
      </c>
      <c r="E564" s="158">
        <v>0.37318192322147398</v>
      </c>
      <c r="F564" s="16">
        <f>SUM(F561:F562)*$E$564</f>
        <v>5269650.4387050327</v>
      </c>
      <c r="G564" s="16">
        <f t="shared" ref="G564:M564" si="175">SUM(G561:G562)*$E$564</f>
        <v>3476840.2473144587</v>
      </c>
      <c r="H564" s="16">
        <f t="shared" si="175"/>
        <v>1491393.3523003203</v>
      </c>
      <c r="I564" s="16">
        <f t="shared" si="175"/>
        <v>149943.88410634338</v>
      </c>
      <c r="J564" s="16">
        <f t="shared" si="175"/>
        <v>37484.284101981109</v>
      </c>
      <c r="K564" s="16">
        <f t="shared" si="175"/>
        <v>110237.79224147489</v>
      </c>
      <c r="L564" s="16">
        <f t="shared" si="175"/>
        <v>3750.8786404532207</v>
      </c>
      <c r="M564" s="16">
        <f t="shared" si="175"/>
        <v>0</v>
      </c>
      <c r="N564" s="16">
        <f t="shared" ref="N564:T564" si="176">SUM(N561:N562)*0.3719143</f>
        <v>0</v>
      </c>
      <c r="O564" s="16">
        <f t="shared" si="176"/>
        <v>0</v>
      </c>
      <c r="P564" s="16">
        <f t="shared" si="176"/>
        <v>0</v>
      </c>
      <c r="Q564" s="16">
        <f t="shared" si="176"/>
        <v>0</v>
      </c>
      <c r="R564" s="16">
        <f t="shared" si="176"/>
        <v>0</v>
      </c>
      <c r="S564" s="16">
        <f t="shared" si="176"/>
        <v>0</v>
      </c>
      <c r="T564" s="16">
        <f t="shared" si="176"/>
        <v>0</v>
      </c>
      <c r="U564" s="155">
        <f>SUM(G564:M564)</f>
        <v>5269650.4387050308</v>
      </c>
      <c r="V564" s="140" t="str">
        <f>IF(ABS(F564-U564)&lt;0.01,"ok","err")</f>
        <v>ok</v>
      </c>
    </row>
    <row r="565" spans="1:24">
      <c r="A565" s="141" t="s">
        <v>879</v>
      </c>
      <c r="E565" s="147" t="s">
        <v>325</v>
      </c>
      <c r="F565" s="16">
        <v>45186.76</v>
      </c>
      <c r="G565" s="16">
        <f t="shared" ref="G565:J566" si="177">(VLOOKUP($E565,$D$6:$AI$660,G$2,)/VLOOKUP($E565,$D$6:$AI$660,3,))*$F565</f>
        <v>38771.419411813709</v>
      </c>
      <c r="H565" s="16">
        <f t="shared" si="177"/>
        <v>6237.0684315113213</v>
      </c>
      <c r="I565" s="16">
        <f t="shared" si="177"/>
        <v>66.214826776451986</v>
      </c>
      <c r="J565" s="16">
        <f t="shared" si="177"/>
        <v>1.513399053238905</v>
      </c>
      <c r="K565" s="16">
        <f>(VLOOKUP($E565,$D$6:$AI$660,8,)/VLOOKUP($E565,$D$6:$AI$660,3,))*$F565</f>
        <v>103.96393496162914</v>
      </c>
      <c r="L565" s="16">
        <f>(VLOOKUP($E565,$D$6:$AI$660,L$2,)/VLOOKUP($E565,$D$6:$AI$660,3,))*$F565</f>
        <v>6.5799958836474124</v>
      </c>
      <c r="M565" s="16">
        <f>(VLOOKUP($E565,$D$6:$AI$660,M$2,)/VLOOKUP($E565,$D$6:$AI$660,3,))*$F565</f>
        <v>0</v>
      </c>
      <c r="N565" s="16">
        <f>(VLOOKUP($E565,$D$6:$AI$660,11,)/VLOOKUP($E565,$D$6:$AI$660,3,))*$F565</f>
        <v>0</v>
      </c>
      <c r="O565" s="16">
        <f t="shared" ref="O565:Q566" si="178">(VLOOKUP($E565,$D$6:$AI$660,O$2,)/VLOOKUP($E565,$D$6:$AI$660,3,))*$F565</f>
        <v>0</v>
      </c>
      <c r="P565" s="16">
        <f t="shared" si="178"/>
        <v>0</v>
      </c>
      <c r="Q565" s="16">
        <f t="shared" si="178"/>
        <v>0</v>
      </c>
      <c r="R565" s="16">
        <f>(VLOOKUP($E565,$D$6:$AI$660,15,)/VLOOKUP($E565,$D$6:$AI$660,3,))*$F565</f>
        <v>0</v>
      </c>
      <c r="S565" s="16">
        <f>(VLOOKUP($E565,$D$6:$AI$660,16,)/VLOOKUP($E565,$D$6:$AI$660,3,))*$F565</f>
        <v>0</v>
      </c>
      <c r="T565" s="16">
        <f>(VLOOKUP($E565,$D$6:$AI$660,17,)/VLOOKUP($E565,$D$6:$AI$660,3,))*$F565</f>
        <v>0</v>
      </c>
      <c r="U565" s="155">
        <f>SUM(G565:M565)</f>
        <v>45186.759999999995</v>
      </c>
      <c r="V565" s="140" t="str">
        <f>IF(ABS(F565-U565)&lt;0.01,"ok","err")</f>
        <v>ok</v>
      </c>
    </row>
    <row r="566" spans="1:24">
      <c r="A566" s="141" t="s">
        <v>880</v>
      </c>
      <c r="E566" s="147" t="s">
        <v>785</v>
      </c>
      <c r="F566" s="16">
        <v>27563.919999999998</v>
      </c>
      <c r="G566" s="16">
        <f t="shared" si="177"/>
        <v>18186.281527490963</v>
      </c>
      <c r="H566" s="16">
        <f t="shared" si="177"/>
        <v>7801.0197316693229</v>
      </c>
      <c r="I566" s="16">
        <f t="shared" si="177"/>
        <v>784.31032078328485</v>
      </c>
      <c r="J566" s="16">
        <f t="shared" si="177"/>
        <v>196.06875641227202</v>
      </c>
      <c r="K566" s="16">
        <f>(VLOOKUP($E566,$D$6:$AI$660,8,)/VLOOKUP($E566,$D$6:$AI$660,3,))*$F566</f>
        <v>576.61997160239332</v>
      </c>
      <c r="L566" s="16">
        <f>(VLOOKUP($E566,$D$6:$AI$660,L$2,)/VLOOKUP($E566,$D$6:$AI$660,3,))*$F566</f>
        <v>19.619692041768189</v>
      </c>
      <c r="M566" s="16">
        <f>(VLOOKUP($E566,$D$6:$AI$660,M$2,)/VLOOKUP($E566,$D$6:$AI$660,3,))*$F566</f>
        <v>0</v>
      </c>
      <c r="N566" s="16">
        <f>(VLOOKUP($E566,$D$6:$AI$660,11,)/VLOOKUP($E566,$D$6:$AI$660,3,))*$F566</f>
        <v>0</v>
      </c>
      <c r="O566" s="16">
        <f t="shared" si="178"/>
        <v>0</v>
      </c>
      <c r="P566" s="16">
        <f t="shared" si="178"/>
        <v>0</v>
      </c>
      <c r="Q566" s="16">
        <f t="shared" si="178"/>
        <v>0</v>
      </c>
      <c r="R566" s="16">
        <f>(VLOOKUP($E566,$D$6:$AI$660,15,)/VLOOKUP($E566,$D$6:$AI$660,3,))*$F566</f>
        <v>0</v>
      </c>
      <c r="S566" s="16">
        <f>(VLOOKUP($E566,$D$6:$AI$660,16,)/VLOOKUP($E566,$D$6:$AI$660,3,))*$F566</f>
        <v>0</v>
      </c>
      <c r="T566" s="16">
        <f>(VLOOKUP($E566,$D$6:$AI$660,17,)/VLOOKUP($E566,$D$6:$AI$660,3,))*$F566</f>
        <v>0</v>
      </c>
      <c r="U566" s="155">
        <f>SUM(G566:M566)</f>
        <v>27563.920000000006</v>
      </c>
      <c r="V566" s="140" t="str">
        <f>IF(ABS(F566-U566)&lt;0.01,"ok","err")</f>
        <v>ok</v>
      </c>
    </row>
    <row r="567" spans="1:24">
      <c r="U567" s="155"/>
    </row>
    <row r="568" spans="1:24">
      <c r="A568" s="141" t="s">
        <v>368</v>
      </c>
      <c r="F568" s="16">
        <f>F559+SUM(F561:F562)-SUM(F564:F566)</f>
        <v>38470898.36990878</v>
      </c>
      <c r="G568" s="16">
        <f t="shared" ref="G568:L568" si="179">G559+SUM(G561:G562)-SUM(G564:G566)</f>
        <v>23380788.309159275</v>
      </c>
      <c r="H568" s="16">
        <f t="shared" si="179"/>
        <v>11135737.160364153</v>
      </c>
      <c r="I568" s="16">
        <f t="shared" si="179"/>
        <v>1394837.7057295884</v>
      </c>
      <c r="J568" s="16">
        <f t="shared" si="179"/>
        <v>201821.15164330308</v>
      </c>
      <c r="K568" s="16">
        <f t="shared" si="179"/>
        <v>2288530.3337339093</v>
      </c>
      <c r="L568" s="16">
        <f t="shared" si="179"/>
        <v>69183.709278589347</v>
      </c>
      <c r="M568" s="16">
        <f t="shared" ref="M568:T568" si="180">M559+SUM(M561:M562)-M564</f>
        <v>0</v>
      </c>
      <c r="N568" s="16">
        <f t="shared" si="180"/>
        <v>0</v>
      </c>
      <c r="O568" s="16">
        <f t="shared" si="180"/>
        <v>0</v>
      </c>
      <c r="P568" s="16">
        <f t="shared" si="180"/>
        <v>0</v>
      </c>
      <c r="Q568" s="16">
        <f t="shared" si="180"/>
        <v>0</v>
      </c>
      <c r="R568" s="16">
        <f t="shared" si="180"/>
        <v>0</v>
      </c>
      <c r="S568" s="16">
        <f t="shared" si="180"/>
        <v>0</v>
      </c>
      <c r="T568" s="16">
        <f t="shared" si="180"/>
        <v>0</v>
      </c>
      <c r="U568" s="155">
        <f>SUM(G568:M568)</f>
        <v>38470898.369908825</v>
      </c>
      <c r="V568" s="140" t="str">
        <f>IF(ABS(F568-U568)&lt;2,"ok","err")</f>
        <v>ok</v>
      </c>
    </row>
    <row r="569" spans="1:24">
      <c r="U569" s="155"/>
    </row>
    <row r="570" spans="1:24">
      <c r="A570" s="141" t="s">
        <v>708</v>
      </c>
      <c r="F570" s="155">
        <f t="shared" ref="F570:M570" si="181">F526</f>
        <v>540861618.08308005</v>
      </c>
      <c r="G570" s="155">
        <f t="shared" si="181"/>
        <v>406043085.16145486</v>
      </c>
      <c r="H570" s="155">
        <f t="shared" si="181"/>
        <v>118307877.62920402</v>
      </c>
      <c r="I570" s="155">
        <f t="shared" si="181"/>
        <v>7581760.1474108519</v>
      </c>
      <c r="J570" s="155">
        <f t="shared" si="181"/>
        <v>239391.45669569643</v>
      </c>
      <c r="K570" s="155">
        <f t="shared" si="181"/>
        <v>8573799.1127904672</v>
      </c>
      <c r="L570" s="155">
        <f t="shared" si="181"/>
        <v>115704.57552429572</v>
      </c>
      <c r="M570" s="155">
        <f t="shared" si="181"/>
        <v>0</v>
      </c>
      <c r="N570" s="155">
        <f t="shared" ref="N570:T570" si="182">N523</f>
        <v>0</v>
      </c>
      <c r="O570" s="155">
        <f t="shared" si="182"/>
        <v>0</v>
      </c>
      <c r="P570" s="155">
        <f t="shared" si="182"/>
        <v>0</v>
      </c>
      <c r="Q570" s="155">
        <f t="shared" si="182"/>
        <v>0</v>
      </c>
      <c r="R570" s="155">
        <f t="shared" si="182"/>
        <v>0</v>
      </c>
      <c r="S570" s="155">
        <f t="shared" si="182"/>
        <v>0</v>
      </c>
      <c r="T570" s="155">
        <f t="shared" si="182"/>
        <v>0</v>
      </c>
      <c r="U570" s="155">
        <f>SUM(G570:M570)</f>
        <v>540861618.08308029</v>
      </c>
      <c r="V570" s="140" t="str">
        <f>IF(ABS(F570-U570)&lt;0.01,"ok","err")</f>
        <v>ok</v>
      </c>
    </row>
    <row r="571" spans="1:24" ht="16.5" thickBot="1">
      <c r="U571" s="155"/>
    </row>
    <row r="572" spans="1:24" ht="16.5" thickBot="1">
      <c r="A572" s="163" t="s">
        <v>765</v>
      </c>
      <c r="B572" s="164"/>
      <c r="C572" s="164"/>
      <c r="D572" s="164"/>
      <c r="E572" s="164"/>
      <c r="F572" s="165">
        <f>F568/F570</f>
        <v>7.1128911876308043E-2</v>
      </c>
      <c r="G572" s="165">
        <f t="shared" ref="G572:Q572" si="183">G568/G570</f>
        <v>5.7582037876257333E-2</v>
      </c>
      <c r="H572" s="165">
        <f t="shared" si="183"/>
        <v>9.4125069129084957E-2</v>
      </c>
      <c r="I572" s="165">
        <f t="shared" si="183"/>
        <v>0.18397280824109441</v>
      </c>
      <c r="J572" s="165">
        <f t="shared" si="183"/>
        <v>0.8430591234500443</v>
      </c>
      <c r="K572" s="165">
        <f t="shared" si="183"/>
        <v>0.26692138498088441</v>
      </c>
      <c r="L572" s="165">
        <f t="shared" si="183"/>
        <v>0.59793408311724117</v>
      </c>
      <c r="M572" s="165" t="e">
        <f>M568/M570</f>
        <v>#DIV/0!</v>
      </c>
      <c r="N572" s="170">
        <v>0</v>
      </c>
      <c r="O572" s="170" t="e">
        <f t="shared" si="183"/>
        <v>#DIV/0!</v>
      </c>
      <c r="P572" s="170" t="e">
        <f t="shared" si="183"/>
        <v>#DIV/0!</v>
      </c>
      <c r="Q572" s="170" t="e">
        <f t="shared" si="183"/>
        <v>#DIV/0!</v>
      </c>
      <c r="R572" s="170"/>
      <c r="S572" s="170"/>
      <c r="T572" s="170"/>
      <c r="U572" s="155"/>
    </row>
    <row r="573" spans="1:24">
      <c r="G573" s="158"/>
      <c r="H573" s="158"/>
      <c r="I573" s="16"/>
      <c r="J573" s="158"/>
      <c r="K573" s="158"/>
      <c r="L573" s="158"/>
      <c r="M573" s="158"/>
      <c r="P573" s="155"/>
      <c r="U573" s="155"/>
    </row>
    <row r="574" spans="1:24">
      <c r="F574" s="155"/>
      <c r="G574" s="155"/>
      <c r="H574" s="155"/>
      <c r="I574" s="155"/>
      <c r="J574" s="155"/>
      <c r="K574" s="155"/>
      <c r="L574" s="155"/>
      <c r="M574" s="158"/>
      <c r="P574" s="155"/>
      <c r="U574" s="155"/>
    </row>
    <row r="575" spans="1:24">
      <c r="A575" s="157"/>
      <c r="F575" s="16"/>
      <c r="G575" s="16"/>
      <c r="H575" s="16"/>
      <c r="I575" s="16"/>
      <c r="J575" s="16"/>
      <c r="K575" s="16"/>
      <c r="L575" s="16"/>
      <c r="U575" s="155"/>
    </row>
    <row r="576" spans="1:24">
      <c r="U576" s="155"/>
    </row>
    <row r="577" spans="1:23">
      <c r="A577" s="152" t="s">
        <v>228</v>
      </c>
      <c r="U577" s="155"/>
    </row>
    <row r="578" spans="1:23">
      <c r="U578" s="155"/>
    </row>
    <row r="579" spans="1:23">
      <c r="A579" s="141" t="s">
        <v>2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</row>
    <row r="580" spans="1:23">
      <c r="A580" s="147" t="s">
        <v>461</v>
      </c>
      <c r="D580" s="147" t="s">
        <v>314</v>
      </c>
      <c r="F580" s="16">
        <v>44300577.918686844</v>
      </c>
      <c r="G580" s="16">
        <v>19985070.637652706</v>
      </c>
      <c r="H580" s="16">
        <v>10433869.494509621</v>
      </c>
      <c r="I580" s="16">
        <v>1335425.4852254651</v>
      </c>
      <c r="J580" s="16">
        <v>398823.67877300608</v>
      </c>
      <c r="K580" s="16">
        <v>11554241.323209887</v>
      </c>
      <c r="L580" s="16">
        <v>593147.29931616166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/>
      <c r="S580" s="16"/>
      <c r="T580" s="16"/>
      <c r="U580" s="16">
        <f>SUM(G580:M580)</f>
        <v>44300577.918686844</v>
      </c>
      <c r="V580" s="172" t="str">
        <f>IF(ABS(F580-U580)&lt;0.01,"ok","err")</f>
        <v>ok</v>
      </c>
    </row>
    <row r="581" spans="1:23">
      <c r="A581" s="171"/>
      <c r="F581" s="16"/>
      <c r="G581" s="173">
        <f>G580/$F580</f>
        <v>0.4511243775269716</v>
      </c>
      <c r="H581" s="173">
        <f>H580/$F580</f>
        <v>0.23552445554233756</v>
      </c>
      <c r="I581" s="173">
        <f>I580/$F580</f>
        <v>3.0144651559097534E-2</v>
      </c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72"/>
    </row>
    <row r="582" spans="1:23">
      <c r="A582" s="147" t="s">
        <v>3</v>
      </c>
      <c r="D582" s="147" t="s">
        <v>316</v>
      </c>
      <c r="E582" s="16"/>
      <c r="F582" s="174">
        <f>SUM(G582:J582)+L582+M582</f>
        <v>23946577.86794788</v>
      </c>
      <c r="G582" s="16">
        <v>15452000.480987273</v>
      </c>
      <c r="H582" s="16">
        <v>7722825.5</v>
      </c>
      <c r="I582" s="16">
        <v>771751.88696060865</v>
      </c>
      <c r="J582" s="16"/>
      <c r="K582" s="17">
        <v>0</v>
      </c>
      <c r="L582" s="16"/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/>
      <c r="S582" s="16"/>
      <c r="T582" s="16"/>
      <c r="U582" s="16">
        <f>SUM(G582:M582)</f>
        <v>23946577.86794788</v>
      </c>
      <c r="V582" s="172" t="str">
        <f>IF(ABS(F582-U582)&lt;0.01,"ok","err")</f>
        <v>ok</v>
      </c>
    </row>
    <row r="583" spans="1:23">
      <c r="A583" s="147" t="s">
        <v>4</v>
      </c>
      <c r="D583" s="147" t="s">
        <v>318</v>
      </c>
      <c r="F583" s="174">
        <f>F582</f>
        <v>23946577.86794788</v>
      </c>
      <c r="G583" s="16">
        <f t="shared" ref="G583:N583" si="184">G582</f>
        <v>15452000.480987273</v>
      </c>
      <c r="H583" s="16">
        <f t="shared" si="184"/>
        <v>7722825.5</v>
      </c>
      <c r="I583" s="16">
        <f t="shared" si="184"/>
        <v>771751.88696060865</v>
      </c>
      <c r="J583" s="16">
        <f t="shared" si="184"/>
        <v>0</v>
      </c>
      <c r="K583" s="16">
        <f t="shared" si="184"/>
        <v>0</v>
      </c>
      <c r="L583" s="16">
        <f t="shared" si="184"/>
        <v>0</v>
      </c>
      <c r="M583" s="16">
        <f t="shared" si="184"/>
        <v>0</v>
      </c>
      <c r="N583" s="16">
        <f t="shared" si="184"/>
        <v>0</v>
      </c>
      <c r="O583" s="16">
        <f>O582</f>
        <v>0</v>
      </c>
      <c r="P583" s="16">
        <f>P582</f>
        <v>0</v>
      </c>
      <c r="Q583" s="16">
        <f>Q582</f>
        <v>0</v>
      </c>
      <c r="R583" s="16"/>
      <c r="S583" s="16"/>
      <c r="T583" s="16"/>
      <c r="U583" s="16">
        <f>SUM(G583:M583)</f>
        <v>23946577.86794788</v>
      </c>
      <c r="V583" s="172" t="str">
        <f>IF(ABS(F583-U583)&lt;0.01,"ok","err")</f>
        <v>ok</v>
      </c>
    </row>
    <row r="584" spans="1:23">
      <c r="A584" s="147" t="s">
        <v>5</v>
      </c>
      <c r="D584" s="147" t="s">
        <v>319</v>
      </c>
      <c r="F584" s="174">
        <f>F580</f>
        <v>44300577.918686844</v>
      </c>
      <c r="G584" s="16">
        <f>G580</f>
        <v>19985070.637652706</v>
      </c>
      <c r="H584" s="16">
        <f t="shared" ref="H584:M584" si="185">H580</f>
        <v>10433869.494509621</v>
      </c>
      <c r="I584" s="16">
        <f t="shared" si="185"/>
        <v>1335425.4852254651</v>
      </c>
      <c r="J584" s="16">
        <f t="shared" si="185"/>
        <v>398823.67877300608</v>
      </c>
      <c r="K584" s="16">
        <f t="shared" si="185"/>
        <v>11554241.323209887</v>
      </c>
      <c r="L584" s="16">
        <f t="shared" si="185"/>
        <v>593147.29931616166</v>
      </c>
      <c r="M584" s="16">
        <f t="shared" si="185"/>
        <v>0</v>
      </c>
      <c r="N584" s="16">
        <f>N580</f>
        <v>0</v>
      </c>
      <c r="O584" s="16">
        <f>O580</f>
        <v>0</v>
      </c>
      <c r="P584" s="16">
        <f>P580</f>
        <v>0</v>
      </c>
      <c r="Q584" s="16">
        <f>Q580</f>
        <v>0</v>
      </c>
      <c r="R584" s="16"/>
      <c r="S584" s="16"/>
      <c r="T584" s="16"/>
      <c r="U584" s="16">
        <f>SUM(G584:M584)</f>
        <v>44300577.918686844</v>
      </c>
      <c r="V584" s="172" t="str">
        <f>IF(ABS(F584-U584)&lt;0.01,"ok","err")</f>
        <v>ok</v>
      </c>
    </row>
    <row r="585" spans="1:23">
      <c r="A585" s="147" t="s">
        <v>666</v>
      </c>
      <c r="F585" s="174">
        <f>F584</f>
        <v>44300577.918686844</v>
      </c>
      <c r="G585" s="174">
        <f t="shared" ref="G585:M585" si="186">G584</f>
        <v>19985070.637652706</v>
      </c>
      <c r="H585" s="174">
        <f t="shared" si="186"/>
        <v>10433869.494509621</v>
      </c>
      <c r="I585" s="174">
        <f t="shared" si="186"/>
        <v>1335425.4852254651</v>
      </c>
      <c r="J585" s="174">
        <f t="shared" si="186"/>
        <v>398823.67877300608</v>
      </c>
      <c r="K585" s="174">
        <f t="shared" si="186"/>
        <v>11554241.323209887</v>
      </c>
      <c r="L585" s="174">
        <f t="shared" si="186"/>
        <v>593147.29931616166</v>
      </c>
      <c r="M585" s="174">
        <f t="shared" si="186"/>
        <v>0</v>
      </c>
      <c r="N585" s="16">
        <v>0</v>
      </c>
      <c r="O585" s="16">
        <v>0</v>
      </c>
      <c r="P585" s="16">
        <v>0</v>
      </c>
      <c r="Q585" s="16">
        <v>0</v>
      </c>
      <c r="R585" s="16"/>
      <c r="S585" s="16"/>
      <c r="T585" s="16"/>
      <c r="U585" s="16">
        <f>SUM(G585:M585)</f>
        <v>44300577.918686844</v>
      </c>
      <c r="V585" s="172" t="str">
        <f>IF(ABS(F585-U585)&lt;0.01,"ok","err")</f>
        <v>ok</v>
      </c>
    </row>
    <row r="586" spans="1:23">
      <c r="A586" s="171"/>
      <c r="U586" s="16">
        <f>+F585-U585</f>
        <v>0</v>
      </c>
      <c r="V586" s="172"/>
    </row>
    <row r="587" spans="1:23">
      <c r="A587" s="141" t="s">
        <v>1</v>
      </c>
      <c r="U587" s="16"/>
    </row>
    <row r="588" spans="1:23">
      <c r="A588" s="147" t="s">
        <v>461</v>
      </c>
      <c r="D588" s="147" t="s">
        <v>313</v>
      </c>
      <c r="F588" s="16">
        <f>SUM(G588:M588)</f>
        <v>568927.0765667808</v>
      </c>
      <c r="G588" s="16">
        <v>318071.44374415156</v>
      </c>
      <c r="H588" s="16">
        <v>149964.9361040903</v>
      </c>
      <c r="I588" s="16">
        <v>10920.067204743878</v>
      </c>
      <c r="J588" s="16">
        <v>2960.9289740497761</v>
      </c>
      <c r="K588" s="16">
        <v>84896.897336122929</v>
      </c>
      <c r="L588" s="16">
        <v>2112.8032036224181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/>
      <c r="S588" s="16"/>
      <c r="T588" s="16"/>
      <c r="U588" s="16">
        <f>SUM(G588:M588)</f>
        <v>568927.0765667808</v>
      </c>
      <c r="V588" s="172" t="str">
        <f>IF(ABS(F588-U588)&lt;0.01,"ok","err")</f>
        <v>ok</v>
      </c>
      <c r="W588" s="171"/>
    </row>
    <row r="589" spans="1:23">
      <c r="A589" s="147" t="s">
        <v>3</v>
      </c>
      <c r="D589" s="147" t="s">
        <v>315</v>
      </c>
      <c r="F589" s="16">
        <f>SUM(G589:M589)</f>
        <v>12268643.428959999</v>
      </c>
      <c r="G589" s="16">
        <v>8083261.9214399997</v>
      </c>
      <c r="H589" s="16">
        <v>3867307.5</v>
      </c>
      <c r="I589" s="16">
        <v>318074.00751999998</v>
      </c>
      <c r="J589" s="16"/>
      <c r="K589" s="16"/>
      <c r="L589" s="16"/>
      <c r="M589" s="16"/>
      <c r="N589" s="16">
        <f>J589+K589</f>
        <v>0</v>
      </c>
      <c r="O589" s="16"/>
      <c r="P589" s="16"/>
      <c r="Q589" s="16">
        <v>0</v>
      </c>
      <c r="R589" s="16"/>
      <c r="S589" s="16"/>
      <c r="T589" s="16"/>
      <c r="U589" s="16">
        <f>SUM(G589:M589)</f>
        <v>12268643.428959999</v>
      </c>
      <c r="V589" s="172" t="str">
        <f>IF(ABS(F589-U589)&lt;0.01,"ok","err")</f>
        <v>ok</v>
      </c>
    </row>
    <row r="590" spans="1:23">
      <c r="F590" s="16"/>
      <c r="G590" s="173">
        <f>G589/$F589</f>
        <v>0.65885539572855689</v>
      </c>
      <c r="H590" s="173">
        <f>H589/$F589</f>
        <v>0.31521883592046229</v>
      </c>
      <c r="I590" s="173">
        <f>I589/$F589</f>
        <v>2.5925768350980823E-2</v>
      </c>
      <c r="J590" s="173"/>
      <c r="K590" s="173"/>
      <c r="L590" s="173"/>
      <c r="M590" s="173"/>
      <c r="N590" s="16"/>
      <c r="O590" s="16"/>
      <c r="P590" s="16"/>
      <c r="Q590" s="16"/>
      <c r="R590" s="16"/>
      <c r="S590" s="16"/>
      <c r="T590" s="16"/>
      <c r="U590" s="16"/>
      <c r="V590" s="172"/>
    </row>
    <row r="591" spans="1:23">
      <c r="A591" s="147" t="s">
        <v>4</v>
      </c>
      <c r="D591" s="147" t="s">
        <v>317</v>
      </c>
      <c r="F591" s="16">
        <f>F589</f>
        <v>12268643.428959999</v>
      </c>
      <c r="G591" s="16">
        <f>G589</f>
        <v>8083261.9214399997</v>
      </c>
      <c r="H591" s="16">
        <f>H589</f>
        <v>3867307.5</v>
      </c>
      <c r="I591" s="16">
        <f>I589</f>
        <v>318074.00751999998</v>
      </c>
      <c r="J591" s="16">
        <f t="shared" ref="J591:Q591" si="187">J589</f>
        <v>0</v>
      </c>
      <c r="K591" s="16">
        <f t="shared" si="187"/>
        <v>0</v>
      </c>
      <c r="L591" s="16">
        <f t="shared" si="187"/>
        <v>0</v>
      </c>
      <c r="M591" s="16">
        <f>M589</f>
        <v>0</v>
      </c>
      <c r="N591" s="16">
        <f t="shared" si="187"/>
        <v>0</v>
      </c>
      <c r="O591" s="16">
        <f t="shared" si="187"/>
        <v>0</v>
      </c>
      <c r="P591" s="16">
        <f t="shared" si="187"/>
        <v>0</v>
      </c>
      <c r="Q591" s="16">
        <f t="shared" si="187"/>
        <v>0</v>
      </c>
      <c r="R591" s="16"/>
      <c r="S591" s="16"/>
      <c r="T591" s="16"/>
      <c r="U591" s="16">
        <f>SUM(G591:M591)</f>
        <v>12268643.428959999</v>
      </c>
      <c r="V591" s="172" t="str">
        <f>IF(ABS(F591-U591)&lt;0.01,"ok","err")</f>
        <v>ok</v>
      </c>
    </row>
    <row r="592" spans="1:23">
      <c r="A592" s="147" t="s">
        <v>327</v>
      </c>
      <c r="D592" s="147" t="s">
        <v>320</v>
      </c>
      <c r="F592" s="16">
        <f>F588</f>
        <v>568927.0765667808</v>
      </c>
      <c r="G592" s="16">
        <f t="shared" ref="G592:M592" si="188">G588</f>
        <v>318071.44374415156</v>
      </c>
      <c r="H592" s="16">
        <f t="shared" si="188"/>
        <v>149964.9361040903</v>
      </c>
      <c r="I592" s="16">
        <f t="shared" si="188"/>
        <v>10920.067204743878</v>
      </c>
      <c r="J592" s="16">
        <f t="shared" si="188"/>
        <v>2960.9289740497761</v>
      </c>
      <c r="K592" s="16">
        <f t="shared" si="188"/>
        <v>84896.897336122929</v>
      </c>
      <c r="L592" s="16">
        <f t="shared" si="188"/>
        <v>2112.8032036224181</v>
      </c>
      <c r="M592" s="16">
        <f t="shared" si="188"/>
        <v>0</v>
      </c>
      <c r="N592" s="16">
        <v>0</v>
      </c>
      <c r="O592" s="16">
        <f>O588</f>
        <v>0</v>
      </c>
      <c r="P592" s="16">
        <f>P588</f>
        <v>0</v>
      </c>
      <c r="Q592" s="16">
        <f>Q588</f>
        <v>0</v>
      </c>
      <c r="R592" s="16"/>
      <c r="S592" s="16"/>
      <c r="T592" s="16"/>
      <c r="U592" s="16">
        <f>SUM(G592:M592)</f>
        <v>568927.0765667808</v>
      </c>
      <c r="V592" s="172" t="str">
        <f>IF(ABS(F592-U592)&lt;0.01,"ok","err")</f>
        <v>ok</v>
      </c>
    </row>
    <row r="593" spans="1:22">
      <c r="A593" s="147" t="s">
        <v>693</v>
      </c>
      <c r="D593" s="147" t="s">
        <v>321</v>
      </c>
      <c r="F593" s="16">
        <f>F592</f>
        <v>568927.0765667808</v>
      </c>
      <c r="G593" s="16">
        <f t="shared" ref="G593:P593" si="189">G592</f>
        <v>318071.44374415156</v>
      </c>
      <c r="H593" s="16">
        <f t="shared" si="189"/>
        <v>149964.9361040903</v>
      </c>
      <c r="I593" s="16">
        <f t="shared" si="189"/>
        <v>10920.067204743878</v>
      </c>
      <c r="J593" s="16">
        <f t="shared" si="189"/>
        <v>2960.9289740497761</v>
      </c>
      <c r="K593" s="16">
        <f t="shared" si="189"/>
        <v>84896.897336122929</v>
      </c>
      <c r="L593" s="16">
        <f t="shared" si="189"/>
        <v>2112.8032036224181</v>
      </c>
      <c r="M593" s="16">
        <f t="shared" si="189"/>
        <v>0</v>
      </c>
      <c r="N593" s="16">
        <v>0</v>
      </c>
      <c r="O593" s="16">
        <f t="shared" si="189"/>
        <v>0</v>
      </c>
      <c r="P593" s="16">
        <f t="shared" si="189"/>
        <v>0</v>
      </c>
      <c r="Q593" s="16">
        <v>0</v>
      </c>
      <c r="R593" s="16"/>
      <c r="S593" s="16"/>
      <c r="T593" s="16"/>
      <c r="U593" s="16">
        <f>SUM(G593:M593)</f>
        <v>568927.0765667808</v>
      </c>
      <c r="V593" s="172" t="str">
        <f>IF(ABS(F593-U593)&lt;0.01,"ok","err")</f>
        <v>ok</v>
      </c>
    </row>
    <row r="594" spans="1:22">
      <c r="A594" s="147" t="s">
        <v>692</v>
      </c>
      <c r="D594" s="147" t="s">
        <v>695</v>
      </c>
      <c r="F594" s="16">
        <f>SUM(G594:M594)</f>
        <v>500930.87336315843</v>
      </c>
      <c r="G594" s="16">
        <v>318071.44374415156</v>
      </c>
      <c r="H594" s="16">
        <v>146791.4361040903</v>
      </c>
      <c r="I594" s="16">
        <v>10475.467204743878</v>
      </c>
      <c r="J594" s="16">
        <v>2.8974049776024913E-2</v>
      </c>
      <c r="K594" s="16">
        <v>25592.49733612292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U594" s="16">
        <f>SUM(G594:M594)</f>
        <v>500930.87336315843</v>
      </c>
      <c r="V594" s="172" t="str">
        <f>IF(ABS(F594-U594)&lt;0.01,"ok","err")</f>
        <v>ok</v>
      </c>
    </row>
    <row r="595" spans="1:22">
      <c r="A595" s="141" t="s">
        <v>9</v>
      </c>
      <c r="F595" s="171"/>
      <c r="G595" s="171"/>
      <c r="U595" s="16"/>
    </row>
    <row r="596" spans="1:22">
      <c r="A596" s="147" t="s">
        <v>874</v>
      </c>
      <c r="D596" s="147" t="s">
        <v>322</v>
      </c>
      <c r="F596" s="16">
        <f>SUM(G596:M596)</f>
        <v>318650.24291362526</v>
      </c>
      <c r="G596" s="16">
        <f>3535390/12</f>
        <v>294615.83333333331</v>
      </c>
      <c r="H596" s="16">
        <f>284365/12</f>
        <v>23697.083333333332</v>
      </c>
      <c r="I596" s="16">
        <f>3018.91496350365/12</f>
        <v>251.57624695863751</v>
      </c>
      <c r="J596" s="16">
        <f>69/12</f>
        <v>5.75</v>
      </c>
      <c r="K596" s="16">
        <f>948/12</f>
        <v>79</v>
      </c>
      <c r="L596" s="16">
        <v>1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/>
      <c r="S596" s="16"/>
      <c r="T596" s="16"/>
      <c r="U596" s="16">
        <f t="shared" ref="U596:U602" si="190">SUM(G596:M596)</f>
        <v>318650.24291362526</v>
      </c>
      <c r="V596" s="172" t="str">
        <f t="shared" ref="V596:V602" si="191">IF(ABS(F596-U596)&lt;0.01,"ok","err")</f>
        <v>ok</v>
      </c>
    </row>
    <row r="597" spans="1:22">
      <c r="A597" s="147" t="s">
        <v>875</v>
      </c>
      <c r="D597" s="147" t="s">
        <v>694</v>
      </c>
      <c r="F597" s="16">
        <f>SUM(G597:M597)</f>
        <v>318610.74291362526</v>
      </c>
      <c r="G597" s="16">
        <f>G596</f>
        <v>294615.83333333331</v>
      </c>
      <c r="H597" s="16">
        <f>H596</f>
        <v>23697.083333333332</v>
      </c>
      <c r="I597" s="16">
        <f>I596-1</f>
        <v>250.57624695863751</v>
      </c>
      <c r="J597" s="16">
        <f>J596-(54/12)</f>
        <v>1.25</v>
      </c>
      <c r="K597" s="16">
        <f>K596-(396/12)</f>
        <v>46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/>
      <c r="S597" s="16"/>
      <c r="T597" s="16"/>
      <c r="U597" s="16">
        <f>SUM(G597:M597)</f>
        <v>318610.74291362526</v>
      </c>
      <c r="V597" s="172" t="str">
        <f>IF(ABS(F597-U597)&lt;0.01,"ok","err")</f>
        <v>ok</v>
      </c>
    </row>
    <row r="598" spans="1:22">
      <c r="A598" s="147" t="s">
        <v>10</v>
      </c>
      <c r="D598" s="147" t="s">
        <v>323</v>
      </c>
      <c r="F598" s="16">
        <f>F621</f>
        <v>230644747.15297103</v>
      </c>
      <c r="G598" s="16">
        <f t="shared" ref="G598:T598" si="192">G621</f>
        <v>193936251.77509278</v>
      </c>
      <c r="H598" s="16">
        <f t="shared" si="192"/>
        <v>36022788.54459247</v>
      </c>
      <c r="I598" s="16">
        <f t="shared" si="192"/>
        <v>335357.46236041986</v>
      </c>
      <c r="J598" s="16">
        <f t="shared" si="192"/>
        <v>99407.886022930514</v>
      </c>
      <c r="K598" s="16">
        <f t="shared" si="192"/>
        <v>245406.01097076118</v>
      </c>
      <c r="L598" s="16">
        <f t="shared" si="192"/>
        <v>5535.4739316713049</v>
      </c>
      <c r="M598" s="16">
        <f t="shared" si="192"/>
        <v>0</v>
      </c>
      <c r="N598" s="16">
        <v>0</v>
      </c>
      <c r="O598" s="16">
        <f t="shared" si="192"/>
        <v>0</v>
      </c>
      <c r="P598" s="16">
        <f t="shared" si="192"/>
        <v>0</v>
      </c>
      <c r="Q598" s="16">
        <f t="shared" si="192"/>
        <v>0</v>
      </c>
      <c r="R598" s="16">
        <f t="shared" si="192"/>
        <v>0</v>
      </c>
      <c r="S598" s="16">
        <f t="shared" si="192"/>
        <v>0</v>
      </c>
      <c r="T598" s="16">
        <f t="shared" si="192"/>
        <v>0</v>
      </c>
      <c r="U598" s="16">
        <f t="shared" si="190"/>
        <v>230644747.15297103</v>
      </c>
      <c r="V598" s="172" t="str">
        <f t="shared" si="191"/>
        <v>ok</v>
      </c>
    </row>
    <row r="599" spans="1:22">
      <c r="A599" s="147" t="s">
        <v>11</v>
      </c>
      <c r="D599" s="147" t="s">
        <v>324</v>
      </c>
      <c r="F599" s="16">
        <v>119748675.24743965</v>
      </c>
      <c r="G599" s="16">
        <v>88540094.059052616</v>
      </c>
      <c r="H599" s="16">
        <v>27823777.274211578</v>
      </c>
      <c r="I599" s="16">
        <v>2095012.0791488723</v>
      </c>
      <c r="J599" s="16">
        <v>86815.707109090974</v>
      </c>
      <c r="K599" s="16">
        <v>1202976.1279174839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f t="shared" si="190"/>
        <v>119748675.24743965</v>
      </c>
      <c r="V599" s="172" t="str">
        <f t="shared" si="191"/>
        <v>ok</v>
      </c>
    </row>
    <row r="600" spans="1:22">
      <c r="A600" s="147" t="s">
        <v>653</v>
      </c>
      <c r="F600" s="16">
        <v>318650.24291362526</v>
      </c>
      <c r="G600" s="16">
        <v>294615.83333333331</v>
      </c>
      <c r="H600" s="16">
        <v>23697.083333333332</v>
      </c>
      <c r="I600" s="16">
        <v>251.57624695863751</v>
      </c>
      <c r="J600" s="16">
        <v>5.75</v>
      </c>
      <c r="K600" s="16">
        <v>79</v>
      </c>
      <c r="L600" s="16">
        <v>1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/>
      <c r="S600" s="16"/>
      <c r="T600" s="16"/>
      <c r="U600" s="16">
        <f t="shared" si="190"/>
        <v>318650.24291362526</v>
      </c>
      <c r="V600" s="172" t="str">
        <f t="shared" si="191"/>
        <v>ok</v>
      </c>
    </row>
    <row r="601" spans="1:22">
      <c r="A601" s="147" t="s">
        <v>12</v>
      </c>
      <c r="D601" s="147" t="s">
        <v>325</v>
      </c>
      <c r="F601" s="16">
        <f>F602</f>
        <v>343364.65249391727</v>
      </c>
      <c r="G601" s="16">
        <f t="shared" ref="G601:M601" si="193">G602</f>
        <v>294615.83333333331</v>
      </c>
      <c r="H601" s="16">
        <f t="shared" si="193"/>
        <v>47394.166666666664</v>
      </c>
      <c r="I601" s="16">
        <f t="shared" si="193"/>
        <v>503.15249391727502</v>
      </c>
      <c r="J601" s="16">
        <f t="shared" si="193"/>
        <v>11.5</v>
      </c>
      <c r="K601" s="16">
        <f t="shared" si="193"/>
        <v>790</v>
      </c>
      <c r="L601" s="16">
        <f t="shared" si="193"/>
        <v>50</v>
      </c>
      <c r="M601" s="16">
        <f t="shared" si="193"/>
        <v>0</v>
      </c>
      <c r="N601" s="16">
        <v>0</v>
      </c>
      <c r="O601" s="16">
        <f>O602</f>
        <v>0</v>
      </c>
      <c r="P601" s="16">
        <f>P602</f>
        <v>0</v>
      </c>
      <c r="Q601" s="16">
        <f>Q602</f>
        <v>0</v>
      </c>
      <c r="R601" s="16">
        <v>0</v>
      </c>
      <c r="S601" s="16">
        <v>0</v>
      </c>
      <c r="T601" s="16">
        <v>0</v>
      </c>
      <c r="U601" s="16">
        <f t="shared" si="190"/>
        <v>343364.65249391727</v>
      </c>
      <c r="V601" s="172" t="str">
        <f>IF(ABS(F601-U601)&lt;0.0001,"ok","err")</f>
        <v>ok</v>
      </c>
    </row>
    <row r="602" spans="1:22">
      <c r="A602" s="147" t="s">
        <v>13</v>
      </c>
      <c r="D602" s="147" t="s">
        <v>326</v>
      </c>
      <c r="F602" s="16">
        <f>U602</f>
        <v>343364.65249391727</v>
      </c>
      <c r="G602" s="16">
        <f>G600*1</f>
        <v>294615.83333333331</v>
      </c>
      <c r="H602" s="16">
        <f>H600*2</f>
        <v>47394.166666666664</v>
      </c>
      <c r="I602" s="16">
        <f>I600*2</f>
        <v>503.15249391727502</v>
      </c>
      <c r="J602" s="16">
        <f>J600*2</f>
        <v>11.5</v>
      </c>
      <c r="K602" s="16">
        <f>K600*10</f>
        <v>790</v>
      </c>
      <c r="L602" s="16">
        <f>L600*50</f>
        <v>50</v>
      </c>
      <c r="M602" s="16">
        <f>M600*50</f>
        <v>0</v>
      </c>
      <c r="N602" s="16">
        <v>0</v>
      </c>
      <c r="O602" s="16">
        <f>O600*20</f>
        <v>0</v>
      </c>
      <c r="P602" s="16">
        <f>P600*20</f>
        <v>0</v>
      </c>
      <c r="Q602" s="16">
        <f>Q600*20</f>
        <v>0</v>
      </c>
      <c r="R602" s="16"/>
      <c r="S602" s="16"/>
      <c r="T602" s="16"/>
      <c r="U602" s="16">
        <f t="shared" si="190"/>
        <v>343364.65249391727</v>
      </c>
      <c r="V602" s="172" t="str">
        <f t="shared" si="191"/>
        <v>ok</v>
      </c>
    </row>
    <row r="603" spans="1:22"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40"/>
    </row>
    <row r="604" spans="1:22">
      <c r="A604" s="147" t="s">
        <v>675</v>
      </c>
      <c r="D604" s="147" t="s">
        <v>676</v>
      </c>
      <c r="F604" s="16">
        <v>1234768</v>
      </c>
      <c r="G604" s="16">
        <v>1028042.1340945031</v>
      </c>
      <c r="H604" s="16">
        <v>189000.81465052479</v>
      </c>
      <c r="I604" s="16">
        <v>13032.042851115502</v>
      </c>
      <c r="J604" s="16">
        <v>4693.0084038566065</v>
      </c>
      <c r="K604" s="16"/>
      <c r="L604" s="16">
        <v>0</v>
      </c>
      <c r="M604" s="16">
        <v>0</v>
      </c>
      <c r="N604" s="173">
        <v>0</v>
      </c>
      <c r="O604" s="173">
        <v>0</v>
      </c>
      <c r="P604" s="173">
        <v>0</v>
      </c>
      <c r="Q604" s="173">
        <v>0</v>
      </c>
      <c r="R604" s="16"/>
      <c r="S604" s="16"/>
      <c r="T604" s="16"/>
      <c r="U604" s="16">
        <f>SUM(G604:M604)</f>
        <v>1234768</v>
      </c>
      <c r="V604" s="172" t="str">
        <f>IF(ABS(F604-U604)=0,"ok","err")</f>
        <v>ok</v>
      </c>
    </row>
    <row r="605" spans="1:22">
      <c r="F605" s="16"/>
      <c r="G605" s="16"/>
      <c r="H605" s="16"/>
      <c r="I605" s="16"/>
      <c r="J605" s="173"/>
      <c r="K605" s="173"/>
      <c r="L605" s="173"/>
      <c r="M605" s="173"/>
      <c r="N605" s="173"/>
      <c r="O605" s="173"/>
      <c r="P605" s="173"/>
      <c r="Q605" s="173"/>
      <c r="R605" s="16"/>
      <c r="S605" s="16"/>
      <c r="T605" s="16"/>
      <c r="U605" s="16"/>
      <c r="V605" s="172"/>
    </row>
    <row r="606" spans="1:22">
      <c r="A606" s="152" t="s">
        <v>672</v>
      </c>
      <c r="F606" s="16"/>
      <c r="G606" s="173"/>
      <c r="H606" s="173"/>
      <c r="I606" s="173"/>
      <c r="J606" s="173"/>
      <c r="K606" s="173"/>
      <c r="L606" s="173"/>
      <c r="M606" s="173"/>
      <c r="N606" s="16"/>
      <c r="O606" s="16"/>
      <c r="P606" s="16"/>
      <c r="Q606" s="16"/>
      <c r="R606" s="16"/>
      <c r="S606" s="16"/>
      <c r="T606" s="16"/>
      <c r="U606" s="173"/>
      <c r="V606" s="140"/>
    </row>
    <row r="607" spans="1:22">
      <c r="H607" s="16"/>
      <c r="I607" s="16"/>
      <c r="J607" s="16"/>
      <c r="K607" s="16"/>
      <c r="L607" s="16"/>
      <c r="M607" s="16"/>
      <c r="U607" s="16"/>
    </row>
    <row r="608" spans="1:22">
      <c r="A608" s="141" t="s">
        <v>306</v>
      </c>
      <c r="U608" s="16"/>
    </row>
    <row r="609" spans="1:24">
      <c r="U609" s="16"/>
    </row>
    <row r="610" spans="1:24">
      <c r="A610" s="147" t="s">
        <v>307</v>
      </c>
      <c r="D610" s="147" t="s">
        <v>311</v>
      </c>
      <c r="F610" s="155">
        <f>F517</f>
        <v>41460600.728613809</v>
      </c>
      <c r="G610" s="155">
        <f t="shared" ref="G610:Q610" si="194">G517</f>
        <v>23010458.868640512</v>
      </c>
      <c r="H610" s="155">
        <f t="shared" si="194"/>
        <v>12848243.572385753</v>
      </c>
      <c r="I610" s="155">
        <f t="shared" si="194"/>
        <v>1834234.0984312</v>
      </c>
      <c r="J610" s="155">
        <f t="shared" si="194"/>
        <v>232177.85849959229</v>
      </c>
      <c r="K610" s="155">
        <f t="shared" si="194"/>
        <v>3430420.2853548247</v>
      </c>
      <c r="L610" s="155">
        <f t="shared" si="194"/>
        <v>105066.04530197922</v>
      </c>
      <c r="M610" s="155">
        <f t="shared" si="194"/>
        <v>0</v>
      </c>
      <c r="N610" s="155">
        <f t="shared" si="194"/>
        <v>0</v>
      </c>
      <c r="O610" s="155">
        <f t="shared" si="194"/>
        <v>0</v>
      </c>
      <c r="P610" s="155">
        <f t="shared" si="194"/>
        <v>0</v>
      </c>
      <c r="Q610" s="155">
        <f t="shared" si="194"/>
        <v>0</v>
      </c>
      <c r="R610" s="155">
        <v>0</v>
      </c>
      <c r="S610" s="155">
        <v>0</v>
      </c>
      <c r="T610" s="155">
        <v>0</v>
      </c>
      <c r="U610" s="16">
        <f>SUM(G610:M610)</f>
        <v>41460600.728613861</v>
      </c>
      <c r="V610" s="140" t="str">
        <f>IF(ABS(F610-U610)&lt;2,"ok","err")</f>
        <v>ok</v>
      </c>
    </row>
    <row r="611" spans="1:24">
      <c r="U611" s="16"/>
    </row>
    <row r="612" spans="1:24">
      <c r="A612" s="147" t="s">
        <v>663</v>
      </c>
      <c r="D612" s="147" t="s">
        <v>310</v>
      </c>
      <c r="F612" s="154">
        <f t="shared" ref="F612:Q612" si="195">F460</f>
        <v>12821010.591184497</v>
      </c>
      <c r="G612" s="154">
        <f t="shared" si="195"/>
        <v>9838045.8884312939</v>
      </c>
      <c r="H612" s="154">
        <f t="shared" si="195"/>
        <v>2618397.3885073792</v>
      </c>
      <c r="I612" s="154">
        <f t="shared" si="195"/>
        <v>154041.32613374578</v>
      </c>
      <c r="J612" s="154">
        <f t="shared" si="195"/>
        <v>5556.5926427515424</v>
      </c>
      <c r="K612" s="154">
        <f t="shared" si="195"/>
        <v>202497.10244419007</v>
      </c>
      <c r="L612" s="154">
        <f t="shared" si="195"/>
        <v>2472.2930251367666</v>
      </c>
      <c r="M612" s="154">
        <f t="shared" si="195"/>
        <v>0</v>
      </c>
      <c r="N612" s="154">
        <f t="shared" si="195"/>
        <v>0</v>
      </c>
      <c r="O612" s="154">
        <f t="shared" si="195"/>
        <v>0</v>
      </c>
      <c r="P612" s="154">
        <f t="shared" si="195"/>
        <v>0</v>
      </c>
      <c r="Q612" s="154">
        <f t="shared" si="195"/>
        <v>0</v>
      </c>
      <c r="R612" s="154"/>
      <c r="S612" s="154"/>
      <c r="T612" s="154"/>
      <c r="U612" s="16">
        <f>SUM(G612:M612)</f>
        <v>12821010.591184499</v>
      </c>
      <c r="V612" s="140" t="str">
        <f>IF(ABS(F612-U612)&lt;0.01,"ok","err")</f>
        <v>ok</v>
      </c>
    </row>
    <row r="613" spans="1:24">
      <c r="A613" s="147" t="s">
        <v>705</v>
      </c>
      <c r="F613" s="154">
        <v>0</v>
      </c>
      <c r="G613" s="16">
        <f>$F613*(G612/$F612)</f>
        <v>0</v>
      </c>
      <c r="H613" s="16">
        <f t="shared" ref="H613:Q613" si="196">$F613*(H612/$F612)</f>
        <v>0</v>
      </c>
      <c r="I613" s="16">
        <f t="shared" si="196"/>
        <v>0</v>
      </c>
      <c r="J613" s="16">
        <f t="shared" si="196"/>
        <v>0</v>
      </c>
      <c r="K613" s="16">
        <f t="shared" si="196"/>
        <v>0</v>
      </c>
      <c r="L613" s="16">
        <f t="shared" si="196"/>
        <v>0</v>
      </c>
      <c r="M613" s="16">
        <f t="shared" si="196"/>
        <v>0</v>
      </c>
      <c r="N613" s="16">
        <f t="shared" si="196"/>
        <v>0</v>
      </c>
      <c r="O613" s="16">
        <f t="shared" si="196"/>
        <v>0</v>
      </c>
      <c r="P613" s="16">
        <f t="shared" si="196"/>
        <v>0</v>
      </c>
      <c r="Q613" s="16">
        <f t="shared" si="196"/>
        <v>0</v>
      </c>
      <c r="R613" s="154"/>
      <c r="S613" s="154"/>
      <c r="T613" s="154"/>
      <c r="U613" s="16">
        <f>SUM(G613:M613)</f>
        <v>0</v>
      </c>
      <c r="V613" s="140" t="str">
        <f>IF(ABS(F613-U613)&lt;0.01,"ok","err")</f>
        <v>ok</v>
      </c>
    </row>
    <row r="614" spans="1:24">
      <c r="U614" s="16"/>
    </row>
    <row r="615" spans="1:24">
      <c r="A615" s="147" t="s">
        <v>306</v>
      </c>
      <c r="D615" s="147" t="s">
        <v>309</v>
      </c>
      <c r="F615" s="155">
        <f>F610-F612-F613</f>
        <v>28639590.137429312</v>
      </c>
      <c r="G615" s="155">
        <f t="shared" ref="G615:Q615" si="197">G610-G612-G613</f>
        <v>13172412.980209218</v>
      </c>
      <c r="H615" s="155">
        <f t="shared" si="197"/>
        <v>10229846.183878373</v>
      </c>
      <c r="I615" s="155">
        <f t="shared" si="197"/>
        <v>1680192.7722974543</v>
      </c>
      <c r="J615" s="155">
        <f t="shared" si="197"/>
        <v>226621.26585684074</v>
      </c>
      <c r="K615" s="155">
        <f t="shared" si="197"/>
        <v>3227923.1829106347</v>
      </c>
      <c r="L615" s="155">
        <f t="shared" si="197"/>
        <v>102593.75227684245</v>
      </c>
      <c r="M615" s="155">
        <f t="shared" si="197"/>
        <v>0</v>
      </c>
      <c r="N615" s="155">
        <f t="shared" si="197"/>
        <v>0</v>
      </c>
      <c r="O615" s="155">
        <f t="shared" si="197"/>
        <v>0</v>
      </c>
      <c r="P615" s="155">
        <f t="shared" si="197"/>
        <v>0</v>
      </c>
      <c r="Q615" s="155">
        <f t="shared" si="197"/>
        <v>0</v>
      </c>
      <c r="R615" s="155"/>
      <c r="S615" s="155"/>
      <c r="T615" s="155"/>
      <c r="U615" s="16">
        <f>SUM(G615:M615)</f>
        <v>28639590.137429364</v>
      </c>
      <c r="V615" s="140" t="str">
        <f>IF(ABS(F615-U615)&lt;2,"ok","err")</f>
        <v>ok</v>
      </c>
    </row>
    <row r="616" spans="1:24">
      <c r="U616" s="16"/>
    </row>
    <row r="617" spans="1:24">
      <c r="A617" s="147" t="s">
        <v>679</v>
      </c>
      <c r="D617" s="147" t="s">
        <v>680</v>
      </c>
      <c r="F617" s="155">
        <f t="shared" ref="F617:Q617" si="198">F119+F122+F129+F132+F135</f>
        <v>37055720.316399567</v>
      </c>
      <c r="G617" s="155">
        <f t="shared" si="198"/>
        <v>28724331.207452025</v>
      </c>
      <c r="H617" s="155">
        <f t="shared" si="198"/>
        <v>6595572.6087773023</v>
      </c>
      <c r="I617" s="155">
        <f t="shared" si="198"/>
        <v>365044.62765870406</v>
      </c>
      <c r="J617" s="155">
        <f t="shared" si="198"/>
        <v>35159.758244143864</v>
      </c>
      <c r="K617" s="155">
        <f t="shared" si="198"/>
        <v>1311189.1169232754</v>
      </c>
      <c r="L617" s="155">
        <f t="shared" si="198"/>
        <v>24422.997344117586</v>
      </c>
      <c r="M617" s="155">
        <f t="shared" si="198"/>
        <v>0</v>
      </c>
      <c r="N617" s="155">
        <f t="shared" si="198"/>
        <v>0</v>
      </c>
      <c r="O617" s="155">
        <f t="shared" si="198"/>
        <v>0</v>
      </c>
      <c r="P617" s="155">
        <f t="shared" si="198"/>
        <v>0</v>
      </c>
      <c r="Q617" s="155">
        <f t="shared" si="198"/>
        <v>0</v>
      </c>
      <c r="U617" s="16">
        <f>SUM(G617:M617)</f>
        <v>37055720.316399559</v>
      </c>
    </row>
    <row r="618" spans="1:24">
      <c r="U618" s="16"/>
    </row>
    <row r="619" spans="1:24">
      <c r="A619" s="147" t="s">
        <v>328</v>
      </c>
      <c r="F619" s="171">
        <f t="shared" ref="F619:T619" si="199">F596</f>
        <v>318650.24291362526</v>
      </c>
      <c r="G619" s="171">
        <f t="shared" si="199"/>
        <v>294615.83333333331</v>
      </c>
      <c r="H619" s="171">
        <f t="shared" si="199"/>
        <v>23697.083333333332</v>
      </c>
      <c r="I619" s="171">
        <f t="shared" si="199"/>
        <v>251.57624695863751</v>
      </c>
      <c r="J619" s="171">
        <f t="shared" si="199"/>
        <v>5.75</v>
      </c>
      <c r="K619" s="171">
        <f t="shared" si="199"/>
        <v>79</v>
      </c>
      <c r="L619" s="171">
        <f t="shared" si="199"/>
        <v>1</v>
      </c>
      <c r="M619" s="171">
        <f t="shared" si="199"/>
        <v>0</v>
      </c>
      <c r="N619" s="171">
        <f t="shared" si="199"/>
        <v>0</v>
      </c>
      <c r="O619" s="171">
        <f t="shared" si="199"/>
        <v>0</v>
      </c>
      <c r="P619" s="171">
        <f t="shared" si="199"/>
        <v>0</v>
      </c>
      <c r="Q619" s="171">
        <f t="shared" si="199"/>
        <v>0</v>
      </c>
      <c r="R619" s="171">
        <f t="shared" si="199"/>
        <v>0</v>
      </c>
      <c r="S619" s="171">
        <f t="shared" si="199"/>
        <v>0</v>
      </c>
      <c r="T619" s="171">
        <f t="shared" si="199"/>
        <v>0</v>
      </c>
      <c r="U619" s="16">
        <f>SUM(G619:M619)</f>
        <v>318650.24291362526</v>
      </c>
      <c r="V619" s="140" t="str">
        <f>IF(ABS(F619-U619)&lt;0.01,"ok","err")</f>
        <v>ok</v>
      </c>
    </row>
    <row r="620" spans="1:24">
      <c r="G620" s="175"/>
      <c r="U620" s="16"/>
    </row>
    <row r="621" spans="1:24">
      <c r="A621" s="147" t="s">
        <v>697</v>
      </c>
      <c r="F621" s="171">
        <f>F38</f>
        <v>230644747.15297103</v>
      </c>
      <c r="G621" s="16">
        <f>$F621*G622</f>
        <v>193936251.77509278</v>
      </c>
      <c r="H621" s="16">
        <f t="shared" ref="H621:Q621" si="200">$F621*H622</f>
        <v>36022788.54459247</v>
      </c>
      <c r="I621" s="16">
        <f t="shared" si="200"/>
        <v>335357.46236041986</v>
      </c>
      <c r="J621" s="16">
        <f t="shared" si="200"/>
        <v>99407.886022930514</v>
      </c>
      <c r="K621" s="16">
        <f t="shared" si="200"/>
        <v>245406.01097076118</v>
      </c>
      <c r="L621" s="16">
        <f t="shared" si="200"/>
        <v>5535.4739316713049</v>
      </c>
      <c r="M621" s="16">
        <f t="shared" si="200"/>
        <v>0</v>
      </c>
      <c r="N621" s="16">
        <f t="shared" si="200"/>
        <v>0</v>
      </c>
      <c r="O621" s="16">
        <f t="shared" si="200"/>
        <v>0</v>
      </c>
      <c r="P621" s="16">
        <f t="shared" si="200"/>
        <v>0</v>
      </c>
      <c r="Q621" s="16">
        <f t="shared" si="200"/>
        <v>0</v>
      </c>
      <c r="R621" s="171">
        <f>R619*R620</f>
        <v>0</v>
      </c>
      <c r="S621" s="171">
        <f>S619*S620</f>
        <v>0</v>
      </c>
      <c r="T621" s="171">
        <f>T619*T620</f>
        <v>0</v>
      </c>
      <c r="U621" s="16">
        <f>SUM(G621:M621)</f>
        <v>230644747.15297103</v>
      </c>
      <c r="V621" s="140" t="str">
        <f>IF(ABS(F621-U621)&lt;0.01,"ok","err")</f>
        <v>ok</v>
      </c>
    </row>
    <row r="622" spans="1:24">
      <c r="G622" s="173">
        <v>0.84084400000000004</v>
      </c>
      <c r="H622" s="173">
        <v>0.15618299999999999</v>
      </c>
      <c r="I622" s="173">
        <v>1.454E-3</v>
      </c>
      <c r="J622" s="173">
        <v>4.3100000000000001E-4</v>
      </c>
      <c r="K622" s="173">
        <v>1.0640000000000001E-3</v>
      </c>
      <c r="L622" s="173">
        <v>2.4000000000000001E-5</v>
      </c>
      <c r="M622" s="173">
        <v>0</v>
      </c>
      <c r="N622" s="173">
        <v>0</v>
      </c>
      <c r="O622" s="173">
        <f>M622/4</f>
        <v>0</v>
      </c>
      <c r="P622" s="173">
        <f>M622/4</f>
        <v>0</v>
      </c>
      <c r="Q622" s="173">
        <f>M622/2</f>
        <v>0</v>
      </c>
      <c r="U622" s="176">
        <f>SUM(G622:M622)</f>
        <v>0.99999999999999989</v>
      </c>
    </row>
    <row r="623" spans="1:24">
      <c r="F623" s="171"/>
      <c r="G623" s="16"/>
      <c r="H623" s="16"/>
      <c r="I623" s="16"/>
      <c r="J623" s="16"/>
      <c r="K623" s="16"/>
      <c r="L623" s="16"/>
      <c r="M623" s="16"/>
      <c r="U623" s="16"/>
    </row>
    <row r="624" spans="1:24" s="16" customFormat="1">
      <c r="A624" s="147" t="s">
        <v>704</v>
      </c>
      <c r="D624" s="177" t="s">
        <v>785</v>
      </c>
      <c r="F624" s="16">
        <v>334037984.83669817</v>
      </c>
      <c r="G624" s="16">
        <v>220393501.10999998</v>
      </c>
      <c r="H624" s="16">
        <v>94537965.239999995</v>
      </c>
      <c r="I624" s="16">
        <v>9504796.0899999999</v>
      </c>
      <c r="J624" s="16">
        <v>2376092.09</v>
      </c>
      <c r="K624" s="16">
        <v>6987865.7800000003</v>
      </c>
      <c r="L624" s="16">
        <v>237764.52669826537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U624" s="16">
        <f t="shared" ref="U624:U629" si="201">SUM(G624:M624)</f>
        <v>334037984.83669817</v>
      </c>
      <c r="V624" s="140" t="str">
        <f>IF(ABS(F624-U624)=0,"ok","err")</f>
        <v>ok</v>
      </c>
      <c r="W624" s="155"/>
      <c r="X624" s="140"/>
    </row>
    <row r="625" spans="1:25" s="16" customFormat="1">
      <c r="A625" s="147" t="s">
        <v>786</v>
      </c>
      <c r="D625" s="177" t="s">
        <v>219</v>
      </c>
      <c r="F625" s="16">
        <v>142753861.74752548</v>
      </c>
      <c r="G625" s="16">
        <v>100526323.10999997</v>
      </c>
      <c r="H625" s="16">
        <v>33324522.239999995</v>
      </c>
      <c r="I625" s="16">
        <v>3077607</v>
      </c>
      <c r="J625" s="16">
        <v>271224.08999999985</v>
      </c>
      <c r="K625" s="16">
        <v>5409623.7825254994</v>
      </c>
      <c r="L625" s="16">
        <v>144561.52499999999</v>
      </c>
      <c r="M625" s="16">
        <v>0</v>
      </c>
      <c r="N625" s="16">
        <f t="shared" ref="N625:T625" si="202">N624-N628</f>
        <v>0</v>
      </c>
      <c r="O625" s="16">
        <f t="shared" si="202"/>
        <v>0</v>
      </c>
      <c r="P625" s="16">
        <f t="shared" si="202"/>
        <v>0</v>
      </c>
      <c r="Q625" s="16">
        <f t="shared" si="202"/>
        <v>0</v>
      </c>
      <c r="R625" s="16">
        <f t="shared" si="202"/>
        <v>0</v>
      </c>
      <c r="S625" s="16">
        <f t="shared" si="202"/>
        <v>0</v>
      </c>
      <c r="T625" s="16">
        <f t="shared" si="202"/>
        <v>0</v>
      </c>
      <c r="U625" s="16">
        <f t="shared" si="201"/>
        <v>142753861.74752548</v>
      </c>
      <c r="V625" s="140" t="str">
        <f>IF(ABS(F625-U625)&lt;=0.01,"ok","err")</f>
        <v>ok</v>
      </c>
      <c r="W625" s="155"/>
      <c r="X625" s="140"/>
    </row>
    <row r="626" spans="1:25">
      <c r="A626" s="147" t="s">
        <v>710</v>
      </c>
      <c r="D626" s="160" t="s">
        <v>700</v>
      </c>
      <c r="F626" s="16">
        <v>4660393</v>
      </c>
      <c r="G626" s="16">
        <v>1917198</v>
      </c>
      <c r="H626" s="16">
        <v>1065013</v>
      </c>
      <c r="I626" s="16">
        <v>0</v>
      </c>
      <c r="J626" s="16">
        <v>6737</v>
      </c>
      <c r="K626" s="16">
        <v>1578242</v>
      </c>
      <c r="L626" s="16">
        <v>93203</v>
      </c>
      <c r="M626" s="16"/>
      <c r="N626" s="16">
        <v>0</v>
      </c>
      <c r="O626" s="16">
        <v>0</v>
      </c>
      <c r="P626" s="16">
        <v>0</v>
      </c>
      <c r="Q626" s="16">
        <v>0</v>
      </c>
      <c r="R626" s="171"/>
      <c r="S626" s="171"/>
      <c r="T626" s="171"/>
      <c r="U626" s="16">
        <f t="shared" si="201"/>
        <v>4660393</v>
      </c>
      <c r="V626" s="140" t="str">
        <f>IF(ABS(F626-U626)=0,"ok","err")</f>
        <v>ok</v>
      </c>
    </row>
    <row r="627" spans="1:25">
      <c r="A627" s="147" t="s">
        <v>730</v>
      </c>
      <c r="D627" s="160" t="s">
        <v>729</v>
      </c>
      <c r="F627" s="16">
        <v>332763.48</v>
      </c>
      <c r="G627" s="16">
        <v>95489.119349999994</v>
      </c>
      <c r="H627" s="16">
        <v>237274.36064999999</v>
      </c>
      <c r="I627" s="16"/>
      <c r="J627" s="16"/>
      <c r="K627" s="16"/>
      <c r="L627" s="16"/>
      <c r="M627" s="16"/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f t="shared" si="201"/>
        <v>332763.48</v>
      </c>
      <c r="V627" s="140" t="str">
        <f>IF(ABS(F627-U627)=0,"ok","err")</f>
        <v>ok</v>
      </c>
      <c r="Y627" s="171"/>
    </row>
    <row r="628" spans="1:25">
      <c r="A628" s="147" t="s">
        <v>784</v>
      </c>
      <c r="D628" s="160" t="s">
        <v>783</v>
      </c>
      <c r="F628" s="16">
        <v>167683934</v>
      </c>
      <c r="G628" s="16">
        <v>105116312</v>
      </c>
      <c r="H628" s="16">
        <v>54544206</v>
      </c>
      <c r="I628" s="16">
        <v>6048391</v>
      </c>
      <c r="J628" s="16">
        <v>1975025</v>
      </c>
      <c r="K628" s="16"/>
      <c r="L628" s="16">
        <v>0</v>
      </c>
      <c r="M628" s="16">
        <v>0</v>
      </c>
      <c r="N628" s="16"/>
      <c r="O628" s="16">
        <v>0</v>
      </c>
      <c r="P628" s="16">
        <v>0</v>
      </c>
      <c r="Q628" s="16">
        <v>0</v>
      </c>
      <c r="U628" s="16">
        <f>SUM(G628:M628)</f>
        <v>167683934</v>
      </c>
      <c r="V628" s="140" t="s">
        <v>0</v>
      </c>
    </row>
    <row r="629" spans="1:25">
      <c r="A629" s="147" t="s">
        <v>787</v>
      </c>
      <c r="D629" s="160" t="s">
        <v>658</v>
      </c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U629" s="16">
        <f t="shared" si="201"/>
        <v>0</v>
      </c>
      <c r="V629" s="140" t="s">
        <v>0</v>
      </c>
    </row>
    <row r="630" spans="1:25">
      <c r="A630" s="147" t="s">
        <v>781</v>
      </c>
      <c r="D630" s="160" t="s">
        <v>782</v>
      </c>
      <c r="F630" s="16">
        <f t="shared" ref="F630:Q630" si="203">F478+SUM(F495:F508)</f>
        <v>-194327055.37</v>
      </c>
      <c r="G630" s="16">
        <f t="shared" si="203"/>
        <v>-121986304.5394834</v>
      </c>
      <c r="H630" s="16">
        <f t="shared" si="203"/>
        <v>-61995559.688315868</v>
      </c>
      <c r="I630" s="16">
        <f t="shared" si="203"/>
        <v>-6496157.4049761621</v>
      </c>
      <c r="J630" s="16">
        <f t="shared" si="203"/>
        <v>-2118491.3197162827</v>
      </c>
      <c r="K630" s="16">
        <f t="shared" si="203"/>
        <v>-1635776.3789522906</v>
      </c>
      <c r="L630" s="16">
        <f t="shared" si="203"/>
        <v>-94766.038556023632</v>
      </c>
      <c r="M630" s="16">
        <f t="shared" si="203"/>
        <v>0</v>
      </c>
      <c r="N630" s="16">
        <f t="shared" si="203"/>
        <v>0</v>
      </c>
      <c r="O630" s="16">
        <f t="shared" si="203"/>
        <v>0</v>
      </c>
      <c r="P630" s="16">
        <f t="shared" si="203"/>
        <v>0</v>
      </c>
      <c r="Q630" s="16">
        <f t="shared" si="203"/>
        <v>0</v>
      </c>
      <c r="U630" s="16">
        <f>SUM(G630:M630)</f>
        <v>-194327055.37</v>
      </c>
      <c r="V630" s="140" t="s">
        <v>0</v>
      </c>
    </row>
    <row r="631" spans="1:25">
      <c r="F631" s="171"/>
      <c r="M631" s="171"/>
      <c r="U631" s="16"/>
    </row>
    <row r="632" spans="1:25">
      <c r="A632" s="147" t="s">
        <v>755</v>
      </c>
      <c r="D632" s="147" t="s">
        <v>756</v>
      </c>
      <c r="F632" s="171">
        <f t="shared" ref="F632:M632" si="204">F81+F82</f>
        <v>16690854.295156343</v>
      </c>
      <c r="G632" s="171">
        <f t="shared" si="204"/>
        <v>11886504.943087652</v>
      </c>
      <c r="H632" s="171">
        <f t="shared" si="204"/>
        <v>3076769.1175858537</v>
      </c>
      <c r="I632" s="171">
        <f t="shared" si="204"/>
        <v>191705.62347947794</v>
      </c>
      <c r="J632" s="171">
        <f t="shared" si="204"/>
        <v>50609.792687580033</v>
      </c>
      <c r="K632" s="171">
        <f t="shared" si="204"/>
        <v>1449219.7224621342</v>
      </c>
      <c r="L632" s="171">
        <f t="shared" si="204"/>
        <v>36045.095853647428</v>
      </c>
      <c r="M632" s="171">
        <f t="shared" si="204"/>
        <v>0</v>
      </c>
      <c r="U632" s="16">
        <f>SUM(G632:M632)</f>
        <v>16690854.295156345</v>
      </c>
      <c r="V632" s="140" t="s">
        <v>0</v>
      </c>
    </row>
    <row r="633" spans="1:25">
      <c r="U633" s="16"/>
    </row>
    <row r="634" spans="1:25">
      <c r="A634" s="166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7"/>
    </row>
    <row r="635" spans="1:25">
      <c r="A635" s="168"/>
      <c r="B635" s="168"/>
      <c r="C635" s="168"/>
      <c r="D635" s="168"/>
      <c r="E635" s="168"/>
      <c r="F635" s="168"/>
      <c r="G635" s="17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7"/>
    </row>
    <row r="636" spans="1:25">
      <c r="A636" s="166"/>
      <c r="B636" s="168"/>
      <c r="C636" s="168"/>
      <c r="D636" s="168"/>
      <c r="E636" s="168"/>
      <c r="F636" s="168"/>
      <c r="G636" s="17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7"/>
    </row>
    <row r="637" spans="1:25">
      <c r="A637" s="168"/>
      <c r="B637" s="168"/>
      <c r="C637" s="168"/>
      <c r="D637" s="168"/>
      <c r="E637" s="168"/>
      <c r="F637" s="178"/>
      <c r="G637" s="17"/>
      <c r="H637" s="178"/>
      <c r="I637" s="178"/>
      <c r="J637" s="178"/>
      <c r="K637" s="178"/>
      <c r="L637" s="178"/>
      <c r="M637" s="178"/>
      <c r="N637" s="178"/>
      <c r="O637" s="178"/>
      <c r="P637" s="178"/>
      <c r="Q637" s="178"/>
      <c r="R637" s="168"/>
      <c r="S637" s="168"/>
      <c r="T637" s="168"/>
      <c r="U637" s="17"/>
    </row>
    <row r="638" spans="1:25">
      <c r="A638" s="168"/>
      <c r="B638" s="168"/>
      <c r="C638" s="168"/>
      <c r="D638" s="168"/>
      <c r="E638" s="168"/>
      <c r="F638" s="179"/>
      <c r="G638" s="178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68"/>
      <c r="S638" s="168"/>
      <c r="T638" s="168"/>
      <c r="U638" s="17"/>
    </row>
    <row r="639" spans="1:25">
      <c r="A639" s="168"/>
      <c r="B639" s="168"/>
      <c r="C639" s="168"/>
      <c r="D639" s="168"/>
      <c r="E639" s="168"/>
      <c r="F639" s="180"/>
      <c r="G639" s="17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68"/>
      <c r="S639" s="168"/>
      <c r="T639" s="168"/>
      <c r="U639" s="17"/>
    </row>
    <row r="640" spans="1:25">
      <c r="A640" s="168"/>
      <c r="B640" s="168"/>
      <c r="C640" s="168"/>
      <c r="D640" s="168"/>
      <c r="E640" s="168"/>
      <c r="F640" s="168"/>
      <c r="G640" s="16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7"/>
    </row>
    <row r="641" spans="1:21">
      <c r="A641" s="168"/>
      <c r="B641" s="168"/>
      <c r="C641" s="168"/>
      <c r="D641" s="168"/>
      <c r="E641" s="168"/>
      <c r="F641" s="178"/>
      <c r="H641" s="178"/>
      <c r="I641" s="178"/>
      <c r="J641" s="178"/>
      <c r="K641" s="178"/>
      <c r="L641" s="178"/>
      <c r="M641" s="178"/>
      <c r="N641" s="178"/>
      <c r="O641" s="178"/>
      <c r="P641" s="178"/>
      <c r="Q641" s="178"/>
      <c r="R641" s="168"/>
      <c r="S641" s="168"/>
      <c r="T641" s="168"/>
      <c r="U641" s="17"/>
    </row>
    <row r="642" spans="1:21">
      <c r="A642" s="168"/>
      <c r="B642" s="168"/>
      <c r="C642" s="168"/>
      <c r="D642" s="168"/>
      <c r="E642" s="168"/>
      <c r="F642" s="17"/>
      <c r="G642" s="16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68"/>
      <c r="S642" s="168"/>
      <c r="T642" s="168"/>
      <c r="U642" s="17"/>
    </row>
    <row r="643" spans="1:21">
      <c r="A643" s="168"/>
      <c r="B643" s="168"/>
      <c r="C643" s="168"/>
      <c r="D643" s="168"/>
      <c r="E643" s="168"/>
      <c r="F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68"/>
      <c r="S643" s="168"/>
      <c r="T643" s="168"/>
      <c r="U643" s="17"/>
    </row>
    <row r="644" spans="1:21">
      <c r="A644" s="168"/>
      <c r="B644" s="168"/>
      <c r="C644" s="168"/>
      <c r="D644" s="168"/>
      <c r="E644" s="168"/>
      <c r="F644" s="17"/>
      <c r="G644" s="155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68"/>
      <c r="S644" s="168"/>
      <c r="T644" s="168"/>
      <c r="U644" s="17"/>
    </row>
    <row r="645" spans="1:21">
      <c r="A645" s="168"/>
      <c r="B645" s="168"/>
      <c r="C645" s="168"/>
      <c r="D645" s="168"/>
      <c r="E645" s="168"/>
      <c r="F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68"/>
      <c r="S645" s="168"/>
      <c r="T645" s="168"/>
      <c r="U645" s="17"/>
    </row>
    <row r="646" spans="1:21">
      <c r="A646" s="168"/>
      <c r="B646" s="168"/>
      <c r="C646" s="168"/>
      <c r="D646" s="168"/>
      <c r="E646" s="168"/>
      <c r="F646" s="168"/>
      <c r="G646" s="170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7"/>
    </row>
    <row r="647" spans="1:21">
      <c r="A647" s="168"/>
      <c r="B647" s="168"/>
      <c r="C647" s="168"/>
      <c r="D647" s="168"/>
      <c r="E647" s="168"/>
      <c r="F647" s="178"/>
      <c r="G647" s="181"/>
      <c r="H647" s="178"/>
      <c r="I647" s="178"/>
      <c r="J647" s="178"/>
      <c r="K647" s="178"/>
      <c r="L647" s="178"/>
      <c r="M647" s="178"/>
      <c r="N647" s="178"/>
      <c r="O647" s="178"/>
      <c r="P647" s="178"/>
      <c r="Q647" s="178"/>
      <c r="R647" s="168"/>
      <c r="S647" s="168"/>
      <c r="T647" s="168"/>
      <c r="U647" s="17"/>
    </row>
    <row r="648" spans="1:21">
      <c r="A648" s="168"/>
      <c r="B648" s="168"/>
      <c r="C648" s="168"/>
      <c r="D648" s="168"/>
      <c r="E648" s="168"/>
      <c r="F648" s="17"/>
      <c r="G648" s="179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68"/>
      <c r="S648" s="168"/>
      <c r="T648" s="168"/>
      <c r="U648" s="17"/>
    </row>
    <row r="649" spans="1:21">
      <c r="A649" s="168"/>
      <c r="B649" s="168"/>
      <c r="C649" s="168"/>
      <c r="D649" s="168"/>
      <c r="E649" s="168"/>
      <c r="F649" s="178"/>
      <c r="H649" s="178"/>
      <c r="I649" s="178"/>
      <c r="J649" s="178"/>
      <c r="K649" s="178"/>
      <c r="L649" s="178"/>
      <c r="M649" s="178"/>
      <c r="N649" s="178"/>
      <c r="O649" s="178"/>
      <c r="P649" s="178"/>
      <c r="Q649" s="178"/>
      <c r="R649" s="168"/>
      <c r="S649" s="168"/>
      <c r="T649" s="168"/>
      <c r="U649" s="17"/>
    </row>
    <row r="650" spans="1:21">
      <c r="A650" s="168"/>
      <c r="B650" s="168"/>
      <c r="C650" s="168"/>
      <c r="D650" s="168"/>
      <c r="E650" s="168"/>
      <c r="F650" s="168"/>
      <c r="G650" s="182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7"/>
    </row>
    <row r="651" spans="1:21">
      <c r="A651" s="168"/>
      <c r="B651" s="168"/>
      <c r="C651" s="168"/>
      <c r="D651" s="168"/>
      <c r="E651" s="168"/>
      <c r="F651" s="183"/>
      <c r="G651" s="171"/>
      <c r="H651" s="183"/>
      <c r="I651" s="183"/>
      <c r="J651" s="183"/>
      <c r="K651" s="183"/>
      <c r="L651" s="183"/>
      <c r="M651" s="183"/>
      <c r="N651" s="183"/>
      <c r="O651" s="183"/>
      <c r="P651" s="183"/>
      <c r="Q651" s="183"/>
      <c r="R651" s="168"/>
      <c r="S651" s="168"/>
      <c r="T651" s="168"/>
      <c r="U651" s="17"/>
    </row>
    <row r="652" spans="1:21">
      <c r="A652" s="168"/>
      <c r="B652" s="168"/>
      <c r="C652" s="168"/>
      <c r="D652" s="168"/>
      <c r="E652" s="168"/>
      <c r="F652" s="168"/>
      <c r="G652" s="155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7"/>
    </row>
    <row r="653" spans="1:21">
      <c r="A653" s="168"/>
      <c r="B653" s="168"/>
      <c r="C653" s="168"/>
      <c r="D653" s="168"/>
      <c r="E653" s="168"/>
      <c r="F653" s="184"/>
      <c r="G653" s="185"/>
      <c r="H653" s="181"/>
      <c r="I653" s="181"/>
      <c r="J653" s="181"/>
      <c r="K653" s="181"/>
      <c r="L653" s="181"/>
      <c r="M653" s="181"/>
      <c r="N653" s="181"/>
      <c r="O653" s="181"/>
      <c r="P653" s="181"/>
      <c r="Q653" s="181"/>
      <c r="R653" s="168"/>
      <c r="S653" s="168"/>
      <c r="T653" s="168"/>
      <c r="U653" s="17"/>
    </row>
    <row r="654" spans="1:21">
      <c r="A654" s="168"/>
      <c r="B654" s="168"/>
      <c r="C654" s="168"/>
      <c r="D654" s="168"/>
      <c r="E654" s="168"/>
      <c r="F654" s="186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7"/>
    </row>
    <row r="655" spans="1:21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7"/>
    </row>
    <row r="656" spans="1:21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7"/>
    </row>
    <row r="657" spans="1:21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7"/>
    </row>
    <row r="658" spans="1:21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7"/>
    </row>
    <row r="659" spans="1:21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7"/>
    </row>
    <row r="660" spans="1:21">
      <c r="A660" s="166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7"/>
    </row>
    <row r="661" spans="1:21">
      <c r="A661" s="168"/>
      <c r="B661" s="168"/>
      <c r="C661" s="168"/>
      <c r="D661" s="168"/>
      <c r="E661" s="168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68"/>
      <c r="S661" s="168"/>
      <c r="T661" s="168"/>
      <c r="U661" s="17"/>
    </row>
    <row r="662" spans="1:21">
      <c r="A662" s="168"/>
      <c r="B662" s="168"/>
      <c r="C662" s="168"/>
      <c r="D662" s="168"/>
      <c r="E662" s="168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68"/>
      <c r="S662" s="168"/>
      <c r="T662" s="168"/>
      <c r="U662" s="17"/>
    </row>
    <row r="663" spans="1:21">
      <c r="A663" s="168"/>
      <c r="B663" s="168"/>
      <c r="C663" s="168"/>
      <c r="D663" s="168"/>
      <c r="E663" s="168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68"/>
      <c r="S663" s="168"/>
      <c r="T663" s="168"/>
      <c r="U663" s="17"/>
    </row>
    <row r="664" spans="1:21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7"/>
    </row>
    <row r="665" spans="1:21">
      <c r="A665" s="168"/>
      <c r="B665" s="168"/>
      <c r="C665" s="168"/>
      <c r="D665" s="168"/>
      <c r="E665" s="168"/>
      <c r="F665" s="178"/>
      <c r="G665" s="178"/>
      <c r="H665" s="178"/>
      <c r="I665" s="178"/>
      <c r="J665" s="178"/>
      <c r="K665" s="178"/>
      <c r="L665" s="178"/>
      <c r="M665" s="178"/>
      <c r="N665" s="178"/>
      <c r="O665" s="178"/>
      <c r="P665" s="178"/>
      <c r="Q665" s="178"/>
      <c r="R665" s="168"/>
      <c r="S665" s="168"/>
      <c r="T665" s="168"/>
      <c r="U665" s="17"/>
    </row>
    <row r="666" spans="1:21">
      <c r="A666" s="168"/>
      <c r="B666" s="168"/>
      <c r="C666" s="168"/>
      <c r="D666" s="168"/>
      <c r="E666" s="168"/>
      <c r="F666" s="183"/>
      <c r="G666" s="183"/>
      <c r="H666" s="183"/>
      <c r="I666" s="183"/>
      <c r="J666" s="183"/>
      <c r="K666" s="183"/>
      <c r="L666" s="183"/>
      <c r="M666" s="183"/>
      <c r="N666" s="183"/>
      <c r="O666" s="183"/>
      <c r="P666" s="183"/>
      <c r="Q666" s="183"/>
      <c r="R666" s="168"/>
      <c r="S666" s="168"/>
      <c r="T666" s="168"/>
      <c r="U666" s="17"/>
    </row>
    <row r="667" spans="1:21">
      <c r="A667" s="168"/>
      <c r="B667" s="168"/>
      <c r="C667" s="168"/>
      <c r="D667" s="168"/>
      <c r="E667" s="168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68"/>
      <c r="S667" s="168"/>
      <c r="T667" s="168"/>
      <c r="U667" s="17"/>
    </row>
    <row r="668" spans="1:21">
      <c r="A668" s="168"/>
      <c r="B668" s="168"/>
      <c r="C668" s="168"/>
      <c r="D668" s="168"/>
      <c r="E668" s="168"/>
      <c r="F668" s="183"/>
      <c r="G668" s="183"/>
      <c r="H668" s="183"/>
      <c r="I668" s="183"/>
      <c r="J668" s="183"/>
      <c r="K668" s="183"/>
      <c r="L668" s="183"/>
      <c r="M668" s="183"/>
      <c r="N668" s="183"/>
      <c r="O668" s="183"/>
      <c r="P668" s="183"/>
      <c r="Q668" s="183"/>
      <c r="R668" s="168"/>
      <c r="S668" s="168"/>
      <c r="T668" s="168"/>
      <c r="U668" s="17"/>
    </row>
    <row r="669" spans="1:21">
      <c r="A669" s="168"/>
      <c r="B669" s="168"/>
      <c r="C669" s="168"/>
      <c r="D669" s="168"/>
      <c r="E669" s="168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68"/>
      <c r="S669" s="168"/>
      <c r="T669" s="168"/>
      <c r="U669" s="17"/>
    </row>
    <row r="670" spans="1:21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7"/>
    </row>
    <row r="671" spans="1:21">
      <c r="A671" s="168"/>
      <c r="B671" s="168"/>
      <c r="C671" s="168"/>
      <c r="D671" s="168"/>
      <c r="E671" s="168"/>
      <c r="F671" s="178"/>
      <c r="G671" s="178"/>
      <c r="H671" s="178"/>
      <c r="I671" s="178"/>
      <c r="J671" s="178"/>
      <c r="K671" s="178"/>
      <c r="L671" s="178"/>
      <c r="M671" s="178"/>
      <c r="N671" s="178"/>
      <c r="O671" s="178"/>
      <c r="P671" s="178"/>
      <c r="Q671" s="178"/>
      <c r="R671" s="168"/>
      <c r="S671" s="168"/>
      <c r="T671" s="168"/>
      <c r="U671" s="17"/>
    </row>
    <row r="672" spans="1:21">
      <c r="A672" s="168"/>
      <c r="B672" s="168"/>
      <c r="C672" s="168"/>
      <c r="D672" s="168"/>
      <c r="E672" s="168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68"/>
      <c r="S672" s="168"/>
      <c r="T672" s="168"/>
      <c r="U672" s="17"/>
    </row>
    <row r="673" spans="1:21">
      <c r="A673" s="168"/>
      <c r="B673" s="168"/>
      <c r="C673" s="168"/>
      <c r="D673" s="168"/>
      <c r="E673" s="168"/>
      <c r="F673" s="178"/>
      <c r="G673" s="178"/>
      <c r="H673" s="178"/>
      <c r="I673" s="178"/>
      <c r="J673" s="178"/>
      <c r="K673" s="178"/>
      <c r="L673" s="178"/>
      <c r="M673" s="178"/>
      <c r="N673" s="178"/>
      <c r="O673" s="178"/>
      <c r="P673" s="178"/>
      <c r="Q673" s="178"/>
      <c r="R673" s="168"/>
      <c r="S673" s="168"/>
      <c r="T673" s="168"/>
      <c r="U673" s="17"/>
    </row>
    <row r="674" spans="1:21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7"/>
    </row>
    <row r="675" spans="1:21">
      <c r="A675" s="168"/>
      <c r="B675" s="168"/>
      <c r="C675" s="168"/>
      <c r="D675" s="168"/>
      <c r="E675" s="168"/>
      <c r="F675" s="183"/>
      <c r="G675" s="183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68"/>
      <c r="S675" s="168"/>
      <c r="T675" s="168"/>
      <c r="U675" s="17"/>
    </row>
    <row r="676" spans="1:21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7"/>
    </row>
    <row r="677" spans="1:21">
      <c r="A677" s="168"/>
      <c r="B677" s="168"/>
      <c r="C677" s="168"/>
      <c r="D677" s="168"/>
      <c r="E677" s="168"/>
      <c r="F677" s="181"/>
      <c r="G677" s="181"/>
      <c r="H677" s="181"/>
      <c r="I677" s="181"/>
      <c r="J677" s="181"/>
      <c r="K677" s="181"/>
      <c r="L677" s="181"/>
      <c r="M677" s="181"/>
      <c r="N677" s="181"/>
      <c r="O677" s="181"/>
      <c r="P677" s="181"/>
      <c r="Q677" s="181"/>
      <c r="R677" s="168"/>
      <c r="S677" s="168"/>
      <c r="T677" s="168"/>
      <c r="U677" s="17"/>
    </row>
    <row r="678" spans="1:21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7"/>
    </row>
    <row r="679" spans="1:21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7"/>
    </row>
    <row r="680" spans="1:21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7"/>
    </row>
    <row r="681" spans="1:21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7"/>
    </row>
    <row r="682" spans="1:21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7"/>
    </row>
    <row r="683" spans="1:21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7"/>
    </row>
    <row r="684" spans="1:21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7"/>
    </row>
    <row r="685" spans="1:21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7"/>
    </row>
    <row r="686" spans="1:21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7"/>
    </row>
    <row r="687" spans="1:21">
      <c r="A687" s="166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7"/>
    </row>
    <row r="688" spans="1:21">
      <c r="A688" s="168"/>
      <c r="B688" s="168"/>
      <c r="C688" s="168"/>
      <c r="D688" s="168"/>
      <c r="E688" s="168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68"/>
      <c r="S688" s="168"/>
      <c r="T688" s="168"/>
      <c r="U688" s="17"/>
    </row>
    <row r="689" spans="1:21">
      <c r="A689" s="168"/>
      <c r="B689" s="168"/>
      <c r="C689" s="168"/>
      <c r="D689" s="168"/>
      <c r="E689" s="168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68"/>
      <c r="S689" s="168"/>
      <c r="T689" s="168"/>
      <c r="U689" s="17"/>
    </row>
    <row r="690" spans="1:21">
      <c r="A690" s="168"/>
      <c r="B690" s="168"/>
      <c r="C690" s="168"/>
      <c r="D690" s="168"/>
      <c r="E690" s="168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68"/>
      <c r="S690" s="168"/>
      <c r="T690" s="168"/>
      <c r="U690" s="17"/>
    </row>
    <row r="691" spans="1:21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7"/>
    </row>
    <row r="692" spans="1:21">
      <c r="A692" s="168"/>
      <c r="B692" s="168"/>
      <c r="C692" s="168"/>
      <c r="D692" s="168"/>
      <c r="E692" s="168"/>
      <c r="F692" s="178"/>
      <c r="G692" s="178"/>
      <c r="H692" s="178"/>
      <c r="I692" s="178"/>
      <c r="J692" s="178"/>
      <c r="K692" s="178"/>
      <c r="L692" s="178"/>
      <c r="M692" s="178"/>
      <c r="N692" s="178"/>
      <c r="O692" s="178"/>
      <c r="P692" s="178"/>
      <c r="Q692" s="178"/>
      <c r="R692" s="168"/>
      <c r="S692" s="168"/>
      <c r="T692" s="168"/>
      <c r="U692" s="17"/>
    </row>
    <row r="693" spans="1:21">
      <c r="A693" s="168"/>
      <c r="B693" s="168"/>
      <c r="C693" s="168"/>
      <c r="D693" s="168"/>
      <c r="E693" s="168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68"/>
      <c r="S693" s="168"/>
      <c r="T693" s="168"/>
      <c r="U693" s="17"/>
    </row>
    <row r="694" spans="1:21">
      <c r="A694" s="168"/>
      <c r="B694" s="168"/>
      <c r="C694" s="168"/>
      <c r="D694" s="168"/>
      <c r="E694" s="168"/>
      <c r="F694" s="183"/>
      <c r="G694" s="183"/>
      <c r="H694" s="183"/>
      <c r="I694" s="183"/>
      <c r="J694" s="183"/>
      <c r="K694" s="183"/>
      <c r="L694" s="183"/>
      <c r="M694" s="183"/>
      <c r="N694" s="183"/>
      <c r="O694" s="183"/>
      <c r="P694" s="183"/>
      <c r="Q694" s="183"/>
      <c r="R694" s="168"/>
      <c r="S694" s="168"/>
      <c r="T694" s="168"/>
      <c r="U694" s="17"/>
    </row>
    <row r="695" spans="1:21">
      <c r="A695" s="168"/>
      <c r="B695" s="168"/>
      <c r="C695" s="168"/>
      <c r="D695" s="168"/>
      <c r="E695" s="168"/>
      <c r="F695" s="183"/>
      <c r="G695" s="183"/>
      <c r="H695" s="183"/>
      <c r="I695" s="183"/>
      <c r="J695" s="183"/>
      <c r="K695" s="183"/>
      <c r="L695" s="183"/>
      <c r="M695" s="183"/>
      <c r="N695" s="183"/>
      <c r="O695" s="183"/>
      <c r="P695" s="183"/>
      <c r="Q695" s="183"/>
      <c r="R695" s="168"/>
      <c r="S695" s="168"/>
      <c r="T695" s="168"/>
      <c r="U695" s="17"/>
    </row>
    <row r="696" spans="1:21">
      <c r="A696" s="168"/>
      <c r="B696" s="168"/>
      <c r="C696" s="168"/>
      <c r="D696" s="168"/>
      <c r="E696" s="168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68"/>
      <c r="S696" s="168"/>
      <c r="T696" s="168"/>
      <c r="U696" s="17"/>
    </row>
    <row r="697" spans="1:21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7"/>
    </row>
    <row r="698" spans="1:21">
      <c r="A698" s="168"/>
      <c r="B698" s="168"/>
      <c r="C698" s="168"/>
      <c r="D698" s="168"/>
      <c r="E698" s="168"/>
      <c r="F698" s="178"/>
      <c r="G698" s="178"/>
      <c r="H698" s="178"/>
      <c r="I698" s="178"/>
      <c r="J698" s="178"/>
      <c r="K698" s="178"/>
      <c r="L698" s="178"/>
      <c r="M698" s="178"/>
      <c r="N698" s="178"/>
      <c r="O698" s="178"/>
      <c r="P698" s="178"/>
      <c r="Q698" s="178"/>
      <c r="R698" s="168"/>
      <c r="S698" s="168"/>
      <c r="T698" s="168"/>
      <c r="U698" s="17"/>
    </row>
    <row r="699" spans="1:21">
      <c r="A699" s="168"/>
      <c r="B699" s="168"/>
      <c r="C699" s="168"/>
      <c r="D699" s="168"/>
      <c r="E699" s="168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68"/>
      <c r="S699" s="168"/>
      <c r="T699" s="168"/>
      <c r="U699" s="17"/>
    </row>
    <row r="700" spans="1:21">
      <c r="A700" s="168"/>
      <c r="B700" s="168"/>
      <c r="C700" s="168"/>
      <c r="D700" s="168"/>
      <c r="E700" s="168"/>
      <c r="F700" s="178"/>
      <c r="G700" s="178"/>
      <c r="H700" s="178"/>
      <c r="I700" s="178"/>
      <c r="J700" s="178"/>
      <c r="K700" s="178"/>
      <c r="L700" s="178"/>
      <c r="M700" s="178"/>
      <c r="N700" s="178"/>
      <c r="O700" s="178"/>
      <c r="P700" s="178"/>
      <c r="Q700" s="178"/>
      <c r="R700" s="168"/>
      <c r="S700" s="168"/>
      <c r="T700" s="168"/>
      <c r="U700" s="17"/>
    </row>
    <row r="701" spans="1:21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7"/>
    </row>
    <row r="702" spans="1:21">
      <c r="A702" s="168"/>
      <c r="B702" s="168"/>
      <c r="C702" s="168"/>
      <c r="D702" s="168"/>
      <c r="E702" s="168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68"/>
      <c r="S702" s="168"/>
      <c r="T702" s="168"/>
      <c r="U702" s="17"/>
    </row>
    <row r="703" spans="1:21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7"/>
    </row>
    <row r="704" spans="1:21">
      <c r="A704" s="168"/>
      <c r="B704" s="168"/>
      <c r="C704" s="168"/>
      <c r="D704" s="168"/>
      <c r="E704" s="168"/>
      <c r="F704" s="181"/>
      <c r="G704" s="181"/>
      <c r="H704" s="181"/>
      <c r="I704" s="181"/>
      <c r="J704" s="181"/>
      <c r="K704" s="181"/>
      <c r="L704" s="181"/>
      <c r="M704" s="181"/>
      <c r="N704" s="181"/>
      <c r="O704" s="181"/>
      <c r="P704" s="181"/>
      <c r="Q704" s="181"/>
      <c r="R704" s="168"/>
      <c r="S704" s="168"/>
      <c r="T704" s="168"/>
      <c r="U704" s="17"/>
    </row>
    <row r="705" spans="1:21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7"/>
    </row>
    <row r="706" spans="1:21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7"/>
    </row>
    <row r="707" spans="1:21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7"/>
    </row>
    <row r="708" spans="1:21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7"/>
    </row>
    <row r="709" spans="1:21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7"/>
    </row>
    <row r="710" spans="1:21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7"/>
    </row>
    <row r="711" spans="1:21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7"/>
    </row>
    <row r="712" spans="1:21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7"/>
    </row>
    <row r="713" spans="1:21">
      <c r="A713" s="168"/>
      <c r="B713" s="168"/>
      <c r="C713" s="168"/>
      <c r="D713" s="168"/>
      <c r="E713" s="168"/>
      <c r="F713" s="17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7"/>
    </row>
    <row r="714" spans="1:21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</row>
    <row r="715" spans="1:21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</row>
    <row r="716" spans="1:21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</row>
    <row r="717" spans="1:21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</row>
    <row r="718" spans="1:21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</row>
    <row r="719" spans="1:21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</row>
    <row r="720" spans="1:21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</row>
    <row r="721" spans="1:21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</row>
    <row r="722" spans="1:21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</row>
    <row r="723" spans="1:21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</row>
    <row r="724" spans="1:21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</row>
    <row r="725" spans="1:21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</row>
    <row r="726" spans="1:21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</row>
    <row r="727" spans="1:21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</row>
    <row r="728" spans="1:21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</row>
    <row r="729" spans="1:21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</row>
    <row r="730" spans="1:21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</row>
    <row r="731" spans="1:21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</row>
    <row r="732" spans="1:21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</row>
    <row r="733" spans="1:21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</row>
    <row r="734" spans="1:21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</row>
    <row r="735" spans="1:21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</row>
    <row r="736" spans="1:21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</row>
    <row r="737" spans="1:21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</row>
    <row r="738" spans="1:21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</row>
    <row r="739" spans="1:21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</row>
    <row r="740" spans="1:21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</row>
    <row r="741" spans="1:21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</row>
    <row r="742" spans="1:21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</row>
    <row r="743" spans="1:21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</row>
    <row r="744" spans="1:21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</row>
    <row r="745" spans="1:21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</row>
    <row r="746" spans="1:21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</row>
    <row r="747" spans="1:21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</row>
    <row r="748" spans="1:21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</row>
    <row r="749" spans="1:21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</row>
    <row r="750" spans="1:21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</row>
    <row r="751" spans="1:21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</row>
    <row r="752" spans="1:21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</row>
    <row r="753" spans="1:21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</row>
    <row r="754" spans="1:21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</row>
  </sheetData>
  <autoFilter ref="D2:E754"/>
  <phoneticPr fontId="0" type="noConversion"/>
  <printOptions headings="1"/>
  <pageMargins left="0.75" right="0.75" top="1.6" bottom="0.65" header="0.5" footer="0.5"/>
  <pageSetup scale="54" pageOrder="overThenDown" orientation="landscape" r:id="rId1"/>
  <headerFooter alignWithMargins="0">
    <oddHeader>&amp;C&amp;"Times New Roman,Bold"&amp;14LOUISVILLE GAS AND ELECTRIC COMPANY
Cost of Service Study
 12 Months Ended June 30, 2016
Class Allocation</oddHeader>
    <oddFooter>&amp;R&amp;"Times New Roman,Bold"&amp;12Exhibit MJB - 16
Page &amp;P of &amp;N</oddFooter>
  </headerFooter>
  <rowBreaks count="17" manualBreakCount="17">
    <brk id="49" max="12" man="1"/>
    <brk id="97" max="12" man="1"/>
    <brk id="145" max="12" man="1"/>
    <brk id="192" max="12" man="1"/>
    <brk id="237" max="12" man="1"/>
    <brk id="281" max="16383" man="1"/>
    <brk id="325" max="16383" man="1"/>
    <brk id="369" max="12" man="1"/>
    <brk id="416" max="12" man="1"/>
    <brk id="461" max="12" man="1"/>
    <brk id="491" max="12" man="1"/>
    <brk id="554" max="12" man="1"/>
    <brk id="575" max="12" man="1"/>
    <brk id="604" max="12" man="1"/>
    <brk id="633" max="16383" man="1"/>
    <brk id="659" max="16383" man="1"/>
    <brk id="68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>
      <selection activeCell="I15" sqref="I15"/>
    </sheetView>
  </sheetViews>
  <sheetFormatPr defaultRowHeight="12.75"/>
  <cols>
    <col min="1" max="1" width="48.140625" bestFit="1" customWidth="1"/>
    <col min="3" max="3" width="19" style="11" bestFit="1" customWidth="1"/>
    <col min="4" max="4" width="19.7109375" style="11" customWidth="1"/>
    <col min="5" max="5" width="18" style="11" customWidth="1"/>
    <col min="6" max="6" width="18.85546875" style="8" customWidth="1"/>
    <col min="7" max="7" width="14.140625" customWidth="1"/>
    <col min="8" max="11" width="16.5703125" style="4" customWidth="1"/>
    <col min="13" max="15" width="15.7109375" style="4" customWidth="1"/>
    <col min="16" max="16" width="15.7109375" customWidth="1"/>
  </cols>
  <sheetData>
    <row r="1" spans="1:16" ht="18.75">
      <c r="A1" s="35" t="s">
        <v>764</v>
      </c>
      <c r="B1" s="37"/>
    </row>
    <row r="2" spans="1:16" ht="14.25">
      <c r="A2" s="36" t="s">
        <v>844</v>
      </c>
    </row>
    <row r="6" spans="1:16" ht="14.25">
      <c r="A6" s="38"/>
      <c r="B6" s="37"/>
      <c r="D6" s="39" t="s">
        <v>840</v>
      </c>
      <c r="E6" s="39" t="s">
        <v>841</v>
      </c>
      <c r="F6" s="40"/>
      <c r="G6" s="41"/>
      <c r="K6" s="8"/>
      <c r="P6" s="8"/>
    </row>
    <row r="7" spans="1:16" ht="15" thickBot="1">
      <c r="A7" s="42"/>
      <c r="B7" s="43"/>
      <c r="C7" s="44" t="s">
        <v>696</v>
      </c>
      <c r="D7" s="44" t="s">
        <v>305</v>
      </c>
      <c r="E7" s="44" t="s">
        <v>842</v>
      </c>
      <c r="F7" s="45" t="s">
        <v>248</v>
      </c>
      <c r="G7" s="44" t="s">
        <v>843</v>
      </c>
      <c r="K7" s="8"/>
      <c r="P7" s="8"/>
    </row>
    <row r="8" spans="1:16" ht="14.25">
      <c r="A8" s="38"/>
      <c r="B8" s="37"/>
      <c r="K8" s="8"/>
      <c r="P8" s="8"/>
    </row>
    <row r="9" spans="1:16" ht="14.25">
      <c r="A9" s="1" t="s">
        <v>847</v>
      </c>
      <c r="B9" s="37"/>
      <c r="C9" s="5">
        <f>Allocation!G480</f>
        <v>104030538.40352537</v>
      </c>
      <c r="D9" s="5">
        <f>Allocation!G487+Allocation!G515+Allocation!G519</f>
        <v>86432695.618842229</v>
      </c>
      <c r="E9" s="5">
        <f t="shared" ref="E9:E14" si="0">C9-D9</f>
        <v>17597842.784683138</v>
      </c>
      <c r="F9" s="5">
        <f>Allocation!G526</f>
        <v>406043085.16145486</v>
      </c>
      <c r="G9" s="46">
        <f t="shared" ref="G9:G15" si="1">E9/F9</f>
        <v>4.3339841085301846E-2</v>
      </c>
      <c r="H9" s="46"/>
      <c r="K9" s="8"/>
      <c r="P9" s="8"/>
    </row>
    <row r="10" spans="1:16" ht="14.25">
      <c r="A10" s="1" t="s">
        <v>848</v>
      </c>
      <c r="B10" s="37"/>
      <c r="C10" s="4">
        <f>Allocation!H480</f>
        <v>34758492.095693327</v>
      </c>
      <c r="D10" s="4">
        <f>Allocation!H487+Allocation!H515+Allocation!H519</f>
        <v>26113747.918176275</v>
      </c>
      <c r="E10" s="4">
        <f t="shared" si="0"/>
        <v>8644744.1775170527</v>
      </c>
      <c r="F10" s="4">
        <f>Allocation!H526</f>
        <v>118307877.62920402</v>
      </c>
      <c r="G10" s="46">
        <f t="shared" si="1"/>
        <v>7.306989484344463E-2</v>
      </c>
      <c r="H10" s="46"/>
      <c r="K10" s="8"/>
      <c r="P10" s="8"/>
    </row>
    <row r="11" spans="1:16" ht="14.25">
      <c r="A11" s="12" t="s">
        <v>846</v>
      </c>
      <c r="B11" s="37"/>
      <c r="C11" s="9">
        <f>Allocation!I480</f>
        <v>3193589.4959717197</v>
      </c>
      <c r="D11" s="9">
        <f>Allocation!I487+Allocation!I515+Allocation!I519</f>
        <v>2049755.7393115908</v>
      </c>
      <c r="E11" s="9">
        <f t="shared" si="0"/>
        <v>1143833.7566601289</v>
      </c>
      <c r="F11" s="9">
        <f>Allocation!I526</f>
        <v>7581760.1474108519</v>
      </c>
      <c r="G11" s="47">
        <f t="shared" si="1"/>
        <v>0.15086651838369547</v>
      </c>
      <c r="H11" s="46"/>
      <c r="K11" s="8"/>
      <c r="P11" s="8"/>
    </row>
    <row r="12" spans="1:16">
      <c r="A12" s="12" t="s">
        <v>723</v>
      </c>
      <c r="C12" s="4">
        <f>Allocation!J480</f>
        <v>301653.66105679795</v>
      </c>
      <c r="D12" s="4">
        <f>Allocation!J487+Allocation!J515+Allocation!J519</f>
        <v>162595.712355542</v>
      </c>
      <c r="E12" s="9">
        <f t="shared" si="0"/>
        <v>139057.94870125595</v>
      </c>
      <c r="F12" s="4">
        <f>Allocation!J526</f>
        <v>239391.45669569643</v>
      </c>
      <c r="G12" s="46">
        <f t="shared" si="1"/>
        <v>0.58088099976775742</v>
      </c>
      <c r="H12" s="46"/>
    </row>
    <row r="13" spans="1:16">
      <c r="A13" s="12" t="s">
        <v>849</v>
      </c>
      <c r="C13" s="4">
        <f>Allocation!K480</f>
        <v>5485342.712272251</v>
      </c>
      <c r="D13" s="4">
        <f>Allocation!K487+Allocation!K515+Allocation!K519</f>
        <v>3381293.6061274097</v>
      </c>
      <c r="E13" s="4">
        <f t="shared" si="0"/>
        <v>2104049.1061448413</v>
      </c>
      <c r="F13" s="4">
        <f>Allocation!K526</f>
        <v>8573799.1127904672</v>
      </c>
      <c r="G13" s="46">
        <f t="shared" si="1"/>
        <v>0.24540452586601927</v>
      </c>
      <c r="H13" s="46"/>
    </row>
    <row r="14" spans="1:16">
      <c r="A14" s="49" t="s">
        <v>850</v>
      </c>
      <c r="B14" s="15"/>
      <c r="C14" s="10">
        <f>Allocation!L480</f>
        <v>147138.65216942079</v>
      </c>
      <c r="D14" s="10">
        <f>Allocation!L487+Allocation!L515+Allocation!L519</f>
        <v>84228.937261992891</v>
      </c>
      <c r="E14" s="10">
        <f t="shared" si="0"/>
        <v>62909.7149074279</v>
      </c>
      <c r="F14" s="10">
        <f>Allocation!L526</f>
        <v>115704.57552429572</v>
      </c>
      <c r="G14" s="48">
        <f t="shared" si="1"/>
        <v>0.54370982843472837</v>
      </c>
      <c r="H14" s="46"/>
    </row>
    <row r="15" spans="1:16">
      <c r="C15" s="11">
        <f>SUM(C9:C14)</f>
        <v>147916755.02068886</v>
      </c>
      <c r="D15" s="11">
        <f>SUM(D9:D14)</f>
        <v>118224317.53207505</v>
      </c>
      <c r="E15" s="11">
        <f>SUM(E9:E14)</f>
        <v>29692437.488613844</v>
      </c>
      <c r="F15" s="11">
        <f>SUM(F9:F14)</f>
        <v>540861618.08308029</v>
      </c>
      <c r="G15" s="46">
        <f t="shared" si="1"/>
        <v>5.4898400063679263E-2</v>
      </c>
    </row>
    <row r="17" spans="1:16" ht="18.75">
      <c r="A17" s="35" t="s">
        <v>764</v>
      </c>
      <c r="B17" s="37"/>
    </row>
    <row r="18" spans="1:16" ht="14.25">
      <c r="A18" s="36" t="s">
        <v>845</v>
      </c>
    </row>
    <row r="19" spans="1:16">
      <c r="A19" s="3" t="s">
        <v>852</v>
      </c>
    </row>
    <row r="22" spans="1:16" ht="14.25">
      <c r="A22" s="38"/>
      <c r="B22" s="37"/>
      <c r="D22" s="39" t="s">
        <v>840</v>
      </c>
      <c r="E22" s="39" t="s">
        <v>841</v>
      </c>
      <c r="F22" s="40"/>
      <c r="G22" s="41"/>
      <c r="K22" s="8"/>
      <c r="P22" s="8"/>
    </row>
    <row r="23" spans="1:16" ht="15" thickBot="1">
      <c r="A23" s="42"/>
      <c r="B23" s="43"/>
      <c r="C23" s="44" t="s">
        <v>696</v>
      </c>
      <c r="D23" s="44" t="s">
        <v>305</v>
      </c>
      <c r="E23" s="44" t="s">
        <v>842</v>
      </c>
      <c r="F23" s="45" t="s">
        <v>248</v>
      </c>
      <c r="G23" s="44" t="s">
        <v>843</v>
      </c>
      <c r="K23" s="8"/>
      <c r="P23" s="8"/>
    </row>
    <row r="24" spans="1:16" ht="14.25">
      <c r="A24" s="38"/>
      <c r="B24" s="37"/>
      <c r="K24" s="8"/>
      <c r="P24" s="8"/>
    </row>
    <row r="25" spans="1:16" ht="14.25">
      <c r="A25" s="1" t="s">
        <v>847</v>
      </c>
      <c r="B25" s="37"/>
      <c r="C25" s="5">
        <f>C9+Allocation!G561+Allocation!G562</f>
        <v>113347281.87625527</v>
      </c>
      <c r="D25" s="5">
        <f>D9+Allocation!G564+Allocation!G565+Allocation!G566</f>
        <v>89966493.56709598</v>
      </c>
      <c r="E25" s="5">
        <f t="shared" ref="E25:E30" si="2">C25-D25</f>
        <v>23380788.309159294</v>
      </c>
      <c r="F25" s="5">
        <f>Allocation!G570</f>
        <v>406043085.16145486</v>
      </c>
      <c r="G25" s="46">
        <f t="shared" ref="G25:G31" si="3">E25/F25</f>
        <v>5.7582037876257375E-2</v>
      </c>
      <c r="H25" s="46"/>
      <c r="K25" s="8"/>
      <c r="P25" s="8"/>
    </row>
    <row r="26" spans="1:16" ht="14.25">
      <c r="A26" s="1" t="s">
        <v>848</v>
      </c>
      <c r="B26" s="37"/>
      <c r="C26" s="4">
        <f>C10+Allocation!H561+Allocation!H562</f>
        <v>38754916.519003928</v>
      </c>
      <c r="D26" s="4">
        <f>D10+Allocation!H564+Allocation!H565+Allocation!H566</f>
        <v>27619179.358639777</v>
      </c>
      <c r="E26" s="4">
        <f t="shared" si="2"/>
        <v>11135737.160364151</v>
      </c>
      <c r="F26" s="4">
        <f>Allocation!H570</f>
        <v>118307877.62920402</v>
      </c>
      <c r="G26" s="46">
        <f t="shared" si="3"/>
        <v>9.4125069129084943E-2</v>
      </c>
      <c r="H26" s="46"/>
      <c r="K26" s="8"/>
      <c r="P26" s="8"/>
    </row>
    <row r="27" spans="1:16" ht="14.25">
      <c r="A27" s="12" t="s">
        <v>846</v>
      </c>
      <c r="B27" s="37"/>
      <c r="C27" s="9">
        <f>C11+Allocation!I561+Allocation!I562</f>
        <v>3595387.8542950824</v>
      </c>
      <c r="D27" s="9">
        <f>D11+Allocation!I564+Allocation!I565+Allocation!I566</f>
        <v>2200550.1485654945</v>
      </c>
      <c r="E27" s="9">
        <f t="shared" si="2"/>
        <v>1394837.7057295879</v>
      </c>
      <c r="F27" s="9">
        <f>Allocation!I570</f>
        <v>7581760.1474108519</v>
      </c>
      <c r="G27" s="47">
        <f t="shared" si="3"/>
        <v>0.18397280824109435</v>
      </c>
      <c r="H27" s="46"/>
      <c r="K27" s="8"/>
      <c r="P27" s="8"/>
    </row>
    <row r="28" spans="1:16">
      <c r="A28" s="12" t="s">
        <v>723</v>
      </c>
      <c r="C28" s="4">
        <f>C12+Allocation!J561+Allocation!J562</f>
        <v>402098.73025629169</v>
      </c>
      <c r="D28" s="4">
        <f>D12+Allocation!J564+Allocation!J565+Allocation!J566</f>
        <v>200277.57861298864</v>
      </c>
      <c r="E28" s="9">
        <f t="shared" si="2"/>
        <v>201821.15164330305</v>
      </c>
      <c r="F28" s="4">
        <f>Allocation!J570</f>
        <v>239391.45669569643</v>
      </c>
      <c r="G28" s="46">
        <f t="shared" si="3"/>
        <v>0.84305912345004419</v>
      </c>
      <c r="H28" s="46"/>
    </row>
    <row r="29" spans="1:16">
      <c r="A29" s="12" t="s">
        <v>849</v>
      </c>
      <c r="C29" s="4">
        <f>C13+Allocation!K561+Allocation!K562</f>
        <v>5780742.3160093576</v>
      </c>
      <c r="D29" s="4">
        <f>D13+Allocation!K564+Allocation!K565+Allocation!K566</f>
        <v>3492211.9822754487</v>
      </c>
      <c r="E29" s="4">
        <f t="shared" si="2"/>
        <v>2288530.3337339088</v>
      </c>
      <c r="F29" s="4">
        <f>Allocation!K570</f>
        <v>8573799.1127904672</v>
      </c>
      <c r="G29" s="46">
        <f t="shared" si="3"/>
        <v>0.26692138498088436</v>
      </c>
      <c r="H29" s="46"/>
    </row>
    <row r="30" spans="1:16">
      <c r="A30" s="49" t="s">
        <v>850</v>
      </c>
      <c r="B30" s="15"/>
      <c r="C30" s="10">
        <f>C14+Allocation!L561+Allocation!L562</f>
        <v>157189.72486896088</v>
      </c>
      <c r="D30" s="10">
        <f>D14+Allocation!L564+Allocation!L565+Allocation!L566</f>
        <v>88006.01559037152</v>
      </c>
      <c r="E30" s="10">
        <f t="shared" si="2"/>
        <v>69183.709278589362</v>
      </c>
      <c r="F30" s="10">
        <f>Allocation!L570</f>
        <v>115704.57552429572</v>
      </c>
      <c r="G30" s="48">
        <f t="shared" si="3"/>
        <v>0.59793408311724128</v>
      </c>
      <c r="H30" s="46"/>
    </row>
    <row r="31" spans="1:16">
      <c r="C31" s="11">
        <f>SUM(C25:C30)</f>
        <v>162037617.02068889</v>
      </c>
      <c r="D31" s="11">
        <f>SUM(D25:D30)</f>
        <v>123566718.65078005</v>
      </c>
      <c r="E31" s="11">
        <f>SUM(E25:E30)</f>
        <v>38470898.369908839</v>
      </c>
      <c r="F31" s="11">
        <f>SUM(F25:F30)</f>
        <v>540861618.08308029</v>
      </c>
      <c r="G31" s="46">
        <f t="shared" si="3"/>
        <v>7.1128911876308126E-2</v>
      </c>
    </row>
  </sheetData>
  <conditionalFormatting sqref="H9:H14">
    <cfRule type="cellIs" dxfId="7" priority="9" stopIfTrue="1" operator="lessThan">
      <formula>0</formula>
    </cfRule>
    <cfRule type="cellIs" dxfId="6" priority="10" stopIfTrue="1" operator="greaterThan">
      <formula>0</formula>
    </cfRule>
    <cfRule type="cellIs" dxfId="5" priority="11" stopIfTrue="1" operator="lessThan">
      <formula>0</formula>
    </cfRule>
    <cfRule type="cellIs" dxfId="4" priority="12" stopIfTrue="1" operator="greaterThan">
      <formula>0</formula>
    </cfRule>
  </conditionalFormatting>
  <conditionalFormatting sqref="H25:H30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lessThan">
      <formula>0</formula>
    </cfRule>
    <cfRule type="cellIs" dxfId="0" priority="4" stopIfTrue="1" operator="greaterThan">
      <formula>0</formula>
    </cfRule>
  </conditionalFormatting>
  <pageMargins left="0.7" right="0.7" top="0.75" bottom="0.7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3"/>
  <sheetViews>
    <sheetView view="pageBreakPreview" zoomScale="75" zoomScaleSheetLayoutView="75" workbookViewId="0">
      <selection activeCell="S27" sqref="S27"/>
    </sheetView>
  </sheetViews>
  <sheetFormatPr defaultColWidth="9.140625" defaultRowHeight="12.75"/>
  <cols>
    <col min="1" max="1" width="9.140625" style="52"/>
    <col min="2" max="2" width="4.28515625" style="52" customWidth="1"/>
    <col min="3" max="3" width="55.7109375" style="52" bestFit="1" customWidth="1"/>
    <col min="4" max="4" width="34.28515625" style="52" hidden="1" customWidth="1"/>
    <col min="5" max="5" width="22.140625" style="52" customWidth="1"/>
    <col min="6" max="6" width="22" style="52" customWidth="1"/>
    <col min="7" max="7" width="21.140625" style="52" customWidth="1"/>
    <col min="8" max="8" width="22" style="52" customWidth="1"/>
    <col min="9" max="9" width="20.140625" style="52" customWidth="1"/>
    <col min="10" max="10" width="15.140625" style="52" customWidth="1"/>
    <col min="11" max="11" width="14.7109375" style="52" customWidth="1"/>
    <col min="12" max="12" width="17.42578125" style="52" customWidth="1"/>
    <col min="13" max="13" width="18.28515625" style="52" customWidth="1"/>
    <col min="14" max="14" width="15.85546875" style="52" customWidth="1"/>
    <col min="15" max="15" width="9.140625" style="52"/>
    <col min="16" max="16" width="14.85546875" style="52" customWidth="1"/>
    <col min="17" max="16384" width="9.140625" style="52"/>
  </cols>
  <sheetData>
    <row r="1" spans="2:16" ht="15.75">
      <c r="B1" s="203" t="s">
        <v>764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2:16" ht="15.7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6" ht="15.75">
      <c r="B3" s="203" t="s">
        <v>792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2:16" ht="15.75">
      <c r="B4" s="203" t="s">
        <v>878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2:16" ht="15.75">
      <c r="B5" s="11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16" ht="15.75">
      <c r="B6" s="203" t="s">
        <v>826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2:16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2:16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2:16" ht="13.5" thickBot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2:16" ht="16.5" thickBot="1">
      <c r="B10" s="71"/>
      <c r="C10" s="72"/>
      <c r="D10" s="73"/>
      <c r="E10" s="204" t="s">
        <v>793</v>
      </c>
      <c r="F10" s="205"/>
      <c r="G10" s="205"/>
      <c r="H10" s="206"/>
      <c r="I10" s="74"/>
      <c r="J10" s="74"/>
      <c r="K10" s="75"/>
      <c r="L10" s="75"/>
      <c r="M10" s="75"/>
      <c r="N10" s="73"/>
    </row>
    <row r="11" spans="2:16" ht="15.75">
      <c r="B11" s="76"/>
      <c r="C11" s="68"/>
      <c r="D11" s="77"/>
      <c r="E11" s="64" t="s">
        <v>794</v>
      </c>
      <c r="F11" s="65" t="s">
        <v>794</v>
      </c>
      <c r="G11" s="65"/>
      <c r="H11" s="66" t="s">
        <v>14</v>
      </c>
      <c r="I11" s="78" t="s">
        <v>3</v>
      </c>
      <c r="J11" s="78" t="s">
        <v>3</v>
      </c>
      <c r="K11" s="78" t="s">
        <v>247</v>
      </c>
      <c r="L11" s="78" t="s">
        <v>795</v>
      </c>
      <c r="M11" s="78" t="s">
        <v>795</v>
      </c>
      <c r="N11" s="77"/>
    </row>
    <row r="12" spans="2:16" ht="15.75">
      <c r="B12" s="76"/>
      <c r="C12" s="68"/>
      <c r="D12" s="77"/>
      <c r="E12" s="64" t="s">
        <v>796</v>
      </c>
      <c r="F12" s="65" t="s">
        <v>797</v>
      </c>
      <c r="G12" s="65" t="s">
        <v>794</v>
      </c>
      <c r="H12" s="66" t="s">
        <v>794</v>
      </c>
      <c r="I12" s="78" t="s">
        <v>798</v>
      </c>
      <c r="J12" s="78" t="s">
        <v>829</v>
      </c>
      <c r="K12" s="78" t="s">
        <v>642</v>
      </c>
      <c r="L12" s="64" t="s">
        <v>796</v>
      </c>
      <c r="M12" s="64" t="s">
        <v>797</v>
      </c>
      <c r="N12" s="77"/>
    </row>
    <row r="13" spans="2:16" ht="16.5" thickBot="1">
      <c r="B13" s="69"/>
      <c r="C13" s="79" t="s">
        <v>19</v>
      </c>
      <c r="D13" s="80" t="s">
        <v>727</v>
      </c>
      <c r="E13" s="81" t="s">
        <v>799</v>
      </c>
      <c r="F13" s="82" t="s">
        <v>800</v>
      </c>
      <c r="G13" s="82" t="s">
        <v>801</v>
      </c>
      <c r="H13" s="83" t="s">
        <v>802</v>
      </c>
      <c r="I13" s="80" t="s">
        <v>802</v>
      </c>
      <c r="J13" s="80" t="s">
        <v>802</v>
      </c>
      <c r="K13" s="80" t="s">
        <v>802</v>
      </c>
      <c r="L13" s="81" t="s">
        <v>799</v>
      </c>
      <c r="M13" s="81" t="s">
        <v>799</v>
      </c>
      <c r="N13" s="80" t="s">
        <v>803</v>
      </c>
    </row>
    <row r="14" spans="2:16" ht="15.75">
      <c r="B14" s="71"/>
      <c r="C14" s="72"/>
      <c r="D14" s="84"/>
      <c r="E14" s="71"/>
      <c r="F14" s="85"/>
      <c r="G14" s="85"/>
      <c r="H14" s="72"/>
      <c r="I14" s="71"/>
      <c r="J14" s="72"/>
      <c r="K14" s="71"/>
      <c r="L14" s="73"/>
      <c r="M14" s="72"/>
      <c r="N14" s="73"/>
    </row>
    <row r="15" spans="2:16" ht="15.75">
      <c r="B15" s="86" t="s">
        <v>728</v>
      </c>
      <c r="C15" s="87" t="s">
        <v>248</v>
      </c>
      <c r="D15" s="88" t="s">
        <v>853</v>
      </c>
      <c r="E15" s="89">
        <f>Allocation!G80</f>
        <v>103179384.96240817</v>
      </c>
      <c r="F15" s="90">
        <f>Allocation!G82</f>
        <v>6463407.4810140254</v>
      </c>
      <c r="G15" s="90">
        <f>Allocation!G86+Allocation!G89+Allocation!G92+Allocation!G95</f>
        <v>124942238.55882563</v>
      </c>
      <c r="H15" s="91">
        <f>E15+F15+G15</f>
        <v>234585031.00224781</v>
      </c>
      <c r="I15" s="92">
        <f>Allocation!G62</f>
        <v>87323487.838780507</v>
      </c>
      <c r="J15" s="91">
        <f>Allocation!G63</f>
        <v>782282.17597845558</v>
      </c>
      <c r="K15" s="90">
        <f>Allocation!G58+Allocation!G72</f>
        <v>66521.405037382778</v>
      </c>
      <c r="L15" s="93">
        <f>Allocation!G79</f>
        <v>42326137.725382671</v>
      </c>
      <c r="M15" s="94">
        <f>Allocation!G57+Allocation!G67+Allocation!G75+Allocation!G81</f>
        <v>40959625.014028005</v>
      </c>
      <c r="N15" s="95">
        <f>E15+F15+G15+K15+L15+M15+I15+J15</f>
        <v>406043085.16145486</v>
      </c>
      <c r="O15" s="53"/>
    </row>
    <row r="16" spans="2:16" ht="15.75">
      <c r="B16" s="86" t="s">
        <v>804</v>
      </c>
      <c r="C16" s="87" t="s">
        <v>681</v>
      </c>
      <c r="D16" s="88" t="s">
        <v>854</v>
      </c>
      <c r="E16" s="96">
        <f>(E15/$N$15)*$N$16</f>
        <v>0</v>
      </c>
      <c r="F16" s="97">
        <f t="shared" ref="F16:M16" si="0">(F15/$N$15)*$N$16</f>
        <v>0</v>
      </c>
      <c r="G16" s="97">
        <f t="shared" si="0"/>
        <v>0</v>
      </c>
      <c r="H16" s="98">
        <f>E16+F16+G16</f>
        <v>0</v>
      </c>
      <c r="I16" s="96">
        <f t="shared" si="0"/>
        <v>0</v>
      </c>
      <c r="J16" s="98">
        <f t="shared" si="0"/>
        <v>0</v>
      </c>
      <c r="K16" s="97">
        <f t="shared" si="0"/>
        <v>0</v>
      </c>
      <c r="L16" s="99">
        <f t="shared" si="0"/>
        <v>0</v>
      </c>
      <c r="M16" s="98">
        <f t="shared" si="0"/>
        <v>0</v>
      </c>
      <c r="N16" s="99">
        <f>Allocation!G524+Allocation!G525</f>
        <v>0</v>
      </c>
      <c r="O16" s="53"/>
      <c r="P16" s="53"/>
    </row>
    <row r="17" spans="2:16" ht="15.75">
      <c r="B17" s="86" t="s">
        <v>805</v>
      </c>
      <c r="C17" s="87" t="s">
        <v>864</v>
      </c>
      <c r="D17" s="88" t="s">
        <v>806</v>
      </c>
      <c r="E17" s="89">
        <f>E15+E16</f>
        <v>103179384.96240817</v>
      </c>
      <c r="F17" s="90">
        <f>F15+F16</f>
        <v>6463407.4810140254</v>
      </c>
      <c r="G17" s="90">
        <f>G15+G16</f>
        <v>124942238.55882563</v>
      </c>
      <c r="H17" s="91">
        <f>E17+F17+G17</f>
        <v>234585031.00224781</v>
      </c>
      <c r="I17" s="92">
        <f>I15+I16</f>
        <v>87323487.838780507</v>
      </c>
      <c r="J17" s="91">
        <f>J15+J16</f>
        <v>782282.17597845558</v>
      </c>
      <c r="K17" s="90">
        <f>K15+K16</f>
        <v>66521.405037382778</v>
      </c>
      <c r="L17" s="93">
        <f>L15+L16</f>
        <v>42326137.725382671</v>
      </c>
      <c r="M17" s="94">
        <f>M15+M16</f>
        <v>40959625.014028005</v>
      </c>
      <c r="N17" s="100">
        <f>E17+F17+G17+K17+L17+M17+I17+J17</f>
        <v>406043085.16145486</v>
      </c>
    </row>
    <row r="18" spans="2:16" ht="15.75">
      <c r="B18" s="86"/>
      <c r="C18" s="87"/>
      <c r="D18" s="88"/>
      <c r="E18" s="89"/>
      <c r="F18" s="90"/>
      <c r="G18" s="90"/>
      <c r="H18" s="91"/>
      <c r="I18" s="92"/>
      <c r="J18" s="91"/>
      <c r="K18" s="90"/>
      <c r="L18" s="93"/>
      <c r="M18" s="94"/>
      <c r="N18" s="95"/>
    </row>
    <row r="19" spans="2:16" ht="15.75">
      <c r="B19" s="86" t="s">
        <v>807</v>
      </c>
      <c r="C19" s="87" t="s">
        <v>369</v>
      </c>
      <c r="D19" s="88" t="s">
        <v>862</v>
      </c>
      <c r="E19" s="101">
        <f>Allocation!G572</f>
        <v>5.7582037876257333E-2</v>
      </c>
      <c r="F19" s="102">
        <f>E19</f>
        <v>5.7582037876257333E-2</v>
      </c>
      <c r="G19" s="102">
        <f>E19</f>
        <v>5.7582037876257333E-2</v>
      </c>
      <c r="H19" s="103">
        <f>E19</f>
        <v>5.7582037876257333E-2</v>
      </c>
      <c r="I19" s="101">
        <f>E19</f>
        <v>5.7582037876257333E-2</v>
      </c>
      <c r="J19" s="103">
        <f>E19</f>
        <v>5.7582037876257333E-2</v>
      </c>
      <c r="K19" s="102">
        <f>E19</f>
        <v>5.7582037876257333E-2</v>
      </c>
      <c r="L19" s="104">
        <f>F19</f>
        <v>5.7582037876257333E-2</v>
      </c>
      <c r="M19" s="103">
        <f>G19</f>
        <v>5.7582037876257333E-2</v>
      </c>
      <c r="N19" s="103">
        <f>E19</f>
        <v>5.7582037876257333E-2</v>
      </c>
    </row>
    <row r="20" spans="2:16" ht="15.75">
      <c r="B20" s="76"/>
      <c r="C20" s="87"/>
      <c r="D20" s="88"/>
      <c r="E20" s="76"/>
      <c r="F20" s="67"/>
      <c r="G20" s="67"/>
      <c r="H20" s="68"/>
      <c r="I20" s="76"/>
      <c r="J20" s="68"/>
      <c r="K20" s="67"/>
      <c r="L20" s="77"/>
      <c r="M20" s="68"/>
      <c r="N20" s="77"/>
    </row>
    <row r="21" spans="2:16" ht="15.75">
      <c r="B21" s="86" t="s">
        <v>808</v>
      </c>
      <c r="C21" s="87" t="s">
        <v>865</v>
      </c>
      <c r="D21" s="88" t="s">
        <v>809</v>
      </c>
      <c r="E21" s="89">
        <f>E17*E19</f>
        <v>5941279.2529543238</v>
      </c>
      <c r="F21" s="90">
        <f>F17*F19</f>
        <v>372176.17438143463</v>
      </c>
      <c r="G21" s="90">
        <f>G17*G19</f>
        <v>7194428.7130386764</v>
      </c>
      <c r="H21" s="91">
        <f>E21+F21+G21</f>
        <v>13507884.140374435</v>
      </c>
      <c r="I21" s="89">
        <f>I17*I19</f>
        <v>5028264.3842195561</v>
      </c>
      <c r="J21" s="94">
        <f>J17*J19</f>
        <v>45045.401887112435</v>
      </c>
      <c r="K21" s="90">
        <f>K17*K19</f>
        <v>3830.4380644444304</v>
      </c>
      <c r="L21" s="93">
        <f>L17*L19</f>
        <v>2437225.2656586692</v>
      </c>
      <c r="M21" s="94">
        <f>M17*M19</f>
        <v>2358538.6789550581</v>
      </c>
      <c r="N21" s="95">
        <f>E21+F21+G21+K21+L21+M21+I21+J21</f>
        <v>23380788.309159275</v>
      </c>
      <c r="P21" s="53"/>
    </row>
    <row r="22" spans="2:16" ht="15.75">
      <c r="B22" s="76"/>
      <c r="C22" s="87"/>
      <c r="D22" s="88"/>
      <c r="E22" s="76"/>
      <c r="F22" s="67"/>
      <c r="G22" s="67"/>
      <c r="H22" s="68"/>
      <c r="I22" s="76"/>
      <c r="J22" s="68"/>
      <c r="K22" s="67"/>
      <c r="L22" s="77"/>
      <c r="M22" s="68"/>
      <c r="N22" s="77"/>
    </row>
    <row r="23" spans="2:16" ht="15.75">
      <c r="B23" s="86" t="s">
        <v>810</v>
      </c>
      <c r="C23" s="87" t="s">
        <v>372</v>
      </c>
      <c r="D23" s="88" t="s">
        <v>855</v>
      </c>
      <c r="E23" s="89">
        <f>Allocation!G443</f>
        <v>2747480.5487659168</v>
      </c>
      <c r="F23" s="90">
        <f>Allocation!G445</f>
        <v>172108.86011100022</v>
      </c>
      <c r="G23" s="90">
        <f>Allocation!G449+Allocation!G452+Allocation!G455+Allocation!G458</f>
        <v>3469952.2025556476</v>
      </c>
      <c r="H23" s="91">
        <f>E23+F23+G23</f>
        <v>6389541.6114325644</v>
      </c>
      <c r="I23" s="89">
        <f>Allocation!G426</f>
        <v>1454858.3298928754</v>
      </c>
      <c r="J23" s="94">
        <f>Allocation!G427</f>
        <v>0</v>
      </c>
      <c r="K23" s="90">
        <f>Allocation!G422+Allocation!G436</f>
        <v>0</v>
      </c>
      <c r="L23" s="93">
        <f>Allocation!G442</f>
        <v>1127068.5529599227</v>
      </c>
      <c r="M23" s="94">
        <f>Allocation!G421+Allocation!G431+Allocation!G439+Allocation!G444</f>
        <v>866577.394145931</v>
      </c>
      <c r="N23" s="95">
        <f>E23+F23+G23+K23+L23+M23+I23+J23</f>
        <v>9838045.8884312939</v>
      </c>
    </row>
    <row r="24" spans="2:16" ht="15.75">
      <c r="B24" s="76"/>
      <c r="C24" s="87"/>
      <c r="D24" s="88"/>
      <c r="E24" s="76"/>
      <c r="F24" s="67"/>
      <c r="G24" s="67"/>
      <c r="H24" s="68"/>
      <c r="I24" s="76"/>
      <c r="J24" s="68"/>
      <c r="K24" s="67"/>
      <c r="L24" s="77"/>
      <c r="M24" s="68"/>
      <c r="N24" s="77"/>
    </row>
    <row r="25" spans="2:16" ht="15.75">
      <c r="B25" s="86" t="s">
        <v>811</v>
      </c>
      <c r="C25" s="87" t="s">
        <v>866</v>
      </c>
      <c r="D25" s="88" t="s">
        <v>812</v>
      </c>
      <c r="E25" s="92">
        <f t="shared" ref="E25:M25" si="1">E21-E23</f>
        <v>3193798.7041884069</v>
      </c>
      <c r="F25" s="105">
        <f t="shared" si="1"/>
        <v>200067.31427043441</v>
      </c>
      <c r="G25" s="105">
        <f t="shared" si="1"/>
        <v>3724476.5104830288</v>
      </c>
      <c r="H25" s="91">
        <f t="shared" si="1"/>
        <v>7118342.5289418707</v>
      </c>
      <c r="I25" s="92">
        <f t="shared" si="1"/>
        <v>3573406.0543266805</v>
      </c>
      <c r="J25" s="91">
        <f t="shared" si="1"/>
        <v>45045.401887112435</v>
      </c>
      <c r="K25" s="105">
        <f t="shared" si="1"/>
        <v>3830.4380644444304</v>
      </c>
      <c r="L25" s="95">
        <f t="shared" si="1"/>
        <v>1310156.7126987465</v>
      </c>
      <c r="M25" s="91">
        <f t="shared" si="1"/>
        <v>1491961.284809127</v>
      </c>
      <c r="N25" s="95">
        <f>N21-N23</f>
        <v>13542742.420727981</v>
      </c>
    </row>
    <row r="26" spans="2:16" ht="15.75">
      <c r="B26" s="76"/>
      <c r="C26" s="87"/>
      <c r="D26" s="88"/>
      <c r="E26" s="76"/>
      <c r="F26" s="67"/>
      <c r="G26" s="67"/>
      <c r="H26" s="68"/>
      <c r="I26" s="76"/>
      <c r="J26" s="68"/>
      <c r="K26" s="67"/>
      <c r="L26" s="77"/>
      <c r="M26" s="68"/>
      <c r="N26" s="77"/>
    </row>
    <row r="27" spans="2:16" ht="15.75">
      <c r="B27" s="86" t="s">
        <v>813</v>
      </c>
      <c r="C27" s="87" t="s">
        <v>300</v>
      </c>
      <c r="D27" s="106" t="s">
        <v>828</v>
      </c>
      <c r="E27" s="89">
        <f>$P$27*(E25/$N$25)</f>
        <v>2242785.3137807054</v>
      </c>
      <c r="F27" s="90">
        <f>$P$27*(F25/$N$25)</f>
        <v>140493.52378558961</v>
      </c>
      <c r="G27" s="90">
        <f>$P$27*(G25/$N$25)</f>
        <v>2615443.8625947223</v>
      </c>
      <c r="H27" s="91">
        <f>E27+G27+F27</f>
        <v>4998722.7001610175</v>
      </c>
      <c r="I27" s="89">
        <f>$P$27*(I25/$N$25)</f>
        <v>2509357.4646106297</v>
      </c>
      <c r="J27" s="94">
        <f>$P$27*(J25/$N$25)</f>
        <v>31632.289684780862</v>
      </c>
      <c r="K27" s="90">
        <f>$P$27*(K25/$N$25)</f>
        <v>2689.8533789923449</v>
      </c>
      <c r="L27" s="93">
        <f>$P$27*(L25/$N$25)</f>
        <v>920033.0096378593</v>
      </c>
      <c r="M27" s="90">
        <f>$P$27*(M25/$N$25)</f>
        <v>1047701.8648392274</v>
      </c>
      <c r="N27" s="95">
        <f>E27+F27+G27+K27+L27+M27+I27+J27</f>
        <v>9510137.1823125072</v>
      </c>
      <c r="P27" s="54">
        <f>Allocation!G519+Allocation!G509+Allocation!G564</f>
        <v>9510137.1823125072</v>
      </c>
    </row>
    <row r="28" spans="2:16" ht="15.75">
      <c r="B28" s="76"/>
      <c r="C28" s="87"/>
      <c r="D28" s="88"/>
      <c r="E28" s="76"/>
      <c r="F28" s="67"/>
      <c r="G28" s="67"/>
      <c r="H28" s="68"/>
      <c r="I28" s="76"/>
      <c r="J28" s="68"/>
      <c r="K28" s="67"/>
      <c r="L28" s="77"/>
      <c r="M28" s="68"/>
      <c r="N28" s="77"/>
    </row>
    <row r="29" spans="2:16" ht="15.75">
      <c r="B29" s="86" t="s">
        <v>814</v>
      </c>
      <c r="C29" s="87" t="s">
        <v>172</v>
      </c>
      <c r="D29" s="88" t="s">
        <v>856</v>
      </c>
      <c r="E29" s="89">
        <f>Allocation!G126</f>
        <v>12328581.5174719</v>
      </c>
      <c r="F29" s="90">
        <f>Allocation!G128</f>
        <v>772292.31439352944</v>
      </c>
      <c r="G29" s="90">
        <f>Allocation!G132+Allocation!G135+Allocation!G138+Allocation!G141</f>
        <v>19039875.190766729</v>
      </c>
      <c r="H29" s="91">
        <f>E29+F29+G29</f>
        <v>32140749.022632159</v>
      </c>
      <c r="I29" s="92">
        <f>Allocation!G109</f>
        <v>3740875.8411211674</v>
      </c>
      <c r="J29" s="91">
        <f>Allocation!G110</f>
        <v>5605091.7749682385</v>
      </c>
      <c r="K29" s="90">
        <f>Allocation!G105+Allocation!G115+Allocation!G119</f>
        <v>476629.26714136661</v>
      </c>
      <c r="L29" s="93">
        <f>Allocation!G125</f>
        <v>5057417.6174556641</v>
      </c>
      <c r="M29" s="94">
        <f>Allocation!G104+Allocation!G114+Allocation!G122+Allocation!G127</f>
        <v>5427389.0284791328</v>
      </c>
      <c r="N29" s="95">
        <f>E29+F29+G29+K29+L29+M29+I29+J29</f>
        <v>52448152.551797733</v>
      </c>
    </row>
    <row r="30" spans="2:16" ht="15.75">
      <c r="B30" s="86" t="s">
        <v>815</v>
      </c>
      <c r="C30" s="87" t="s">
        <v>174</v>
      </c>
      <c r="D30" s="88" t="s">
        <v>857</v>
      </c>
      <c r="E30" s="96">
        <f>Allocation!G219</f>
        <v>5116195.5243265741</v>
      </c>
      <c r="F30" s="97">
        <f>Allocation!G221</f>
        <v>320490.9240185013</v>
      </c>
      <c r="G30" s="97">
        <f>Allocation!G225+Allocation!G228+Allocation!G231+Allocation!G234</f>
        <v>11040946.475575823</v>
      </c>
      <c r="H30" s="98">
        <f>E30+F30+G30</f>
        <v>16477632.9239209</v>
      </c>
      <c r="I30" s="96">
        <f>Allocation!G202</f>
        <v>2746010.3726042896</v>
      </c>
      <c r="J30" s="98">
        <f>Allocation!G203</f>
        <v>0</v>
      </c>
      <c r="K30" s="97">
        <f>Allocation!G198+Allocation!G208+Allocation!G212</f>
        <v>0</v>
      </c>
      <c r="L30" s="99">
        <f>Allocation!G218</f>
        <v>2098760.2947190399</v>
      </c>
      <c r="M30" s="98">
        <f>Allocation!G197+Allocation!G207+Allocation!G215+Allocation!G220</f>
        <v>1321176.5900828457</v>
      </c>
      <c r="N30" s="99">
        <f>E30+F30+G30+K30+L30+M30+I30+J30</f>
        <v>22643580.181327075</v>
      </c>
    </row>
    <row r="31" spans="2:16" ht="15.75">
      <c r="B31" s="86" t="s">
        <v>816</v>
      </c>
      <c r="C31" s="87" t="s">
        <v>217</v>
      </c>
      <c r="D31" s="88" t="s">
        <v>858</v>
      </c>
      <c r="E31" s="96">
        <f>Allocation!G396</f>
        <v>1749785.6708767023</v>
      </c>
      <c r="F31" s="97">
        <f>Allocation!G398</f>
        <v>109610.82777762336</v>
      </c>
      <c r="G31" s="97">
        <f>Allocation!G402+Allocation!G405+Allocation!G408+Allocation!G411</f>
        <v>2209905.5971064591</v>
      </c>
      <c r="H31" s="98">
        <f>E31+F31+G31</f>
        <v>4069302.095760785</v>
      </c>
      <c r="I31" s="96">
        <f>Allocation!G379</f>
        <v>926554.42454200773</v>
      </c>
      <c r="J31" s="98">
        <f>Allocation!G380</f>
        <v>0</v>
      </c>
      <c r="K31" s="97">
        <f>Allocation!G375+Allocation!G385+Allocation!G389</f>
        <v>0</v>
      </c>
      <c r="L31" s="99">
        <f>Allocation!G395</f>
        <v>717795.2196789278</v>
      </c>
      <c r="M31" s="98">
        <f>Allocation!G374+Allocation!G384+Allocation!G392+Allocation!G397</f>
        <v>551896.43022707046</v>
      </c>
      <c r="N31" s="99">
        <f>E31+F31+G31+K31+L31+M31+I31+J31</f>
        <v>6265548.1702087913</v>
      </c>
      <c r="P31" s="55"/>
    </row>
    <row r="32" spans="2:16" ht="15.75">
      <c r="B32" s="86" t="s">
        <v>817</v>
      </c>
      <c r="C32" s="87" t="s">
        <v>106</v>
      </c>
      <c r="D32" s="88" t="s">
        <v>859</v>
      </c>
      <c r="E32" s="96">
        <f>Allocation!G264+Allocation!G308+Allocation!G352</f>
        <v>-14852.993063595412</v>
      </c>
      <c r="F32" s="97">
        <f>Allocation!G266+Allocation!G310+Allocation!G354</f>
        <v>-930.42758994607777</v>
      </c>
      <c r="G32" s="97">
        <f>Allocation!G270+Allocation!G273+Allocation!G276+Allocation!G279+Allocation!G314+Allocation!G317+Allocation!G320+Allocation!G323+Allocation!G358+Allocation!G361+Allocation!G364+Allocation!G367</f>
        <v>-18930.451410029174</v>
      </c>
      <c r="H32" s="98">
        <f>E32+F32+G32</f>
        <v>-34713.872063570663</v>
      </c>
      <c r="I32" s="96">
        <f>Allocation!G247+Allocation!G291+Allocation!G335</f>
        <v>-7605.2859533843866</v>
      </c>
      <c r="J32" s="98">
        <f>Allocation!G248+Allocation!G292+Allocation!G336</f>
        <v>0</v>
      </c>
      <c r="K32" s="97">
        <f>Allocation!G287+Allocation!G297+Allocation!G301+Allocation!G331+Allocation!G341+Allocation!G345+Allocation!G375+Allocation!G385+Allocation!G389</f>
        <v>0</v>
      </c>
      <c r="L32" s="99">
        <f>Allocation!G307+Allocation!G351+Allocation!G263</f>
        <v>-6092.9790410452561</v>
      </c>
      <c r="M32" s="97">
        <f>Allocation!G242+Allocation!G252+Allocation!G260+Allocation!G265+Allocation!G286+Allocation!G296+Allocation!G304+Allocation!G309+Allocation!G330+Allocation!G340+Allocation!G348+Allocation!G353</f>
        <v>-4644.6918480447885</v>
      </c>
      <c r="N32" s="99">
        <f>E32+F32+G32+K32+L32+M32+I32+J32</f>
        <v>-53056.828906045092</v>
      </c>
      <c r="P32" s="55"/>
    </row>
    <row r="33" spans="2:16" ht="15.75">
      <c r="B33" s="86" t="s">
        <v>818</v>
      </c>
      <c r="C33" s="87" t="s">
        <v>876</v>
      </c>
      <c r="D33" s="88" t="s">
        <v>854</v>
      </c>
      <c r="E33" s="96">
        <f>(E29/$N$29)*$N$33</f>
        <v>-199301.69928262214</v>
      </c>
      <c r="F33" s="97">
        <f t="shared" ref="F33:M33" si="2">(F29/$N$29)*$N$33</f>
        <v>-12484.742902774929</v>
      </c>
      <c r="G33" s="97">
        <f t="shared" si="2"/>
        <v>-307795.30266893073</v>
      </c>
      <c r="H33" s="98">
        <f>E33+F33+G33</f>
        <v>-519581.74485432776</v>
      </c>
      <c r="I33" s="96">
        <f t="shared" si="2"/>
        <v>-60474.346613530135</v>
      </c>
      <c r="J33" s="98">
        <f t="shared" si="2"/>
        <v>-90610.936367908464</v>
      </c>
      <c r="K33" s="97">
        <f t="shared" si="2"/>
        <v>-7705.105630723403</v>
      </c>
      <c r="L33" s="99">
        <f t="shared" si="2"/>
        <v>-81757.33142635494</v>
      </c>
      <c r="M33" s="97">
        <f t="shared" si="2"/>
        <v>-87738.224751225222</v>
      </c>
      <c r="N33" s="99">
        <f>Allocation!G499+Allocation!G501+Allocation!G565+Allocation!G566</f>
        <v>-847867.68964406999</v>
      </c>
      <c r="P33" s="53"/>
    </row>
    <row r="34" spans="2:16" ht="15.75">
      <c r="B34" s="76"/>
      <c r="C34" s="87"/>
      <c r="D34" s="88"/>
      <c r="E34" s="76"/>
      <c r="F34" s="67"/>
      <c r="G34" s="67"/>
      <c r="H34" s="68"/>
      <c r="I34" s="76"/>
      <c r="J34" s="68"/>
      <c r="K34" s="67"/>
      <c r="L34" s="77"/>
      <c r="M34" s="68"/>
      <c r="N34" s="77"/>
    </row>
    <row r="35" spans="2:16" ht="15.75">
      <c r="B35" s="86" t="s">
        <v>819</v>
      </c>
      <c r="C35" s="87" t="s">
        <v>867</v>
      </c>
      <c r="D35" s="88" t="s">
        <v>863</v>
      </c>
      <c r="E35" s="92">
        <f t="shared" ref="E35:M35" si="3">E21+E27+SUM(E29:E33)</f>
        <v>27164472.587063987</v>
      </c>
      <c r="F35" s="105">
        <f t="shared" si="3"/>
        <v>1701648.5938639573</v>
      </c>
      <c r="G35" s="105">
        <f>G21+G27+SUM(G29:G33)</f>
        <v>41773874.085003451</v>
      </c>
      <c r="H35" s="91">
        <f t="shared" si="3"/>
        <v>70639995.265931398</v>
      </c>
      <c r="I35" s="92">
        <f t="shared" si="3"/>
        <v>14882982.854530737</v>
      </c>
      <c r="J35" s="91">
        <f t="shared" si="3"/>
        <v>5591158.5301722232</v>
      </c>
      <c r="K35" s="105">
        <f t="shared" si="3"/>
        <v>475444.45295407996</v>
      </c>
      <c r="L35" s="95">
        <f t="shared" si="3"/>
        <v>11143381.096682759</v>
      </c>
      <c r="M35" s="91">
        <f t="shared" si="3"/>
        <v>10614319.675984062</v>
      </c>
      <c r="N35" s="95">
        <f>N21+N27+SUM(N29:N33)</f>
        <v>113347281.87625527</v>
      </c>
    </row>
    <row r="36" spans="2:16" ht="15.75">
      <c r="B36" s="76"/>
      <c r="C36" s="87"/>
      <c r="D36" s="88"/>
      <c r="E36" s="76"/>
      <c r="F36" s="67"/>
      <c r="G36" s="67"/>
      <c r="H36" s="68"/>
      <c r="I36" s="76"/>
      <c r="J36" s="68"/>
      <c r="K36" s="67"/>
      <c r="L36" s="77"/>
      <c r="M36" s="68"/>
      <c r="N36" s="77"/>
    </row>
    <row r="37" spans="2:16" ht="15.75">
      <c r="B37" s="86" t="s">
        <v>821</v>
      </c>
      <c r="C37" s="87" t="s">
        <v>820</v>
      </c>
      <c r="D37" s="88" t="s">
        <v>860</v>
      </c>
      <c r="E37" s="96">
        <f>(E35/$N$35)*$N$37</f>
        <v>875701.46293640591</v>
      </c>
      <c r="F37" s="97">
        <f>(F35/$N$35)*$N$37</f>
        <v>54856.068280889951</v>
      </c>
      <c r="G37" s="97">
        <f>(G35/$N$35)*$N$37</f>
        <v>1346664.932717273</v>
      </c>
      <c r="H37" s="98">
        <f>E37+F37+G37</f>
        <v>2277222.4639345687</v>
      </c>
      <c r="I37" s="96">
        <f>(I35/$N$35)*$N$37</f>
        <v>479782.91560044826</v>
      </c>
      <c r="J37" s="98">
        <f>(J35/$N$35)*$N$37</f>
        <v>180242.25166487481</v>
      </c>
      <c r="K37" s="97">
        <f>(K35/$N$35)*$N$37</f>
        <v>15326.90913333455</v>
      </c>
      <c r="L37" s="99">
        <f>(L35/$N$35)*$N$37</f>
        <v>359229.32415297395</v>
      </c>
      <c r="M37" s="97">
        <f>(M35/$N$35)*$N$37</f>
        <v>342173.96411960112</v>
      </c>
      <c r="N37" s="95">
        <f>Allocation!G467+Allocation!G468+Allocation!G469+Allocation!G476+Allocation!G562</f>
        <v>3653977.8286058023</v>
      </c>
      <c r="P37" s="53"/>
    </row>
    <row r="38" spans="2:16" ht="15.75">
      <c r="B38" s="76"/>
      <c r="C38" s="87"/>
      <c r="D38" s="88"/>
      <c r="E38" s="76"/>
      <c r="F38" s="67"/>
      <c r="G38" s="67"/>
      <c r="H38" s="68"/>
      <c r="I38" s="76"/>
      <c r="J38" s="68"/>
      <c r="K38" s="67"/>
      <c r="L38" s="77"/>
      <c r="M38" s="68"/>
      <c r="N38" s="77"/>
    </row>
    <row r="39" spans="2:16" ht="15.75">
      <c r="B39" s="86" t="s">
        <v>823</v>
      </c>
      <c r="C39" s="87" t="s">
        <v>868</v>
      </c>
      <c r="D39" s="88" t="s">
        <v>822</v>
      </c>
      <c r="E39" s="92">
        <f t="shared" ref="E39:M39" si="4">E35-E37</f>
        <v>26288771.124127582</v>
      </c>
      <c r="F39" s="105">
        <f t="shared" si="4"/>
        <v>1646792.5255830674</v>
      </c>
      <c r="G39" s="105">
        <f t="shared" si="4"/>
        <v>40427209.152286179</v>
      </c>
      <c r="H39" s="91">
        <f t="shared" si="4"/>
        <v>68362772.801996827</v>
      </c>
      <c r="I39" s="92">
        <f t="shared" si="4"/>
        <v>14403199.938930288</v>
      </c>
      <c r="J39" s="91">
        <f t="shared" si="4"/>
        <v>5410916.2785073482</v>
      </c>
      <c r="K39" s="105">
        <f>K35-K37</f>
        <v>460117.54382074543</v>
      </c>
      <c r="L39" s="95">
        <f t="shared" si="4"/>
        <v>10784151.772529785</v>
      </c>
      <c r="M39" s="91">
        <f t="shared" si="4"/>
        <v>10272145.71186446</v>
      </c>
      <c r="N39" s="95">
        <f>N35-N37</f>
        <v>109693304.04764947</v>
      </c>
      <c r="P39" s="53"/>
    </row>
    <row r="40" spans="2:16" ht="15.75">
      <c r="B40" s="76"/>
      <c r="C40" s="87"/>
      <c r="D40" s="88"/>
      <c r="E40" s="76"/>
      <c r="F40" s="67"/>
      <c r="G40" s="67"/>
      <c r="H40" s="68"/>
      <c r="I40" s="76"/>
      <c r="J40" s="68"/>
      <c r="K40" s="67"/>
      <c r="L40" s="77"/>
      <c r="M40" s="68"/>
      <c r="N40" s="77"/>
    </row>
    <row r="41" spans="2:16" ht="15.75">
      <c r="B41" s="86" t="s">
        <v>824</v>
      </c>
      <c r="C41" s="87" t="s">
        <v>390</v>
      </c>
      <c r="D41" s="88" t="s">
        <v>861</v>
      </c>
      <c r="E41" s="96">
        <f>Allocation!G596*12</f>
        <v>3535390</v>
      </c>
      <c r="F41" s="97">
        <f>+$E$41</f>
        <v>3535390</v>
      </c>
      <c r="G41" s="97">
        <f>+$E$41</f>
        <v>3535390</v>
      </c>
      <c r="H41" s="98">
        <f>G41</f>
        <v>3535390</v>
      </c>
      <c r="I41" s="96">
        <f>Allocation!G589</f>
        <v>8083261.9214399997</v>
      </c>
      <c r="J41" s="98">
        <f>Allocation!G580</f>
        <v>19985070.637652706</v>
      </c>
      <c r="K41" s="97">
        <f>Allocation!G580</f>
        <v>19985070.637652706</v>
      </c>
      <c r="L41" s="99">
        <f>Allocation!G583</f>
        <v>15452000.480987273</v>
      </c>
      <c r="M41" s="97">
        <f>Allocation!G582</f>
        <v>15452000.480987273</v>
      </c>
      <c r="N41" s="77"/>
    </row>
    <row r="42" spans="2:16" ht="16.5" thickBot="1">
      <c r="B42" s="76"/>
      <c r="C42" s="87"/>
      <c r="D42" s="88"/>
      <c r="E42" s="76"/>
      <c r="F42" s="67"/>
      <c r="G42" s="67"/>
      <c r="H42" s="68"/>
      <c r="I42" s="69"/>
      <c r="J42" s="70"/>
      <c r="K42" s="76"/>
      <c r="L42" s="77"/>
      <c r="M42" s="68"/>
      <c r="N42" s="77"/>
    </row>
    <row r="43" spans="2:16" ht="16.5" thickBot="1">
      <c r="B43" s="107" t="s">
        <v>827</v>
      </c>
      <c r="C43" s="108" t="s">
        <v>869</v>
      </c>
      <c r="D43" s="109" t="s">
        <v>825</v>
      </c>
      <c r="E43" s="110" t="str">
        <f>CONCATENATE(TEXT(E39/E41,"$0.00"),"/Cust/Mo")</f>
        <v>$7.44/Cust/Mo</v>
      </c>
      <c r="F43" s="111" t="str">
        <f>CONCATENATE(TEXT(F39/F41,"$0.00"),"/Cust/Mo")</f>
        <v>$0.47/Cust/Mo</v>
      </c>
      <c r="G43" s="111" t="str">
        <f>CONCATENATE(TEXT(G39/G41,"$0.00"),"/Cust/Mo")</f>
        <v>$11.44/Cust/Mo</v>
      </c>
      <c r="H43" s="112" t="str">
        <f>CONCATENATE(TEXT(H39/H41,"$0.00"),"/Cust/Mo")</f>
        <v>$19.34/Cust/Mo</v>
      </c>
      <c r="I43" s="113" t="str">
        <f>CONCATENATE(TEXT(I39/I41,"$0.0000"),"/Mcf")</f>
        <v>$1.7819/Mcf</v>
      </c>
      <c r="J43" s="113" t="str">
        <f>CONCATENATE(TEXT(J39/J41,"$0.0000"),"/Mcf")</f>
        <v>$0.2707/Mcf</v>
      </c>
      <c r="K43" s="113" t="str">
        <f>CONCATENATE(TEXT(K39/K41,"$0.0000"),"/Mcf")</f>
        <v>$0.0230/Mcf</v>
      </c>
      <c r="L43" s="113" t="str">
        <f>CONCATENATE(TEXT(L39/L41,"$0.0000"),"/Mcf")</f>
        <v>$0.6979/Mcf</v>
      </c>
      <c r="M43" s="113" t="str">
        <f>CONCATENATE(TEXT(M39/M41,"$0.0000"),"/Mcf")</f>
        <v>$0.6648/Mcf</v>
      </c>
      <c r="N43" s="114"/>
    </row>
    <row r="44" spans="2:16" ht="15.7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2:16" ht="15.75">
      <c r="B45" s="63"/>
      <c r="C45" s="63"/>
      <c r="D45" s="63"/>
      <c r="E45" s="63"/>
      <c r="F45" s="63"/>
      <c r="G45" s="63"/>
      <c r="H45" s="63"/>
      <c r="I45" s="196"/>
      <c r="J45" s="63"/>
      <c r="K45" s="63"/>
      <c r="L45" s="63"/>
      <c r="M45" s="115"/>
      <c r="N45" s="63"/>
    </row>
    <row r="46" spans="2:16">
      <c r="M46" s="56"/>
      <c r="N46" s="53"/>
    </row>
    <row r="47" spans="2:16">
      <c r="H47" s="197"/>
      <c r="I47" s="200"/>
      <c r="K47" s="53"/>
      <c r="M47" s="197"/>
      <c r="N47" s="199"/>
    </row>
    <row r="48" spans="2:16">
      <c r="M48" s="56"/>
    </row>
    <row r="49" spans="9:13">
      <c r="M49" s="56"/>
    </row>
    <row r="50" spans="9:13">
      <c r="M50" s="56"/>
    </row>
    <row r="51" spans="9:13">
      <c r="M51" s="56"/>
    </row>
    <row r="52" spans="9:13">
      <c r="M52" s="56"/>
    </row>
    <row r="53" spans="9:13">
      <c r="M53" s="56"/>
    </row>
    <row r="54" spans="9:13">
      <c r="M54" s="56"/>
    </row>
    <row r="55" spans="9:13">
      <c r="M55" s="56"/>
    </row>
    <row r="56" spans="9:13">
      <c r="M56" s="56"/>
    </row>
    <row r="57" spans="9:13">
      <c r="M57" s="56"/>
    </row>
    <row r="58" spans="9:13">
      <c r="M58" s="56"/>
    </row>
    <row r="59" spans="9:13">
      <c r="M59" s="56"/>
    </row>
    <row r="60" spans="9:13">
      <c r="M60" s="56"/>
    </row>
    <row r="61" spans="9:13">
      <c r="M61" s="56"/>
    </row>
    <row r="62" spans="9:13">
      <c r="M62" s="56"/>
    </row>
    <row r="63" spans="9:13">
      <c r="M63" s="56"/>
    </row>
    <row r="64" spans="9:13">
      <c r="I64" s="57"/>
      <c r="J64" s="51"/>
      <c r="K64" s="51"/>
    </row>
    <row r="65" spans="9:11">
      <c r="I65" s="51"/>
      <c r="J65" s="51"/>
      <c r="K65" s="58"/>
    </row>
    <row r="66" spans="9:11">
      <c r="I66" s="51"/>
      <c r="J66" s="51"/>
      <c r="K66" s="59"/>
    </row>
    <row r="67" spans="9:11">
      <c r="I67" s="51"/>
      <c r="J67" s="51"/>
      <c r="K67" s="59"/>
    </row>
    <row r="68" spans="9:11">
      <c r="I68" s="51"/>
      <c r="J68" s="51"/>
      <c r="K68" s="60"/>
    </row>
    <row r="69" spans="9:11">
      <c r="I69" s="51"/>
      <c r="J69" s="51"/>
      <c r="K69" s="61"/>
    </row>
    <row r="70" spans="9:11">
      <c r="I70" s="51"/>
      <c r="J70" s="51"/>
      <c r="K70" s="62"/>
    </row>
    <row r="71" spans="9:11">
      <c r="I71" s="51"/>
      <c r="J71" s="51"/>
      <c r="K71" s="51"/>
    </row>
    <row r="72" spans="9:11">
      <c r="I72" s="51"/>
      <c r="J72" s="51"/>
      <c r="K72" s="51"/>
    </row>
    <row r="73" spans="9:11">
      <c r="I73" s="51"/>
      <c r="J73" s="51"/>
      <c r="K73" s="59"/>
    </row>
  </sheetData>
  <mergeCells count="5">
    <mergeCell ref="B1:N1"/>
    <mergeCell ref="B3:N3"/>
    <mergeCell ref="B4:N4"/>
    <mergeCell ref="B6:N6"/>
    <mergeCell ref="E10:H10"/>
  </mergeCells>
  <printOptions horizontalCentered="1"/>
  <pageMargins left="0.5" right="0.5" top="1" bottom="0.5" header="0.5" footer="0.25"/>
  <pageSetup scale="52" orientation="landscape" r:id="rId1"/>
  <headerFooter alignWithMargins="0">
    <oddFooter>&amp;R&amp;"Times New Roman,Bold"&amp;12Exhibit MJB - 17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73"/>
  <sheetViews>
    <sheetView topLeftCell="A10" workbookViewId="0">
      <selection activeCell="P50" sqref="P50"/>
    </sheetView>
  </sheetViews>
  <sheetFormatPr defaultColWidth="9.140625" defaultRowHeight="12.75"/>
  <cols>
    <col min="1" max="1" width="9.140625" style="52"/>
    <col min="2" max="2" width="4.28515625" style="52" customWidth="1"/>
    <col min="3" max="3" width="55.7109375" style="52" bestFit="1" customWidth="1"/>
    <col min="4" max="4" width="34.28515625" style="52" hidden="1" customWidth="1"/>
    <col min="5" max="5" width="22.140625" style="52" customWidth="1"/>
    <col min="6" max="6" width="22" style="52" customWidth="1"/>
    <col min="7" max="7" width="21.140625" style="52" customWidth="1"/>
    <col min="8" max="8" width="22" style="52" customWidth="1"/>
    <col min="9" max="9" width="20.140625" style="52" customWidth="1"/>
    <col min="10" max="10" width="15.140625" style="52" customWidth="1"/>
    <col min="11" max="11" width="14.7109375" style="52" customWidth="1"/>
    <col min="12" max="12" width="17.42578125" style="52" customWidth="1"/>
    <col min="13" max="13" width="18.28515625" style="52" customWidth="1"/>
    <col min="14" max="14" width="15.85546875" style="52" customWidth="1"/>
    <col min="15" max="15" width="9.140625" style="52"/>
    <col min="16" max="16" width="14.85546875" style="52" customWidth="1"/>
    <col min="17" max="16384" width="9.140625" style="52"/>
  </cols>
  <sheetData>
    <row r="1" spans="2:16" ht="15.75">
      <c r="B1" s="203" t="s">
        <v>764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2:16" ht="15.7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6" ht="15.75">
      <c r="B3" s="203" t="s">
        <v>792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2:16" ht="15.75">
      <c r="B4" s="203" t="s">
        <v>878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2:16" ht="15.75">
      <c r="B5" s="11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16" ht="15.75">
      <c r="B6" s="203" t="s">
        <v>881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2:16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2:16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2:16" ht="13.5" thickBot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2:16" ht="16.5" thickBot="1">
      <c r="B10" s="71"/>
      <c r="C10" s="72"/>
      <c r="D10" s="73"/>
      <c r="E10" s="204" t="s">
        <v>793</v>
      </c>
      <c r="F10" s="205"/>
      <c r="G10" s="205"/>
      <c r="H10" s="206"/>
      <c r="I10" s="74"/>
      <c r="J10" s="74"/>
      <c r="K10" s="75"/>
      <c r="L10" s="75"/>
      <c r="M10" s="75"/>
      <c r="N10" s="73"/>
    </row>
    <row r="11" spans="2:16" ht="15.75">
      <c r="B11" s="76"/>
      <c r="C11" s="68"/>
      <c r="D11" s="77"/>
      <c r="E11" s="64" t="s">
        <v>794</v>
      </c>
      <c r="F11" s="65" t="s">
        <v>794</v>
      </c>
      <c r="G11" s="65"/>
      <c r="H11" s="66" t="s">
        <v>14</v>
      </c>
      <c r="I11" s="78" t="s">
        <v>3</v>
      </c>
      <c r="J11" s="78" t="s">
        <v>3</v>
      </c>
      <c r="K11" s="78" t="s">
        <v>247</v>
      </c>
      <c r="L11" s="78" t="s">
        <v>795</v>
      </c>
      <c r="M11" s="78" t="s">
        <v>795</v>
      </c>
      <c r="N11" s="77"/>
    </row>
    <row r="12" spans="2:16" ht="15.75">
      <c r="B12" s="76"/>
      <c r="C12" s="68"/>
      <c r="D12" s="77"/>
      <c r="E12" s="64" t="s">
        <v>796</v>
      </c>
      <c r="F12" s="65" t="s">
        <v>797</v>
      </c>
      <c r="G12" s="65" t="s">
        <v>794</v>
      </c>
      <c r="H12" s="66" t="s">
        <v>794</v>
      </c>
      <c r="I12" s="78" t="s">
        <v>798</v>
      </c>
      <c r="J12" s="78" t="s">
        <v>829</v>
      </c>
      <c r="K12" s="78" t="s">
        <v>642</v>
      </c>
      <c r="L12" s="64" t="s">
        <v>796</v>
      </c>
      <c r="M12" s="64" t="s">
        <v>797</v>
      </c>
      <c r="N12" s="77"/>
    </row>
    <row r="13" spans="2:16" ht="16.5" thickBot="1">
      <c r="B13" s="69"/>
      <c r="C13" s="79" t="s">
        <v>19</v>
      </c>
      <c r="D13" s="80" t="s">
        <v>727</v>
      </c>
      <c r="E13" s="81" t="s">
        <v>799</v>
      </c>
      <c r="F13" s="82" t="s">
        <v>800</v>
      </c>
      <c r="G13" s="82" t="s">
        <v>801</v>
      </c>
      <c r="H13" s="83" t="s">
        <v>802</v>
      </c>
      <c r="I13" s="80" t="s">
        <v>802</v>
      </c>
      <c r="J13" s="80" t="s">
        <v>802</v>
      </c>
      <c r="K13" s="80" t="s">
        <v>802</v>
      </c>
      <c r="L13" s="81" t="s">
        <v>799</v>
      </c>
      <c r="M13" s="81" t="s">
        <v>799</v>
      </c>
      <c r="N13" s="80" t="s">
        <v>803</v>
      </c>
    </row>
    <row r="14" spans="2:16" ht="15.75">
      <c r="B14" s="71"/>
      <c r="C14" s="72"/>
      <c r="D14" s="84"/>
      <c r="E14" s="71"/>
      <c r="F14" s="85"/>
      <c r="G14" s="85"/>
      <c r="H14" s="72"/>
      <c r="I14" s="71"/>
      <c r="J14" s="72"/>
      <c r="K14" s="71"/>
      <c r="L14" s="73"/>
      <c r="M14" s="72"/>
      <c r="N14" s="73"/>
    </row>
    <row r="15" spans="2:16" ht="15.75">
      <c r="B15" s="86" t="s">
        <v>728</v>
      </c>
      <c r="C15" s="87" t="s">
        <v>248</v>
      </c>
      <c r="D15" s="88" t="s">
        <v>853</v>
      </c>
      <c r="E15" s="89">
        <f>Allocation!H80</f>
        <v>8299114.3282170277</v>
      </c>
      <c r="F15" s="90">
        <f>Allocation!H82</f>
        <v>519876.69488756638</v>
      </c>
      <c r="G15" s="90">
        <f>Allocation!H86+Allocation!H89+Allocation!H92+Allocation!H95</f>
        <v>28270688.670919862</v>
      </c>
      <c r="H15" s="91">
        <f>E15+F15+G15</f>
        <v>37089679.694024459</v>
      </c>
      <c r="I15" s="92">
        <f>Allocation!H62</f>
        <v>41778527.372636907</v>
      </c>
      <c r="J15" s="91">
        <f>Allocation!H63</f>
        <v>390980.36168685777</v>
      </c>
      <c r="K15" s="90">
        <f>Allocation!H58+Allocation!H72</f>
        <v>34729.707556990033</v>
      </c>
      <c r="L15" s="93">
        <f>Allocation!H79</f>
        <v>19533707.485058308</v>
      </c>
      <c r="M15" s="94">
        <f>Allocation!H57+Allocation!H67+Allocation!H75+Allocation!H81</f>
        <v>19480253.008240499</v>
      </c>
      <c r="N15" s="95">
        <f>E15+F15+G15+K15+L15+M15+I15+J15</f>
        <v>118307877.62920403</v>
      </c>
      <c r="O15" s="53"/>
    </row>
    <row r="16" spans="2:16" ht="15.75">
      <c r="B16" s="86" t="s">
        <v>804</v>
      </c>
      <c r="C16" s="87" t="s">
        <v>681</v>
      </c>
      <c r="D16" s="88" t="s">
        <v>854</v>
      </c>
      <c r="E16" s="96">
        <f>(E15/$N$15)*$N$16</f>
        <v>0</v>
      </c>
      <c r="F16" s="97">
        <f t="shared" ref="F16:M16" si="0">(F15/$N$15)*$N$16</f>
        <v>0</v>
      </c>
      <c r="G16" s="97">
        <f t="shared" si="0"/>
        <v>0</v>
      </c>
      <c r="H16" s="98">
        <f>E16+F16+G16</f>
        <v>0</v>
      </c>
      <c r="I16" s="96">
        <f t="shared" si="0"/>
        <v>0</v>
      </c>
      <c r="J16" s="98">
        <f t="shared" si="0"/>
        <v>0</v>
      </c>
      <c r="K16" s="97">
        <f t="shared" si="0"/>
        <v>0</v>
      </c>
      <c r="L16" s="99">
        <f t="shared" si="0"/>
        <v>0</v>
      </c>
      <c r="M16" s="98">
        <f t="shared" si="0"/>
        <v>0</v>
      </c>
      <c r="N16" s="99">
        <f>Allocation!G524+Allocation!G525</f>
        <v>0</v>
      </c>
      <c r="O16" s="53"/>
      <c r="P16" s="53"/>
    </row>
    <row r="17" spans="2:16" ht="15.75">
      <c r="B17" s="86" t="s">
        <v>805</v>
      </c>
      <c r="C17" s="87" t="s">
        <v>864</v>
      </c>
      <c r="D17" s="88" t="s">
        <v>806</v>
      </c>
      <c r="E17" s="89">
        <f>E15+E16</f>
        <v>8299114.3282170277</v>
      </c>
      <c r="F17" s="90">
        <f>F15+F16</f>
        <v>519876.69488756638</v>
      </c>
      <c r="G17" s="90">
        <f>G15+G16</f>
        <v>28270688.670919862</v>
      </c>
      <c r="H17" s="91">
        <f>E17+F17+G17</f>
        <v>37089679.694024459</v>
      </c>
      <c r="I17" s="92">
        <f>I15+I16</f>
        <v>41778527.372636907</v>
      </c>
      <c r="J17" s="91">
        <f>J15+J16</f>
        <v>390980.36168685777</v>
      </c>
      <c r="K17" s="90">
        <f>K15+K16</f>
        <v>34729.707556990033</v>
      </c>
      <c r="L17" s="93">
        <f>L15+L16</f>
        <v>19533707.485058308</v>
      </c>
      <c r="M17" s="94">
        <f>M15+M16</f>
        <v>19480253.008240499</v>
      </c>
      <c r="N17" s="100">
        <f>E17+F17+G17+K17+L17+M17+I17+J17</f>
        <v>118307877.62920403</v>
      </c>
    </row>
    <row r="18" spans="2:16" ht="15.75">
      <c r="B18" s="86"/>
      <c r="C18" s="87"/>
      <c r="D18" s="88"/>
      <c r="E18" s="89"/>
      <c r="F18" s="90"/>
      <c r="G18" s="90"/>
      <c r="H18" s="91"/>
      <c r="I18" s="92"/>
      <c r="J18" s="91"/>
      <c r="K18" s="90"/>
      <c r="L18" s="93"/>
      <c r="M18" s="94"/>
      <c r="N18" s="95"/>
    </row>
    <row r="19" spans="2:16" ht="15.75">
      <c r="B19" s="86" t="s">
        <v>807</v>
      </c>
      <c r="C19" s="87" t="s">
        <v>369</v>
      </c>
      <c r="D19" s="88" t="s">
        <v>862</v>
      </c>
      <c r="E19" s="101">
        <f>Allocation!H572</f>
        <v>9.4125069129084957E-2</v>
      </c>
      <c r="F19" s="102">
        <f>E19</f>
        <v>9.4125069129084957E-2</v>
      </c>
      <c r="G19" s="102">
        <f>E19</f>
        <v>9.4125069129084957E-2</v>
      </c>
      <c r="H19" s="103">
        <f>E19</f>
        <v>9.4125069129084957E-2</v>
      </c>
      <c r="I19" s="101">
        <f>E19</f>
        <v>9.4125069129084957E-2</v>
      </c>
      <c r="J19" s="103">
        <f>E19</f>
        <v>9.4125069129084957E-2</v>
      </c>
      <c r="K19" s="102">
        <f>E19</f>
        <v>9.4125069129084957E-2</v>
      </c>
      <c r="L19" s="104">
        <f>F19</f>
        <v>9.4125069129084957E-2</v>
      </c>
      <c r="M19" s="103">
        <f>G19</f>
        <v>9.4125069129084957E-2</v>
      </c>
      <c r="N19" s="103">
        <f>E19</f>
        <v>9.4125069129084957E-2</v>
      </c>
    </row>
    <row r="20" spans="2:16" ht="15.75">
      <c r="B20" s="76"/>
      <c r="C20" s="87"/>
      <c r="D20" s="88"/>
      <c r="E20" s="76"/>
      <c r="F20" s="67"/>
      <c r="G20" s="67"/>
      <c r="H20" s="68"/>
      <c r="I20" s="76"/>
      <c r="J20" s="68"/>
      <c r="K20" s="67"/>
      <c r="L20" s="77"/>
      <c r="M20" s="68"/>
      <c r="N20" s="77"/>
    </row>
    <row r="21" spans="2:16" ht="15.75">
      <c r="B21" s="86" t="s">
        <v>808</v>
      </c>
      <c r="C21" s="87" t="s">
        <v>865</v>
      </c>
      <c r="D21" s="88" t="s">
        <v>809</v>
      </c>
      <c r="E21" s="89">
        <f>E17*E19</f>
        <v>781154.70985360723</v>
      </c>
      <c r="F21" s="90">
        <f>F17*F19</f>
        <v>48933.429844892395</v>
      </c>
      <c r="G21" s="90">
        <f>G17*G19</f>
        <v>2660980.5254771709</v>
      </c>
      <c r="H21" s="91">
        <f>E21+F21+G21</f>
        <v>3491068.6651756708</v>
      </c>
      <c r="I21" s="89">
        <f>I17*I19</f>
        <v>3932406.777060817</v>
      </c>
      <c r="J21" s="94">
        <f>J17*J19</f>
        <v>36801.05357189013</v>
      </c>
      <c r="K21" s="90">
        <f>K17*K19</f>
        <v>3268.9361246345911</v>
      </c>
      <c r="L21" s="93">
        <f>L17*L19</f>
        <v>1838611.5673784374</v>
      </c>
      <c r="M21" s="94">
        <f>M17*M19</f>
        <v>1833580.1610527022</v>
      </c>
      <c r="N21" s="95">
        <f>E21+F21+G21+K21+L21+M21+I21+J21</f>
        <v>11135737.160364153</v>
      </c>
      <c r="P21" s="53"/>
    </row>
    <row r="22" spans="2:16" ht="15.75">
      <c r="B22" s="76"/>
      <c r="C22" s="87"/>
      <c r="D22" s="88"/>
      <c r="E22" s="76"/>
      <c r="F22" s="67"/>
      <c r="G22" s="67"/>
      <c r="H22" s="68"/>
      <c r="I22" s="76"/>
      <c r="J22" s="68"/>
      <c r="K22" s="67"/>
      <c r="L22" s="77"/>
      <c r="M22" s="68"/>
      <c r="N22" s="77"/>
    </row>
    <row r="23" spans="2:16" ht="15.75">
      <c r="B23" s="86" t="s">
        <v>810</v>
      </c>
      <c r="C23" s="87" t="s">
        <v>372</v>
      </c>
      <c r="D23" s="88" t="s">
        <v>855</v>
      </c>
      <c r="E23" s="89">
        <f>Allocation!H443</f>
        <v>220990.41583808858</v>
      </c>
      <c r="F23" s="90">
        <f>Allocation!H445</f>
        <v>13843.376828430408</v>
      </c>
      <c r="G23" s="90">
        <f>Allocation!H449+Allocation!H452+Allocation!H455+Allocation!H458</f>
        <v>755271.42254820163</v>
      </c>
      <c r="H23" s="91">
        <f>E23+F23+G23</f>
        <v>990105.21521472058</v>
      </c>
      <c r="I23" s="89">
        <f>Allocation!H426</f>
        <v>696053.72005932406</v>
      </c>
      <c r="J23" s="94">
        <f>Allocation!H427</f>
        <v>0</v>
      </c>
      <c r="K23" s="90">
        <f>Allocation!H422+Allocation!H436</f>
        <v>0</v>
      </c>
      <c r="L23" s="93">
        <f>Allocation!H442</f>
        <v>520147.32768599276</v>
      </c>
      <c r="M23" s="94">
        <f>Allocation!H421+Allocation!H431+Allocation!H439+Allocation!H444</f>
        <v>412091.12554734142</v>
      </c>
      <c r="N23" s="95">
        <f>E23+F23+G23+K23+L23+M23+I23+J23</f>
        <v>2618397.3885073788</v>
      </c>
    </row>
    <row r="24" spans="2:16" ht="15.75">
      <c r="B24" s="76"/>
      <c r="C24" s="87"/>
      <c r="D24" s="88"/>
      <c r="E24" s="76"/>
      <c r="F24" s="67"/>
      <c r="G24" s="67"/>
      <c r="H24" s="68"/>
      <c r="I24" s="76"/>
      <c r="J24" s="68"/>
      <c r="K24" s="67"/>
      <c r="L24" s="77"/>
      <c r="M24" s="68"/>
      <c r="N24" s="77"/>
    </row>
    <row r="25" spans="2:16" ht="15.75">
      <c r="B25" s="86" t="s">
        <v>811</v>
      </c>
      <c r="C25" s="87" t="s">
        <v>866</v>
      </c>
      <c r="D25" s="88" t="s">
        <v>812</v>
      </c>
      <c r="E25" s="92">
        <f t="shared" ref="E25:M25" si="1">E21-E23</f>
        <v>560164.29401551862</v>
      </c>
      <c r="F25" s="105">
        <f t="shared" si="1"/>
        <v>35090.053016461985</v>
      </c>
      <c r="G25" s="105">
        <f t="shared" si="1"/>
        <v>1905709.1029289693</v>
      </c>
      <c r="H25" s="91">
        <f t="shared" si="1"/>
        <v>2500963.4499609503</v>
      </c>
      <c r="I25" s="92">
        <f t="shared" si="1"/>
        <v>3236353.0570014929</v>
      </c>
      <c r="J25" s="91">
        <f t="shared" si="1"/>
        <v>36801.05357189013</v>
      </c>
      <c r="K25" s="105">
        <f t="shared" si="1"/>
        <v>3268.9361246345911</v>
      </c>
      <c r="L25" s="95">
        <f t="shared" si="1"/>
        <v>1318464.2396924447</v>
      </c>
      <c r="M25" s="91">
        <f t="shared" si="1"/>
        <v>1421489.0355053609</v>
      </c>
      <c r="N25" s="95">
        <f>N21-N23</f>
        <v>8517339.7718567736</v>
      </c>
    </row>
    <row r="26" spans="2:16" ht="15.75">
      <c r="B26" s="76"/>
      <c r="C26" s="87"/>
      <c r="D26" s="88"/>
      <c r="E26" s="76"/>
      <c r="F26" s="67"/>
      <c r="G26" s="67"/>
      <c r="H26" s="68"/>
      <c r="I26" s="76"/>
      <c r="J26" s="68"/>
      <c r="K26" s="67"/>
      <c r="L26" s="77"/>
      <c r="M26" s="68"/>
      <c r="N26" s="77"/>
    </row>
    <row r="27" spans="2:16" ht="15.75">
      <c r="B27" s="86" t="s">
        <v>813</v>
      </c>
      <c r="C27" s="87" t="s">
        <v>300</v>
      </c>
      <c r="D27" s="106" t="s">
        <v>828</v>
      </c>
      <c r="E27" s="89">
        <f>$P$27*(E25/$N$25)</f>
        <v>395284.71741279447</v>
      </c>
      <c r="F27" s="90">
        <f>$P$27*(F25/$N$25)</f>
        <v>24761.595551157869</v>
      </c>
      <c r="G27" s="90">
        <f>$P$27*(G25/$N$25)</f>
        <v>1344779.9016647046</v>
      </c>
      <c r="H27" s="91">
        <f>E27+G27+F27</f>
        <v>1764826.2146286569</v>
      </c>
      <c r="I27" s="89">
        <f>$P$27*(I25/$N$25)</f>
        <v>2283760.1704571121</v>
      </c>
      <c r="J27" s="94">
        <f>$P$27*(J25/$N$25)</f>
        <v>25968.977703628323</v>
      </c>
      <c r="K27" s="90">
        <f>$P$27*(K25/$N$25)</f>
        <v>2306.7526903649132</v>
      </c>
      <c r="L27" s="93">
        <f>$P$27*(L25/$N$25)</f>
        <v>930385.54933539673</v>
      </c>
      <c r="M27" s="90">
        <f>$P$27*(M25/$N$25)</f>
        <v>1003085.8762475066</v>
      </c>
      <c r="N27" s="95">
        <f>E27+F27+G27+K27+L27+M27+I27+J27</f>
        <v>6010333.5410626652</v>
      </c>
      <c r="P27" s="54">
        <f>Allocation!H519+Allocation!H509+Allocation!H564</f>
        <v>6010333.5410626661</v>
      </c>
    </row>
    <row r="28" spans="2:16" ht="15.75">
      <c r="B28" s="76"/>
      <c r="C28" s="87"/>
      <c r="D28" s="88"/>
      <c r="E28" s="76"/>
      <c r="F28" s="67"/>
      <c r="G28" s="67"/>
      <c r="H28" s="68"/>
      <c r="I28" s="76"/>
      <c r="J28" s="68"/>
      <c r="K28" s="67"/>
      <c r="L28" s="77"/>
      <c r="M28" s="68"/>
      <c r="N28" s="77"/>
    </row>
    <row r="29" spans="2:16" ht="15.75">
      <c r="B29" s="86" t="s">
        <v>814</v>
      </c>
      <c r="C29" s="87" t="s">
        <v>172</v>
      </c>
      <c r="D29" s="88" t="s">
        <v>856</v>
      </c>
      <c r="E29" s="89">
        <f>Allocation!H126</f>
        <v>991635.17552968604</v>
      </c>
      <c r="F29" s="90">
        <f>Allocation!H128</f>
        <v>62118.437847738438</v>
      </c>
      <c r="G29" s="90">
        <f>Allocation!H132+Allocation!H135+Allocation!H138+Allocation!H141</f>
        <v>3636228.8850399111</v>
      </c>
      <c r="H29" s="91">
        <f>E29+F29+G29</f>
        <v>4689982.4984173356</v>
      </c>
      <c r="I29" s="92">
        <f>Allocation!H109</f>
        <v>1789762.2689380134</v>
      </c>
      <c r="J29" s="91">
        <f>Allocation!H110</f>
        <v>2801394.2753125797</v>
      </c>
      <c r="K29" s="90">
        <f>Allocation!H105+Allocation!H115+Allocation!H119</f>
        <v>248840.12975402136</v>
      </c>
      <c r="L29" s="93">
        <f>Allocation!H125</f>
        <v>2334021.5214088801</v>
      </c>
      <c r="M29" s="94">
        <f>Allocation!H104+Allocation!H114+Allocation!H122+Allocation!H127</f>
        <v>2576988.0673608859</v>
      </c>
      <c r="N29" s="95">
        <f>E29+F29+G29+K29+L29+M29+I29+J29</f>
        <v>14440988.761191718</v>
      </c>
    </row>
    <row r="30" spans="2:16" ht="15.75">
      <c r="B30" s="86" t="s">
        <v>815</v>
      </c>
      <c r="C30" s="87" t="s">
        <v>174</v>
      </c>
      <c r="D30" s="88" t="s">
        <v>857</v>
      </c>
      <c r="E30" s="96">
        <f>Allocation!H219</f>
        <v>411515.26147755305</v>
      </c>
      <c r="F30" s="97">
        <f>Allocation!H221</f>
        <v>25778.316284348017</v>
      </c>
      <c r="G30" s="97">
        <f>Allocation!H225+Allocation!H228+Allocation!H231+Allocation!H234</f>
        <v>2414961.8816198288</v>
      </c>
      <c r="H30" s="98">
        <f>E30+F30+G30</f>
        <v>2852255.4593817298</v>
      </c>
      <c r="I30" s="96">
        <f>Allocation!H202</f>
        <v>1313784.7829578328</v>
      </c>
      <c r="J30" s="98">
        <f>Allocation!H203</f>
        <v>0</v>
      </c>
      <c r="K30" s="97">
        <f>Allocation!H198+Allocation!H208+Allocation!H212</f>
        <v>0</v>
      </c>
      <c r="L30" s="99">
        <f>Allocation!H218</f>
        <v>968587.54144513281</v>
      </c>
      <c r="M30" s="98">
        <f>Allocation!H197+Allocation!H207+Allocation!H215+Allocation!H220</f>
        <v>626819.58055263979</v>
      </c>
      <c r="N30" s="99">
        <f>E30+F30+G30+K30+L30+M30+I30+J30</f>
        <v>5761447.3643373344</v>
      </c>
    </row>
    <row r="31" spans="2:16" ht="15.75">
      <c r="B31" s="86" t="s">
        <v>816</v>
      </c>
      <c r="C31" s="87" t="s">
        <v>217</v>
      </c>
      <c r="D31" s="88" t="s">
        <v>858</v>
      </c>
      <c r="E31" s="96">
        <f>Allocation!H396</f>
        <v>140741.98385435651</v>
      </c>
      <c r="F31" s="97">
        <f>Allocation!H398</f>
        <v>8816.4199822321916</v>
      </c>
      <c r="G31" s="97">
        <f>Allocation!H402+Allocation!H405+Allocation!H408+Allocation!H411</f>
        <v>481009.08790459379</v>
      </c>
      <c r="H31" s="98">
        <f>E31+F31+G31</f>
        <v>630567.49174118252</v>
      </c>
      <c r="I31" s="96">
        <f>Allocation!H379</f>
        <v>443295.1585652869</v>
      </c>
      <c r="J31" s="98">
        <f>Allocation!H380</f>
        <v>0</v>
      </c>
      <c r="K31" s="97">
        <f>Allocation!H375+Allocation!H385+Allocation!H389</f>
        <v>0</v>
      </c>
      <c r="L31" s="99">
        <f>Allocation!H395</f>
        <v>331265.79954808712</v>
      </c>
      <c r="M31" s="98">
        <f>Allocation!H374+Allocation!H384+Allocation!H392+Allocation!H397</f>
        <v>262448.13522049243</v>
      </c>
      <c r="N31" s="99">
        <f>E31+F31+G31+K31+L31+M31+I31+J31</f>
        <v>1667576.5850750492</v>
      </c>
      <c r="P31" s="55"/>
    </row>
    <row r="32" spans="2:16" ht="15.75">
      <c r="B32" s="86" t="s">
        <v>817</v>
      </c>
      <c r="C32" s="87" t="s">
        <v>106</v>
      </c>
      <c r="D32" s="88" t="s">
        <v>859</v>
      </c>
      <c r="E32" s="96">
        <f>Allocation!H264+Allocation!H308+Allocation!H352</f>
        <v>-1194.6832944963098</v>
      </c>
      <c r="F32" s="97">
        <f>Allocation!H266+Allocation!H310+Allocation!H354</f>
        <v>-74.837865586262453</v>
      </c>
      <c r="G32" s="97">
        <f>Allocation!H270+Allocation!H273+Allocation!H276+Allocation!H279+Allocation!H314+Allocation!H317+Allocation!H320+Allocation!H323+Allocation!H358+Allocation!H361+Allocation!H364+Allocation!H367</f>
        <v>-4120.4109253729857</v>
      </c>
      <c r="H32" s="98">
        <f>E32+F32+G32</f>
        <v>-5389.9320854555581</v>
      </c>
      <c r="I32" s="96">
        <f>Allocation!H247+Allocation!H291+Allocation!H335</f>
        <v>-3638.6275358906678</v>
      </c>
      <c r="J32" s="98">
        <f>Allocation!H248+Allocation!H292+Allocation!H336</f>
        <v>0</v>
      </c>
      <c r="K32" s="97">
        <f>Allocation!H287+Allocation!H297+Allocation!H301+Allocation!H331+Allocation!H341+Allocation!H345+Allocation!H375+Allocation!H385+Allocation!H389</f>
        <v>0</v>
      </c>
      <c r="L32" s="99">
        <f>Allocation!H307+Allocation!H351+Allocation!H263</f>
        <v>-2811.9378874721806</v>
      </c>
      <c r="M32" s="97">
        <f>Allocation!H242+Allocation!H252+Allocation!H260+Allocation!H265+Allocation!H286+Allocation!H296+Allocation!H304+Allocation!H309+Allocation!H330+Allocation!H340+Allocation!H348+Allocation!H353</f>
        <v>-2208.5404460383065</v>
      </c>
      <c r="N32" s="99">
        <f>E32+F32+G32+K32+L32+M32+I32+J32</f>
        <v>-14049.037954856714</v>
      </c>
      <c r="P32" s="55"/>
    </row>
    <row r="33" spans="2:16" ht="15.75">
      <c r="B33" s="86" t="s">
        <v>818</v>
      </c>
      <c r="C33" s="87" t="s">
        <v>876</v>
      </c>
      <c r="D33" s="88" t="s">
        <v>854</v>
      </c>
      <c r="E33" s="96">
        <f>(E29/$N$29)*$N$33</f>
        <v>-16969.112132371083</v>
      </c>
      <c r="F33" s="97">
        <f t="shared" ref="F33:M33" si="2">(F29/$N$29)*$N$33</f>
        <v>-1062.986432246061</v>
      </c>
      <c r="G33" s="97">
        <f t="shared" si="2"/>
        <v>-62224.0691051018</v>
      </c>
      <c r="H33" s="98">
        <f>E33+F33+G33</f>
        <v>-80256.16766971894</v>
      </c>
      <c r="I33" s="96">
        <f t="shared" si="2"/>
        <v>-30626.864981542654</v>
      </c>
      <c r="J33" s="98">
        <f t="shared" si="2"/>
        <v>-47938.167945050373</v>
      </c>
      <c r="K33" s="97">
        <f t="shared" si="2"/>
        <v>-4258.2152882729697</v>
      </c>
      <c r="L33" s="99">
        <f t="shared" si="2"/>
        <v>-39940.367076025505</v>
      </c>
      <c r="M33" s="97">
        <f t="shared" si="2"/>
        <v>-44098.072111521244</v>
      </c>
      <c r="N33" s="99">
        <f>Allocation!H499+Allocation!H501+Allocation!H565+Allocation!H566</f>
        <v>-247117.85507213173</v>
      </c>
      <c r="P33" s="53"/>
    </row>
    <row r="34" spans="2:16" ht="15.75">
      <c r="B34" s="76"/>
      <c r="C34" s="87"/>
      <c r="D34" s="88"/>
      <c r="E34" s="76"/>
      <c r="F34" s="67"/>
      <c r="G34" s="67"/>
      <c r="H34" s="68"/>
      <c r="I34" s="76"/>
      <c r="J34" s="68"/>
      <c r="K34" s="67"/>
      <c r="L34" s="77"/>
      <c r="M34" s="68"/>
      <c r="N34" s="77"/>
    </row>
    <row r="35" spans="2:16" ht="15.75">
      <c r="B35" s="86" t="s">
        <v>819</v>
      </c>
      <c r="C35" s="87" t="s">
        <v>867</v>
      </c>
      <c r="D35" s="88" t="s">
        <v>863</v>
      </c>
      <c r="E35" s="92">
        <f t="shared" ref="E35:M35" si="3">E21+E27+SUM(E29:E33)</f>
        <v>2702168.0527011296</v>
      </c>
      <c r="F35" s="105">
        <f t="shared" si="3"/>
        <v>169270.3752125366</v>
      </c>
      <c r="G35" s="105">
        <f>G21+G27+SUM(G29:G33)</f>
        <v>10471615.801675735</v>
      </c>
      <c r="H35" s="91">
        <f t="shared" si="3"/>
        <v>13343054.229589403</v>
      </c>
      <c r="I35" s="92">
        <f t="shared" si="3"/>
        <v>9728743.6654616296</v>
      </c>
      <c r="J35" s="91">
        <f t="shared" si="3"/>
        <v>2816226.1386430478</v>
      </c>
      <c r="K35" s="105">
        <f t="shared" si="3"/>
        <v>250157.60328074789</v>
      </c>
      <c r="L35" s="95">
        <f t="shared" si="3"/>
        <v>6360119.6741524367</v>
      </c>
      <c r="M35" s="91">
        <f t="shared" si="3"/>
        <v>6256615.2078766674</v>
      </c>
      <c r="N35" s="95">
        <f>N21+N27+SUM(N29:N33)</f>
        <v>38754916.519003928</v>
      </c>
    </row>
    <row r="36" spans="2:16" ht="15.75">
      <c r="B36" s="76"/>
      <c r="C36" s="87"/>
      <c r="D36" s="88"/>
      <c r="E36" s="76"/>
      <c r="F36" s="67"/>
      <c r="G36" s="67"/>
      <c r="H36" s="68"/>
      <c r="I36" s="76"/>
      <c r="J36" s="68"/>
      <c r="K36" s="67"/>
      <c r="L36" s="77"/>
      <c r="M36" s="68"/>
      <c r="N36" s="77"/>
    </row>
    <row r="37" spans="2:16" ht="15.75">
      <c r="B37" s="86" t="s">
        <v>821</v>
      </c>
      <c r="C37" s="87" t="s">
        <v>820</v>
      </c>
      <c r="D37" s="88" t="s">
        <v>860</v>
      </c>
      <c r="E37" s="96">
        <f>(E35/$N$35)*$N$37</f>
        <v>104467.96822760055</v>
      </c>
      <c r="F37" s="97">
        <f>(F35/$N$35)*$N$37</f>
        <v>6544.1274690153932</v>
      </c>
      <c r="G37" s="97">
        <f>(G35/$N$35)*$N$37</f>
        <v>404841.00378863281</v>
      </c>
      <c r="H37" s="98">
        <f>E37+F37+G37</f>
        <v>515853.09948524873</v>
      </c>
      <c r="I37" s="96">
        <f>(I35/$N$35)*$N$37</f>
        <v>376120.97557069565</v>
      </c>
      <c r="J37" s="98">
        <f>(J35/$N$35)*$N$37</f>
        <v>108877.54463657719</v>
      </c>
      <c r="K37" s="97">
        <f>(K35/$N$35)*$N$37</f>
        <v>9671.2921038728364</v>
      </c>
      <c r="L37" s="99">
        <f>(L35/$N$35)*$N$37</f>
        <v>245887.2901627715</v>
      </c>
      <c r="M37" s="97">
        <f>(M35/$N$35)*$N$37</f>
        <v>241885.72509227082</v>
      </c>
      <c r="N37" s="95">
        <f>Allocation!H467+Allocation!H468+Allocation!H469+Allocation!H476+Allocation!H562</f>
        <v>1498295.9270514366</v>
      </c>
      <c r="P37" s="53"/>
    </row>
    <row r="38" spans="2:16" ht="15.75">
      <c r="B38" s="76"/>
      <c r="C38" s="87"/>
      <c r="D38" s="88"/>
      <c r="E38" s="76"/>
      <c r="F38" s="67"/>
      <c r="G38" s="67"/>
      <c r="H38" s="68"/>
      <c r="I38" s="76"/>
      <c r="J38" s="68"/>
      <c r="K38" s="67"/>
      <c r="L38" s="77"/>
      <c r="M38" s="68"/>
      <c r="N38" s="77"/>
    </row>
    <row r="39" spans="2:16" ht="15.75">
      <c r="B39" s="86" t="s">
        <v>823</v>
      </c>
      <c r="C39" s="87" t="s">
        <v>868</v>
      </c>
      <c r="D39" s="88" t="s">
        <v>822</v>
      </c>
      <c r="E39" s="92">
        <f t="shared" ref="E39:M39" si="4">E35-E37</f>
        <v>2597700.0844735289</v>
      </c>
      <c r="F39" s="105">
        <f t="shared" si="4"/>
        <v>162726.24774352121</v>
      </c>
      <c r="G39" s="105">
        <f t="shared" si="4"/>
        <v>10066774.797887102</v>
      </c>
      <c r="H39" s="91">
        <f t="shared" si="4"/>
        <v>12827201.130104154</v>
      </c>
      <c r="I39" s="92">
        <f t="shared" si="4"/>
        <v>9352622.6898909342</v>
      </c>
      <c r="J39" s="91">
        <f t="shared" si="4"/>
        <v>2707348.5940064704</v>
      </c>
      <c r="K39" s="105">
        <f>K35-K37</f>
        <v>240486.31117687505</v>
      </c>
      <c r="L39" s="95">
        <f t="shared" si="4"/>
        <v>6114232.3839896647</v>
      </c>
      <c r="M39" s="91">
        <f t="shared" si="4"/>
        <v>6014729.482784397</v>
      </c>
      <c r="N39" s="95">
        <f>N35-N37</f>
        <v>37256620.591952488</v>
      </c>
      <c r="P39" s="53"/>
    </row>
    <row r="40" spans="2:16" ht="15.75">
      <c r="B40" s="76"/>
      <c r="C40" s="87"/>
      <c r="D40" s="88"/>
      <c r="E40" s="76"/>
      <c r="F40" s="67"/>
      <c r="G40" s="67"/>
      <c r="H40" s="68"/>
      <c r="I40" s="76"/>
      <c r="J40" s="68"/>
      <c r="K40" s="67"/>
      <c r="L40" s="77"/>
      <c r="M40" s="68"/>
      <c r="N40" s="77"/>
    </row>
    <row r="41" spans="2:16" ht="15.75">
      <c r="B41" s="86" t="s">
        <v>824</v>
      </c>
      <c r="C41" s="87" t="s">
        <v>390</v>
      </c>
      <c r="D41" s="88" t="s">
        <v>861</v>
      </c>
      <c r="E41" s="96">
        <f>Allocation!H596*12</f>
        <v>284365</v>
      </c>
      <c r="F41" s="97">
        <f>+$E$41</f>
        <v>284365</v>
      </c>
      <c r="G41" s="97">
        <f>+$E$41</f>
        <v>284365</v>
      </c>
      <c r="H41" s="98">
        <f>G41</f>
        <v>284365</v>
      </c>
      <c r="I41" s="96">
        <f>Allocation!H589</f>
        <v>3867307.5</v>
      </c>
      <c r="J41" s="98">
        <f>Allocation!H580</f>
        <v>10433869.494509621</v>
      </c>
      <c r="K41" s="97">
        <f>Allocation!H580</f>
        <v>10433869.494509621</v>
      </c>
      <c r="L41" s="99">
        <f>Allocation!H583</f>
        <v>7722825.5</v>
      </c>
      <c r="M41" s="97">
        <f>Allocation!H582</f>
        <v>7722825.5</v>
      </c>
      <c r="N41" s="77"/>
    </row>
    <row r="42" spans="2:16" ht="16.5" thickBot="1">
      <c r="B42" s="76"/>
      <c r="C42" s="87"/>
      <c r="D42" s="88"/>
      <c r="E42" s="76"/>
      <c r="F42" s="67"/>
      <c r="G42" s="67"/>
      <c r="H42" s="68"/>
      <c r="I42" s="69"/>
      <c r="J42" s="70"/>
      <c r="K42" s="76"/>
      <c r="L42" s="77"/>
      <c r="M42" s="68"/>
      <c r="N42" s="77"/>
    </row>
    <row r="43" spans="2:16" ht="16.5" thickBot="1">
      <c r="B43" s="107" t="s">
        <v>827</v>
      </c>
      <c r="C43" s="108" t="s">
        <v>869</v>
      </c>
      <c r="D43" s="109" t="s">
        <v>825</v>
      </c>
      <c r="E43" s="110" t="str">
        <f>CONCATENATE(TEXT(E39/E41,"$0.00"),"/Cust/Mo")</f>
        <v>$9.14/Cust/Mo</v>
      </c>
      <c r="F43" s="111" t="str">
        <f>CONCATENATE(TEXT(F39/F41,"$0.00"),"/Cust/Mo")</f>
        <v>$0.57/Cust/Mo</v>
      </c>
      <c r="G43" s="111" t="str">
        <f>CONCATENATE(TEXT(G39/G41,"$0.00"),"/Cust/Mo")</f>
        <v>$35.40/Cust/Mo</v>
      </c>
      <c r="H43" s="112" t="str">
        <f>CONCATENATE(TEXT(H39/H41,"$0.00"),"/Cust/Mo")</f>
        <v>$45.11/Cust/Mo</v>
      </c>
      <c r="I43" s="113" t="str">
        <f>CONCATENATE(TEXT(I39/I41,"$0.0000"),"/Mcf")</f>
        <v>$2.4184/Mcf</v>
      </c>
      <c r="J43" s="113" t="str">
        <f>CONCATENATE(TEXT(J39/J41,"$0.0000"),"/Mcf")</f>
        <v>$0.2595/Mcf</v>
      </c>
      <c r="K43" s="113" t="str">
        <f>CONCATENATE(TEXT(K39/K41,"$0.0000"),"/Mcf")</f>
        <v>$0.0230/Mcf</v>
      </c>
      <c r="L43" s="113" t="str">
        <f>CONCATENATE(TEXT(L39/L41,"$0.0000"),"/Mcf")</f>
        <v>$0.7917/Mcf</v>
      </c>
      <c r="M43" s="113" t="str">
        <f>CONCATENATE(TEXT(M39/M41,"$0.0000"),"/Mcf")</f>
        <v>$0.7788/Mcf</v>
      </c>
      <c r="N43" s="114"/>
    </row>
    <row r="44" spans="2:16" ht="15.7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2:16" ht="15.75">
      <c r="B45" s="63" t="s">
        <v>871</v>
      </c>
      <c r="C45" s="63"/>
      <c r="D45" s="63"/>
      <c r="E45" s="63"/>
      <c r="F45" s="63"/>
      <c r="G45" s="63"/>
      <c r="H45" s="63"/>
      <c r="I45" s="196">
        <f>SUM(H39,I39,L39,M39)</f>
        <v>34308785.68676915</v>
      </c>
      <c r="J45" s="63"/>
      <c r="K45" s="63"/>
      <c r="L45" s="63"/>
      <c r="M45" s="115"/>
      <c r="N45" s="63"/>
    </row>
    <row r="46" spans="2:16">
      <c r="M46" s="56"/>
      <c r="N46" s="53"/>
    </row>
    <row r="47" spans="2:16">
      <c r="H47" s="197"/>
      <c r="I47" s="200"/>
      <c r="K47" s="53"/>
      <c r="M47" s="197" t="s">
        <v>877</v>
      </c>
      <c r="N47" s="199">
        <f>N39/H41</f>
        <v>131.01689937915174</v>
      </c>
    </row>
    <row r="48" spans="2:16">
      <c r="M48" s="56"/>
    </row>
    <row r="49" spans="9:13">
      <c r="M49" s="56"/>
    </row>
    <row r="50" spans="9:13">
      <c r="M50" s="56"/>
    </row>
    <row r="51" spans="9:13">
      <c r="M51" s="56"/>
    </row>
    <row r="52" spans="9:13">
      <c r="M52" s="56"/>
    </row>
    <row r="53" spans="9:13">
      <c r="M53" s="56"/>
    </row>
    <row r="54" spans="9:13">
      <c r="M54" s="56"/>
    </row>
    <row r="55" spans="9:13">
      <c r="M55" s="56"/>
    </row>
    <row r="56" spans="9:13">
      <c r="M56" s="56"/>
    </row>
    <row r="57" spans="9:13">
      <c r="M57" s="56"/>
    </row>
    <row r="58" spans="9:13">
      <c r="M58" s="56"/>
    </row>
    <row r="59" spans="9:13">
      <c r="M59" s="56"/>
    </row>
    <row r="60" spans="9:13">
      <c r="M60" s="56"/>
    </row>
    <row r="61" spans="9:13">
      <c r="M61" s="56"/>
    </row>
    <row r="62" spans="9:13">
      <c r="M62" s="56"/>
    </row>
    <row r="63" spans="9:13">
      <c r="M63" s="56"/>
    </row>
    <row r="64" spans="9:13">
      <c r="I64" s="57"/>
      <c r="J64" s="51"/>
      <c r="K64" s="51"/>
    </row>
    <row r="65" spans="9:11">
      <c r="I65" s="51"/>
      <c r="J65" s="51"/>
      <c r="K65" s="58"/>
    </row>
    <row r="66" spans="9:11">
      <c r="I66" s="51"/>
      <c r="J66" s="51"/>
      <c r="K66" s="59"/>
    </row>
    <row r="67" spans="9:11">
      <c r="I67" s="51"/>
      <c r="J67" s="51"/>
      <c r="K67" s="59"/>
    </row>
    <row r="68" spans="9:11">
      <c r="I68" s="51"/>
      <c r="J68" s="51"/>
      <c r="K68" s="60"/>
    </row>
    <row r="69" spans="9:11">
      <c r="I69" s="51"/>
      <c r="J69" s="51"/>
      <c r="K69" s="61"/>
    </row>
    <row r="70" spans="9:11">
      <c r="I70" s="51"/>
      <c r="J70" s="51"/>
      <c r="K70" s="62"/>
    </row>
    <row r="71" spans="9:11">
      <c r="I71" s="51"/>
      <c r="J71" s="51"/>
      <c r="K71" s="51"/>
    </row>
    <row r="72" spans="9:11">
      <c r="I72" s="51"/>
      <c r="J72" s="51"/>
      <c r="K72" s="51"/>
    </row>
    <row r="73" spans="9:11">
      <c r="I73" s="51"/>
      <c r="J73" s="51"/>
      <c r="K73" s="59"/>
    </row>
  </sheetData>
  <mergeCells count="5">
    <mergeCell ref="B1:N1"/>
    <mergeCell ref="B3:N3"/>
    <mergeCell ref="B4:N4"/>
    <mergeCell ref="B6:N6"/>
    <mergeCell ref="E10:H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S73"/>
  <sheetViews>
    <sheetView topLeftCell="G7" workbookViewId="0">
      <selection activeCell="P41" sqref="P41"/>
    </sheetView>
  </sheetViews>
  <sheetFormatPr defaultColWidth="9.140625" defaultRowHeight="12.75"/>
  <cols>
    <col min="1" max="1" width="9.140625" style="52"/>
    <col min="2" max="2" width="4.28515625" style="52" customWidth="1"/>
    <col min="3" max="3" width="55.7109375" style="52" bestFit="1" customWidth="1"/>
    <col min="4" max="4" width="34.28515625" style="52" hidden="1" customWidth="1"/>
    <col min="5" max="5" width="22.140625" style="52" customWidth="1"/>
    <col min="6" max="6" width="22" style="52" customWidth="1"/>
    <col min="7" max="7" width="21.140625" style="52" customWidth="1"/>
    <col min="8" max="8" width="22" style="52" customWidth="1"/>
    <col min="9" max="9" width="20.140625" style="52" customWidth="1"/>
    <col min="10" max="10" width="15.140625" style="52" customWidth="1"/>
    <col min="11" max="11" width="14.7109375" style="52" customWidth="1"/>
    <col min="12" max="12" width="17.42578125" style="52" customWidth="1"/>
    <col min="13" max="13" width="18.28515625" style="52" customWidth="1"/>
    <col min="14" max="14" width="15.85546875" style="52" customWidth="1"/>
    <col min="15" max="15" width="9.140625" style="52"/>
    <col min="16" max="16" width="14.85546875" style="52" customWidth="1"/>
    <col min="17" max="16384" width="9.140625" style="52"/>
  </cols>
  <sheetData>
    <row r="1" spans="2:16" ht="15.75">
      <c r="B1" s="203" t="s">
        <v>764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2:16" ht="15.75"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2:16" ht="15.75">
      <c r="B3" s="203" t="s">
        <v>792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2:16" ht="15.75">
      <c r="B4" s="203" t="s">
        <v>878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2:16" ht="15.75">
      <c r="B5" s="11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16" ht="15.75">
      <c r="B6" s="203" t="s">
        <v>883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2:16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2:16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2:16" ht="13.5" thickBot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2:16" ht="16.5" thickBot="1">
      <c r="B10" s="71"/>
      <c r="C10" s="72"/>
      <c r="D10" s="73"/>
      <c r="E10" s="204" t="s">
        <v>793</v>
      </c>
      <c r="F10" s="205"/>
      <c r="G10" s="205"/>
      <c r="H10" s="206"/>
      <c r="I10" s="74"/>
      <c r="J10" s="74"/>
      <c r="K10" s="75"/>
      <c r="L10" s="75"/>
      <c r="M10" s="75"/>
      <c r="N10" s="73"/>
    </row>
    <row r="11" spans="2:16" ht="15.75">
      <c r="B11" s="76"/>
      <c r="C11" s="68"/>
      <c r="D11" s="77"/>
      <c r="E11" s="64" t="s">
        <v>794</v>
      </c>
      <c r="F11" s="198" t="s">
        <v>794</v>
      </c>
      <c r="G11" s="198"/>
      <c r="H11" s="66" t="s">
        <v>14</v>
      </c>
      <c r="I11" s="78" t="s">
        <v>3</v>
      </c>
      <c r="J11" s="78" t="s">
        <v>3</v>
      </c>
      <c r="K11" s="78" t="s">
        <v>247</v>
      </c>
      <c r="L11" s="78" t="s">
        <v>795</v>
      </c>
      <c r="M11" s="78" t="s">
        <v>795</v>
      </c>
      <c r="N11" s="77"/>
    </row>
    <row r="12" spans="2:16" ht="15.75">
      <c r="B12" s="76"/>
      <c r="C12" s="68"/>
      <c r="D12" s="77"/>
      <c r="E12" s="64" t="s">
        <v>796</v>
      </c>
      <c r="F12" s="198" t="s">
        <v>797</v>
      </c>
      <c r="G12" s="198" t="s">
        <v>794</v>
      </c>
      <c r="H12" s="66" t="s">
        <v>794</v>
      </c>
      <c r="I12" s="78" t="s">
        <v>798</v>
      </c>
      <c r="J12" s="78" t="s">
        <v>829</v>
      </c>
      <c r="K12" s="78" t="s">
        <v>642</v>
      </c>
      <c r="L12" s="64" t="s">
        <v>796</v>
      </c>
      <c r="M12" s="64" t="s">
        <v>797</v>
      </c>
      <c r="N12" s="77"/>
    </row>
    <row r="13" spans="2:16" ht="16.5" thickBot="1">
      <c r="B13" s="69"/>
      <c r="C13" s="79" t="s">
        <v>19</v>
      </c>
      <c r="D13" s="80" t="s">
        <v>727</v>
      </c>
      <c r="E13" s="81" t="s">
        <v>799</v>
      </c>
      <c r="F13" s="82" t="s">
        <v>800</v>
      </c>
      <c r="G13" s="82" t="s">
        <v>801</v>
      </c>
      <c r="H13" s="83" t="s">
        <v>802</v>
      </c>
      <c r="I13" s="80" t="s">
        <v>802</v>
      </c>
      <c r="J13" s="80" t="s">
        <v>802</v>
      </c>
      <c r="K13" s="80" t="s">
        <v>802</v>
      </c>
      <c r="L13" s="81" t="s">
        <v>799</v>
      </c>
      <c r="M13" s="81" t="s">
        <v>799</v>
      </c>
      <c r="N13" s="80" t="s">
        <v>803</v>
      </c>
    </row>
    <row r="14" spans="2:16" ht="15.75">
      <c r="B14" s="71"/>
      <c r="C14" s="72"/>
      <c r="D14" s="84"/>
      <c r="E14" s="71"/>
      <c r="F14" s="85"/>
      <c r="G14" s="85"/>
      <c r="H14" s="72"/>
      <c r="I14" s="71"/>
      <c r="J14" s="72"/>
      <c r="K14" s="71"/>
      <c r="L14" s="73"/>
      <c r="M14" s="72"/>
      <c r="N14" s="73"/>
    </row>
    <row r="15" spans="2:16" ht="15.75">
      <c r="B15" s="86" t="s">
        <v>728</v>
      </c>
      <c r="C15" s="87" t="s">
        <v>248</v>
      </c>
      <c r="D15" s="88" t="s">
        <v>853</v>
      </c>
      <c r="E15" s="89">
        <f>Allocation!I80</f>
        <v>87755.986346221674</v>
      </c>
      <c r="F15" s="90">
        <f>Allocation!I82</f>
        <v>5519.1867261192328</v>
      </c>
      <c r="G15" s="90">
        <f>Allocation!I86+Allocation!I89+Allocation!I92+Allocation!I95</f>
        <v>1086966.9076763887</v>
      </c>
      <c r="H15" s="91">
        <f>E15+F15+G15</f>
        <v>1180242.0807487296</v>
      </c>
      <c r="I15" s="92">
        <f>Allocation!I62</f>
        <v>3436153.8692484726</v>
      </c>
      <c r="J15" s="91">
        <f>Allocation!I63</f>
        <v>39071.170505713708</v>
      </c>
      <c r="K15" s="90">
        <f>Allocation!I58+Allocation!I72</f>
        <v>4445.0370584409611</v>
      </c>
      <c r="L15" s="93">
        <f>Allocation!I79</f>
        <v>1393982.6298973481</v>
      </c>
      <c r="M15" s="94">
        <f>Allocation!I57+Allocation!I67+Allocation!I75+Allocation!I81</f>
        <v>1527865.3599521471</v>
      </c>
      <c r="N15" s="95">
        <f>E15+F15+G15+K15+L15+M15+I15+J15</f>
        <v>7581760.1474108528</v>
      </c>
      <c r="O15" s="53"/>
    </row>
    <row r="16" spans="2:16" ht="15.75">
      <c r="B16" s="86" t="s">
        <v>804</v>
      </c>
      <c r="C16" s="87" t="s">
        <v>681</v>
      </c>
      <c r="D16" s="88" t="s">
        <v>854</v>
      </c>
      <c r="E16" s="96">
        <f>(E15/$N$15)*$N$16</f>
        <v>0</v>
      </c>
      <c r="F16" s="97">
        <f t="shared" ref="F16:M16" si="0">(F15/$N$15)*$N$16</f>
        <v>0</v>
      </c>
      <c r="G16" s="97">
        <f t="shared" si="0"/>
        <v>0</v>
      </c>
      <c r="H16" s="98">
        <f>E16+F16+G16</f>
        <v>0</v>
      </c>
      <c r="I16" s="96">
        <f t="shared" si="0"/>
        <v>0</v>
      </c>
      <c r="J16" s="98">
        <f t="shared" si="0"/>
        <v>0</v>
      </c>
      <c r="K16" s="97">
        <f t="shared" si="0"/>
        <v>0</v>
      </c>
      <c r="L16" s="99">
        <f t="shared" si="0"/>
        <v>0</v>
      </c>
      <c r="M16" s="98">
        <f t="shared" si="0"/>
        <v>0</v>
      </c>
      <c r="N16" s="99">
        <f>Allocation!G524+Allocation!G525</f>
        <v>0</v>
      </c>
      <c r="O16" s="53"/>
      <c r="P16" s="53"/>
    </row>
    <row r="17" spans="2:19" ht="15.75">
      <c r="B17" s="86" t="s">
        <v>805</v>
      </c>
      <c r="C17" s="87" t="s">
        <v>864</v>
      </c>
      <c r="D17" s="88" t="s">
        <v>806</v>
      </c>
      <c r="E17" s="89">
        <f>E15+E16</f>
        <v>87755.986346221674</v>
      </c>
      <c r="F17" s="90">
        <f>F15+F16</f>
        <v>5519.1867261192328</v>
      </c>
      <c r="G17" s="90">
        <f>G15+G16</f>
        <v>1086966.9076763887</v>
      </c>
      <c r="H17" s="91">
        <f>E17+F17+G17</f>
        <v>1180242.0807487296</v>
      </c>
      <c r="I17" s="92">
        <f>I15+I16</f>
        <v>3436153.8692484726</v>
      </c>
      <c r="J17" s="91">
        <f>J15+J16</f>
        <v>39071.170505713708</v>
      </c>
      <c r="K17" s="90">
        <f>K15+K16</f>
        <v>4445.0370584409611</v>
      </c>
      <c r="L17" s="93">
        <f>L15+L16</f>
        <v>1393982.6298973481</v>
      </c>
      <c r="M17" s="94">
        <f>M15+M16</f>
        <v>1527865.3599521471</v>
      </c>
      <c r="N17" s="100">
        <f>E17+F17+G17+K17+L17+M17+I17+J17</f>
        <v>7581760.1474108528</v>
      </c>
    </row>
    <row r="18" spans="2:19" ht="15.75">
      <c r="B18" s="86"/>
      <c r="C18" s="87"/>
      <c r="D18" s="88"/>
      <c r="E18" s="89"/>
      <c r="F18" s="90"/>
      <c r="G18" s="90"/>
      <c r="H18" s="91"/>
      <c r="I18" s="92"/>
      <c r="J18" s="91"/>
      <c r="K18" s="90"/>
      <c r="L18" s="93"/>
      <c r="M18" s="94"/>
      <c r="N18" s="95"/>
    </row>
    <row r="19" spans="2:19" ht="15.75">
      <c r="B19" s="86" t="s">
        <v>807</v>
      </c>
      <c r="C19" s="87" t="s">
        <v>369</v>
      </c>
      <c r="D19" s="88" t="s">
        <v>862</v>
      </c>
      <c r="E19" s="101">
        <f>Allocation!I572</f>
        <v>0.18397280824109441</v>
      </c>
      <c r="F19" s="102">
        <f>E19</f>
        <v>0.18397280824109441</v>
      </c>
      <c r="G19" s="102">
        <f>E19</f>
        <v>0.18397280824109441</v>
      </c>
      <c r="H19" s="103">
        <f>E19</f>
        <v>0.18397280824109441</v>
      </c>
      <c r="I19" s="101">
        <f>E19</f>
        <v>0.18397280824109441</v>
      </c>
      <c r="J19" s="103">
        <f>E19</f>
        <v>0.18397280824109441</v>
      </c>
      <c r="K19" s="102">
        <f>E19</f>
        <v>0.18397280824109441</v>
      </c>
      <c r="L19" s="104">
        <f>F19</f>
        <v>0.18397280824109441</v>
      </c>
      <c r="M19" s="103">
        <f>G19</f>
        <v>0.18397280824109441</v>
      </c>
      <c r="N19" s="103">
        <f>E19</f>
        <v>0.18397280824109441</v>
      </c>
    </row>
    <row r="20" spans="2:19" ht="15.75">
      <c r="B20" s="76"/>
      <c r="C20" s="87"/>
      <c r="D20" s="88"/>
      <c r="E20" s="76"/>
      <c r="F20" s="67"/>
      <c r="G20" s="67"/>
      <c r="H20" s="68"/>
      <c r="I20" s="76"/>
      <c r="J20" s="68"/>
      <c r="K20" s="67"/>
      <c r="L20" s="77"/>
      <c r="M20" s="68"/>
      <c r="N20" s="77"/>
    </row>
    <row r="21" spans="2:19" ht="15.75">
      <c r="B21" s="86" t="s">
        <v>808</v>
      </c>
      <c r="C21" s="87" t="s">
        <v>865</v>
      </c>
      <c r="D21" s="88" t="s">
        <v>809</v>
      </c>
      <c r="E21" s="89">
        <f>E17*E19</f>
        <v>16144.71524808154</v>
      </c>
      <c r="F21" s="90">
        <f>F17*F19</f>
        <v>1015.3802812111272</v>
      </c>
      <c r="G21" s="90">
        <f>G17*G19</f>
        <v>199972.35447036364</v>
      </c>
      <c r="H21" s="91">
        <f>E21+F21+G21</f>
        <v>217132.4499996563</v>
      </c>
      <c r="I21" s="89">
        <f>I17*I19</f>
        <v>632158.87687414384</v>
      </c>
      <c r="J21" s="94">
        <f>J17*J19</f>
        <v>7188.032959202772</v>
      </c>
      <c r="K21" s="90">
        <f>K17*K19</f>
        <v>817.76595037711729</v>
      </c>
      <c r="L21" s="93">
        <f>L17*L19</f>
        <v>256454.89906152131</v>
      </c>
      <c r="M21" s="94">
        <f>M17*M19</f>
        <v>281085.68088468706</v>
      </c>
      <c r="N21" s="95">
        <f>E21+F21+G21+K21+L21+M21+I21+J21</f>
        <v>1394837.7057295884</v>
      </c>
      <c r="P21" s="53"/>
    </row>
    <row r="22" spans="2:19" ht="15.75">
      <c r="B22" s="76"/>
      <c r="C22" s="87"/>
      <c r="D22" s="88"/>
      <c r="E22" s="76"/>
      <c r="F22" s="67"/>
      <c r="G22" s="67"/>
      <c r="H22" s="68"/>
      <c r="I22" s="76"/>
      <c r="J22" s="68"/>
      <c r="K22" s="67"/>
      <c r="L22" s="77"/>
      <c r="M22" s="68"/>
      <c r="N22" s="77"/>
    </row>
    <row r="23" spans="2:19" ht="15.75">
      <c r="B23" s="86" t="s">
        <v>810</v>
      </c>
      <c r="C23" s="87" t="s">
        <v>372</v>
      </c>
      <c r="D23" s="88" t="s">
        <v>855</v>
      </c>
      <c r="E23" s="89">
        <f>Allocation!I443</f>
        <v>2336.7833178289966</v>
      </c>
      <c r="F23" s="90">
        <f>Allocation!I445</f>
        <v>146.96596786794527</v>
      </c>
      <c r="G23" s="90">
        <f>Allocation!I449+Allocation!I452+Allocation!I455+Allocation!I458</f>
        <v>24901.343279604909</v>
      </c>
      <c r="H23" s="91">
        <f>E23+F23+G23</f>
        <v>27385.092565301849</v>
      </c>
      <c r="I23" s="89">
        <f>Allocation!I426</f>
        <v>57248.252482760523</v>
      </c>
      <c r="J23" s="94">
        <f>Allocation!I427</f>
        <v>0</v>
      </c>
      <c r="K23" s="90">
        <f>Allocation!I422+Allocation!I436</f>
        <v>0</v>
      </c>
      <c r="L23" s="93">
        <f>Allocation!I442</f>
        <v>37119.238134205814</v>
      </c>
      <c r="M23" s="94">
        <f>Allocation!I421+Allocation!I431+Allocation!I439+Allocation!I444</f>
        <v>32288.74295147759</v>
      </c>
      <c r="N23" s="95">
        <f>E23+F23+G23+K23+L23+M23+I23+J23</f>
        <v>154041.32613374578</v>
      </c>
    </row>
    <row r="24" spans="2:19" ht="15.75">
      <c r="B24" s="76"/>
      <c r="C24" s="87"/>
      <c r="D24" s="88"/>
      <c r="E24" s="76"/>
      <c r="F24" s="67"/>
      <c r="G24" s="67"/>
      <c r="H24" s="68"/>
      <c r="I24" s="76"/>
      <c r="J24" s="68"/>
      <c r="K24" s="67"/>
      <c r="L24" s="77"/>
      <c r="M24" s="68"/>
      <c r="N24" s="77"/>
    </row>
    <row r="25" spans="2:19" ht="15.75">
      <c r="B25" s="86" t="s">
        <v>811</v>
      </c>
      <c r="C25" s="87" t="s">
        <v>866</v>
      </c>
      <c r="D25" s="88" t="s">
        <v>812</v>
      </c>
      <c r="E25" s="92">
        <f t="shared" ref="E25:M25" si="1">E21-E23</f>
        <v>13807.931930252544</v>
      </c>
      <c r="F25" s="105">
        <f t="shared" si="1"/>
        <v>868.4143133431819</v>
      </c>
      <c r="G25" s="105">
        <f t="shared" si="1"/>
        <v>175071.01119075873</v>
      </c>
      <c r="H25" s="91">
        <f t="shared" si="1"/>
        <v>189747.35743435443</v>
      </c>
      <c r="I25" s="92">
        <f t="shared" si="1"/>
        <v>574910.62439138326</v>
      </c>
      <c r="J25" s="91">
        <f t="shared" si="1"/>
        <v>7188.032959202772</v>
      </c>
      <c r="K25" s="105">
        <f t="shared" si="1"/>
        <v>817.76595037711729</v>
      </c>
      <c r="L25" s="95">
        <f t="shared" si="1"/>
        <v>219335.6609273155</v>
      </c>
      <c r="M25" s="91">
        <f t="shared" si="1"/>
        <v>248796.93793320947</v>
      </c>
      <c r="N25" s="95">
        <f>N21-N23</f>
        <v>1240796.3795958427</v>
      </c>
    </row>
    <row r="26" spans="2:19" ht="15.75">
      <c r="B26" s="76"/>
      <c r="C26" s="87"/>
      <c r="D26" s="88"/>
      <c r="E26" s="76"/>
      <c r="F26" s="67"/>
      <c r="G26" s="67"/>
      <c r="H26" s="68"/>
      <c r="I26" s="76"/>
      <c r="J26" s="68"/>
      <c r="K26" s="67"/>
      <c r="L26" s="77"/>
      <c r="M26" s="68"/>
      <c r="N26" s="77"/>
    </row>
    <row r="27" spans="2:19" ht="15.75">
      <c r="B27" s="86" t="s">
        <v>813</v>
      </c>
      <c r="C27" s="87" t="s">
        <v>300</v>
      </c>
      <c r="D27" s="106" t="s">
        <v>828</v>
      </c>
      <c r="E27" s="89">
        <f>$P$27*(E25/$N$25)</f>
        <v>9719.4130464732589</v>
      </c>
      <c r="F27" s="90">
        <f>$P$27*(F25/$N$25)</f>
        <v>611.27744904065901</v>
      </c>
      <c r="G27" s="90">
        <f>$P$27*(G25/$N$25)</f>
        <v>123232.60853413003</v>
      </c>
      <c r="H27" s="91">
        <f>E27+G27+F27</f>
        <v>133563.29902964394</v>
      </c>
      <c r="I27" s="89">
        <f>$P$27*(I25/$N$25)</f>
        <v>404679.99491097563</v>
      </c>
      <c r="J27" s="94">
        <f>$P$27*(J25/$N$25)</f>
        <v>5059.6614811728305</v>
      </c>
      <c r="K27" s="90">
        <f>$P$27*(K25/$N$25)</f>
        <v>575.62603054573333</v>
      </c>
      <c r="L27" s="93">
        <f>$P$27*(L25/$N$25)</f>
        <v>154390.52677418542</v>
      </c>
      <c r="M27" s="90">
        <f>$P$27*(M25/$N$25)</f>
        <v>175128.3404846859</v>
      </c>
      <c r="N27" s="95">
        <f>E27+F27+G27+K27+L27+M27+I27+J27</f>
        <v>873397.44871120946</v>
      </c>
      <c r="P27" s="54">
        <f>Allocation!I519+Allocation!I509+Allocation!I564</f>
        <v>873397.44871120958</v>
      </c>
      <c r="S27" s="52">
        <f>1-(N27/N25)</f>
        <v>0.29609929310424321</v>
      </c>
    </row>
    <row r="28" spans="2:19" ht="15.75">
      <c r="B28" s="76"/>
      <c r="C28" s="87"/>
      <c r="D28" s="88"/>
      <c r="E28" s="76"/>
      <c r="F28" s="67"/>
      <c r="G28" s="67"/>
      <c r="H28" s="68"/>
      <c r="I28" s="76"/>
      <c r="J28" s="68"/>
      <c r="K28" s="67"/>
      <c r="L28" s="77"/>
      <c r="M28" s="68"/>
      <c r="N28" s="77"/>
    </row>
    <row r="29" spans="2:19" ht="15.75">
      <c r="B29" s="86" t="s">
        <v>814</v>
      </c>
      <c r="C29" s="87" t="s">
        <v>172</v>
      </c>
      <c r="D29" s="88" t="s">
        <v>856</v>
      </c>
      <c r="E29" s="89">
        <f>Allocation!I126</f>
        <v>10485.687927968567</v>
      </c>
      <c r="F29" s="90">
        <f>Allocation!I128</f>
        <v>659.47033400034832</v>
      </c>
      <c r="G29" s="90">
        <f>Allocation!I132+Allocation!I135+Allocation!I138+Allocation!I141</f>
        <v>98310.131786826387</v>
      </c>
      <c r="H29" s="91">
        <f>E29+F29+G29</f>
        <v>109455.2900487953</v>
      </c>
      <c r="I29" s="92">
        <f>Allocation!I109</f>
        <v>147202.37720667463</v>
      </c>
      <c r="J29" s="91">
        <f>Allocation!I110</f>
        <v>279946.93368290272</v>
      </c>
      <c r="K29" s="90">
        <f>Allocation!I105+Allocation!I115+Allocation!I119</f>
        <v>31848.917718895595</v>
      </c>
      <c r="L29" s="93">
        <f>Allocation!I125</f>
        <v>166562.61803547983</v>
      </c>
      <c r="M29" s="94">
        <f>Allocation!I104+Allocation!I114+Allocation!I122+Allocation!I127</f>
        <v>199377.19370566623</v>
      </c>
      <c r="N29" s="95">
        <f>E29+F29+G29+K29+L29+M29+I29+J29</f>
        <v>934393.33039841428</v>
      </c>
    </row>
    <row r="30" spans="2:19" ht="15.75">
      <c r="B30" s="86" t="s">
        <v>815</v>
      </c>
      <c r="C30" s="87" t="s">
        <v>174</v>
      </c>
      <c r="D30" s="88" t="s">
        <v>857</v>
      </c>
      <c r="E30" s="96">
        <f>Allocation!I219</f>
        <v>4351.4194695091574</v>
      </c>
      <c r="F30" s="97">
        <f>Allocation!I221</f>
        <v>273.67131948287602</v>
      </c>
      <c r="G30" s="97">
        <f>Allocation!I225+Allocation!I228+Allocation!I231+Allocation!I234</f>
        <v>81244.183504185523</v>
      </c>
      <c r="H30" s="98">
        <f>E30+F30+G30</f>
        <v>85869.274293177557</v>
      </c>
      <c r="I30" s="96">
        <f>Allocation!I202</f>
        <v>108054.71013985603</v>
      </c>
      <c r="J30" s="98">
        <f>Allocation!I203</f>
        <v>0</v>
      </c>
      <c r="K30" s="97">
        <f>Allocation!I198+Allocation!I208+Allocation!I212</f>
        <v>0</v>
      </c>
      <c r="L30" s="99">
        <f>Allocation!I218</f>
        <v>69121.246406616934</v>
      </c>
      <c r="M30" s="98">
        <f>Allocation!I197+Allocation!I207+Allocation!I215+Allocation!I220</f>
        <v>48179.849716176832</v>
      </c>
      <c r="N30" s="99">
        <f>E30+F30+G30+K30+L30+M30+I30+J30</f>
        <v>311225.08055582736</v>
      </c>
    </row>
    <row r="31" spans="2:19" ht="15.75">
      <c r="B31" s="86" t="s">
        <v>816</v>
      </c>
      <c r="C31" s="87" t="s">
        <v>217</v>
      </c>
      <c r="D31" s="88" t="s">
        <v>858</v>
      </c>
      <c r="E31" s="96">
        <f>Allocation!I396</f>
        <v>1488.2252641670168</v>
      </c>
      <c r="F31" s="97">
        <f>Allocation!I398</f>
        <v>93.59809473350569</v>
      </c>
      <c r="G31" s="97">
        <f>Allocation!I402+Allocation!I405+Allocation!I408+Allocation!I411</f>
        <v>15858.89795500308</v>
      </c>
      <c r="H31" s="98">
        <f>E31+F31+G31</f>
        <v>17440.721313903603</v>
      </c>
      <c r="I31" s="96">
        <f>Allocation!I379</f>
        <v>36459.647338380688</v>
      </c>
      <c r="J31" s="98">
        <f>Allocation!I380</f>
        <v>0</v>
      </c>
      <c r="K31" s="97">
        <f>Allocation!I375+Allocation!I385+Allocation!I389</f>
        <v>0</v>
      </c>
      <c r="L31" s="99">
        <f>Allocation!I395</f>
        <v>23640.098573315554</v>
      </c>
      <c r="M31" s="98">
        <f>Allocation!I374+Allocation!I384+Allocation!I392+Allocation!I397</f>
        <v>20563.705090648931</v>
      </c>
      <c r="N31" s="99">
        <f>E31+F31+G31+K31+L31+M31+I31+J31</f>
        <v>98104.172316248776</v>
      </c>
      <c r="P31" s="55"/>
    </row>
    <row r="32" spans="2:19" ht="15.75">
      <c r="B32" s="86" t="s">
        <v>817</v>
      </c>
      <c r="C32" s="87" t="s">
        <v>106</v>
      </c>
      <c r="D32" s="88" t="s">
        <v>859</v>
      </c>
      <c r="E32" s="96">
        <f>Allocation!I264+Allocation!I308+Allocation!I352</f>
        <v>-12.632746909320037</v>
      </c>
      <c r="F32" s="97">
        <f>Allocation!I266+Allocation!I310+Allocation!I354</f>
        <v>-0.79450407840290682</v>
      </c>
      <c r="G32" s="97">
        <f>Allocation!I270+Allocation!I273+Allocation!I276+Allocation!I279+Allocation!I314+Allocation!I317+Allocation!I320+Allocation!I323+Allocation!I358+Allocation!I361+Allocation!I364+Allocation!I367</f>
        <v>-135.85019086194674</v>
      </c>
      <c r="H32" s="98">
        <f>E32+F32+G32</f>
        <v>-149.27744184966969</v>
      </c>
      <c r="I32" s="96">
        <f>Allocation!I247+Allocation!I291+Allocation!I335</f>
        <v>-299.26579208231237</v>
      </c>
      <c r="J32" s="98">
        <f>Allocation!I248+Allocation!I292+Allocation!I336</f>
        <v>0</v>
      </c>
      <c r="K32" s="97">
        <f>Allocation!I287+Allocation!I297+Allocation!I301+Allocation!I331+Allocation!I341+Allocation!I345+Allocation!I375+Allocation!I385+Allocation!I389</f>
        <v>0</v>
      </c>
      <c r="L32" s="99">
        <f>Allocation!I307+Allocation!I351+Allocation!I263</f>
        <v>-200.66813094671275</v>
      </c>
      <c r="M32" s="97">
        <f>Allocation!I242+Allocation!I252+Allocation!I260+Allocation!I265+Allocation!I286+Allocation!I296+Allocation!I304+Allocation!I309+Allocation!I330+Allocation!I340+Allocation!I348+Allocation!I353</f>
        <v>-172.92411183454044</v>
      </c>
      <c r="N32" s="99">
        <f>E32+F32+G32+K32+L32+M32+I32+J32</f>
        <v>-822.13547671323522</v>
      </c>
      <c r="P32" s="55"/>
    </row>
    <row r="33" spans="2:16" ht="15.75">
      <c r="B33" s="86" t="s">
        <v>818</v>
      </c>
      <c r="C33" s="87" t="s">
        <v>876</v>
      </c>
      <c r="D33" s="88" t="s">
        <v>854</v>
      </c>
      <c r="E33" s="96">
        <f>(E29/$N$29)*$N$33</f>
        <v>-176.71997978776724</v>
      </c>
      <c r="F33" s="97">
        <f t="shared" ref="F33:M33" si="2">(F29/$N$29)*$N$33</f>
        <v>-11.114347947007014</v>
      </c>
      <c r="G33" s="97">
        <f t="shared" si="2"/>
        <v>-1656.8645397085074</v>
      </c>
      <c r="H33" s="98">
        <f>E33+F33+G33</f>
        <v>-1844.6988674432816</v>
      </c>
      <c r="I33" s="96">
        <f t="shared" si="2"/>
        <v>-2480.867378790525</v>
      </c>
      <c r="J33" s="98">
        <f t="shared" si="2"/>
        <v>-4718.0706503893098</v>
      </c>
      <c r="K33" s="97">
        <f t="shared" si="2"/>
        <v>-536.76402866548904</v>
      </c>
      <c r="L33" s="99">
        <f t="shared" si="2"/>
        <v>-2807.154160492943</v>
      </c>
      <c r="M33" s="97">
        <f t="shared" si="2"/>
        <v>-3360.1928537113249</v>
      </c>
      <c r="N33" s="99">
        <f>Allocation!I499+Allocation!I501+Allocation!I565+Allocation!I566</f>
        <v>-15747.747939492872</v>
      </c>
      <c r="P33" s="53"/>
    </row>
    <row r="34" spans="2:16" ht="15.75">
      <c r="B34" s="76"/>
      <c r="C34" s="87"/>
      <c r="D34" s="88"/>
      <c r="E34" s="76"/>
      <c r="F34" s="67"/>
      <c r="G34" s="67"/>
      <c r="H34" s="68"/>
      <c r="I34" s="76"/>
      <c r="J34" s="68"/>
      <c r="K34" s="67"/>
      <c r="L34" s="77"/>
      <c r="M34" s="68"/>
      <c r="N34" s="77"/>
    </row>
    <row r="35" spans="2:16" ht="15.75">
      <c r="B35" s="86" t="s">
        <v>819</v>
      </c>
      <c r="C35" s="87" t="s">
        <v>867</v>
      </c>
      <c r="D35" s="88" t="s">
        <v>863</v>
      </c>
      <c r="E35" s="92">
        <f t="shared" ref="E35:M35" si="3">E21+E27+SUM(E29:E33)</f>
        <v>42000.108229502453</v>
      </c>
      <c r="F35" s="105">
        <f t="shared" si="3"/>
        <v>2641.4886264431061</v>
      </c>
      <c r="G35" s="105">
        <f>G21+G27+SUM(G29:G33)</f>
        <v>516825.4615199382</v>
      </c>
      <c r="H35" s="91">
        <f t="shared" si="3"/>
        <v>561467.05837588373</v>
      </c>
      <c r="I35" s="92">
        <f t="shared" si="3"/>
        <v>1325775.4732991578</v>
      </c>
      <c r="J35" s="91">
        <f t="shared" si="3"/>
        <v>287476.55747288902</v>
      </c>
      <c r="K35" s="105">
        <f t="shared" si="3"/>
        <v>32705.545671152955</v>
      </c>
      <c r="L35" s="95">
        <f t="shared" si="3"/>
        <v>667161.56655967946</v>
      </c>
      <c r="M35" s="91">
        <f t="shared" si="3"/>
        <v>720801.65291631909</v>
      </c>
      <c r="N35" s="95">
        <f>N21+N27+SUM(N29:N33)</f>
        <v>3595387.8542950824</v>
      </c>
    </row>
    <row r="36" spans="2:16" ht="15.75">
      <c r="B36" s="76"/>
      <c r="C36" s="87"/>
      <c r="D36" s="88"/>
      <c r="E36" s="76"/>
      <c r="F36" s="67"/>
      <c r="G36" s="67"/>
      <c r="H36" s="68"/>
      <c r="I36" s="76"/>
      <c r="J36" s="68"/>
      <c r="K36" s="67"/>
      <c r="L36" s="77"/>
      <c r="M36" s="68"/>
      <c r="N36" s="77"/>
    </row>
    <row r="37" spans="2:16" ht="15.75">
      <c r="B37" s="86" t="s">
        <v>821</v>
      </c>
      <c r="C37" s="87" t="s">
        <v>820</v>
      </c>
      <c r="D37" s="88" t="s">
        <v>860</v>
      </c>
      <c r="E37" s="96">
        <f>(E35/$N$35)*$N$37</f>
        <v>1430.3347175695851</v>
      </c>
      <c r="F37" s="97">
        <f>(F35/$N$35)*$N$37</f>
        <v>89.957217915281788</v>
      </c>
      <c r="G37" s="97">
        <f>(G35/$N$35)*$N$37</f>
        <v>17600.749895606841</v>
      </c>
      <c r="H37" s="98">
        <f>E37+F37+G37</f>
        <v>19121.041831091708</v>
      </c>
      <c r="I37" s="96">
        <f>(I35/$N$35)*$N$37</f>
        <v>45149.947633468233</v>
      </c>
      <c r="J37" s="98">
        <f>(J35/$N$35)*$N$37</f>
        <v>9790.1581204028334</v>
      </c>
      <c r="K37" s="97">
        <f>(K35/$N$35)*$N$37</f>
        <v>1113.8037353353245</v>
      </c>
      <c r="L37" s="99">
        <f>(L35/$N$35)*$N$37</f>
        <v>22720.521234469343</v>
      </c>
      <c r="M37" s="97">
        <f>(M35/$N$35)*$N$37</f>
        <v>24547.261235949602</v>
      </c>
      <c r="N37" s="95">
        <f>Allocation!I467+Allocation!I468+Allocation!I469+Allocation!I476+Allocation!I562</f>
        <v>122442.73379071706</v>
      </c>
      <c r="P37" s="53"/>
    </row>
    <row r="38" spans="2:16" ht="15.75">
      <c r="B38" s="76"/>
      <c r="C38" s="87"/>
      <c r="D38" s="88"/>
      <c r="E38" s="76"/>
      <c r="F38" s="67"/>
      <c r="G38" s="67"/>
      <c r="H38" s="68"/>
      <c r="I38" s="76"/>
      <c r="J38" s="68"/>
      <c r="K38" s="67"/>
      <c r="L38" s="77"/>
      <c r="M38" s="68"/>
      <c r="N38" s="77"/>
    </row>
    <row r="39" spans="2:16" ht="15.75">
      <c r="B39" s="86" t="s">
        <v>823</v>
      </c>
      <c r="C39" s="87" t="s">
        <v>868</v>
      </c>
      <c r="D39" s="88" t="s">
        <v>822</v>
      </c>
      <c r="E39" s="92">
        <f t="shared" ref="E39:M39" si="4">E35-E37</f>
        <v>40569.773511932872</v>
      </c>
      <c r="F39" s="105">
        <f t="shared" si="4"/>
        <v>2551.5314085278242</v>
      </c>
      <c r="G39" s="105">
        <f t="shared" si="4"/>
        <v>499224.71162433136</v>
      </c>
      <c r="H39" s="91">
        <f t="shared" si="4"/>
        <v>542346.01654479199</v>
      </c>
      <c r="I39" s="92">
        <f t="shared" si="4"/>
        <v>1280625.5256656895</v>
      </c>
      <c r="J39" s="91">
        <f t="shared" si="4"/>
        <v>277686.39935248619</v>
      </c>
      <c r="K39" s="105">
        <f>K35-K37</f>
        <v>31591.74193581763</v>
      </c>
      <c r="L39" s="95">
        <f t="shared" si="4"/>
        <v>644441.04532521009</v>
      </c>
      <c r="M39" s="91">
        <f t="shared" si="4"/>
        <v>696254.3916803695</v>
      </c>
      <c r="N39" s="95">
        <f>N35-N37</f>
        <v>3472945.1205043653</v>
      </c>
      <c r="P39" s="53"/>
    </row>
    <row r="40" spans="2:16" ht="15.75">
      <c r="B40" s="76"/>
      <c r="C40" s="87"/>
      <c r="D40" s="88"/>
      <c r="E40" s="76"/>
      <c r="F40" s="67"/>
      <c r="G40" s="67"/>
      <c r="H40" s="68"/>
      <c r="I40" s="76"/>
      <c r="J40" s="68"/>
      <c r="K40" s="67"/>
      <c r="L40" s="77"/>
      <c r="M40" s="68"/>
      <c r="N40" s="77"/>
    </row>
    <row r="41" spans="2:16" ht="15.75">
      <c r="B41" s="86" t="s">
        <v>824</v>
      </c>
      <c r="C41" s="87" t="s">
        <v>390</v>
      </c>
      <c r="D41" s="88" t="s">
        <v>861</v>
      </c>
      <c r="E41" s="96">
        <f>Allocation!I596*12</f>
        <v>3018.9149635036501</v>
      </c>
      <c r="F41" s="97">
        <f>+$E$41</f>
        <v>3018.9149635036501</v>
      </c>
      <c r="G41" s="97">
        <f>+$E$41</f>
        <v>3018.9149635036501</v>
      </c>
      <c r="H41" s="98">
        <f>G41</f>
        <v>3018.9149635036501</v>
      </c>
      <c r="I41" s="96">
        <f>Allocation!I589</f>
        <v>318074.00751999998</v>
      </c>
      <c r="J41" s="98">
        <f>Allocation!I580</f>
        <v>1335425.4852254651</v>
      </c>
      <c r="K41" s="97">
        <f>Allocation!I580</f>
        <v>1335425.4852254651</v>
      </c>
      <c r="L41" s="99">
        <f>Allocation!I583</f>
        <v>771751.88696060865</v>
      </c>
      <c r="M41" s="97">
        <f>Allocation!I582</f>
        <v>771751.88696060865</v>
      </c>
      <c r="N41" s="77"/>
    </row>
    <row r="42" spans="2:16" ht="16.5" thickBot="1">
      <c r="B42" s="76"/>
      <c r="C42" s="87"/>
      <c r="D42" s="88"/>
      <c r="E42" s="76"/>
      <c r="F42" s="67"/>
      <c r="G42" s="67"/>
      <c r="H42" s="68"/>
      <c r="I42" s="69"/>
      <c r="J42" s="70"/>
      <c r="K42" s="76"/>
      <c r="L42" s="77"/>
      <c r="M42" s="68"/>
      <c r="N42" s="77"/>
    </row>
    <row r="43" spans="2:16" ht="16.5" thickBot="1">
      <c r="B43" s="107" t="s">
        <v>827</v>
      </c>
      <c r="C43" s="108" t="s">
        <v>869</v>
      </c>
      <c r="D43" s="109" t="s">
        <v>825</v>
      </c>
      <c r="E43" s="110" t="str">
        <f>CONCATENATE(TEXT(E39/E41,"$0.00"),"/Cust/Mo")</f>
        <v>$13.44/Cust/Mo</v>
      </c>
      <c r="F43" s="111" t="str">
        <f>CONCATENATE(TEXT(F39/F41,"$0.00"),"/Cust/Mo")</f>
        <v>$0.85/Cust/Mo</v>
      </c>
      <c r="G43" s="111" t="str">
        <f>CONCATENATE(TEXT(G39/G41,"$0.00"),"/Cust/Mo")</f>
        <v>$165.37/Cust/Mo</v>
      </c>
      <c r="H43" s="112" t="str">
        <f>CONCATENATE(TEXT(H39/H41,"$0.00"),"/Cust/Mo")</f>
        <v>$179.65/Cust/Mo</v>
      </c>
      <c r="I43" s="113" t="str">
        <f>CONCATENATE(TEXT(I39/I41,"$0.0000"),"/Mcf")</f>
        <v>$4.0262/Mcf</v>
      </c>
      <c r="J43" s="113" t="str">
        <f>CONCATENATE(TEXT(J39/J41,"$0.0000"),"/Mcf")</f>
        <v>$0.2079/Mcf</v>
      </c>
      <c r="K43" s="113" t="str">
        <f>CONCATENATE(TEXT(K39/K41,"$0.0000"),"/Mcf")</f>
        <v>$0.0237/Mcf</v>
      </c>
      <c r="L43" s="113" t="str">
        <f>CONCATENATE(TEXT(L39/L41,"$0.0000"),"/Mcf")</f>
        <v>$0.8350/Mcf</v>
      </c>
      <c r="M43" s="113" t="str">
        <f>CONCATENATE(TEXT(M39/M41,"$0.0000"),"/Mcf")</f>
        <v>$0.9022/Mcf</v>
      </c>
      <c r="N43" s="114"/>
    </row>
    <row r="44" spans="2:16" ht="15.7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2:16" ht="15.75">
      <c r="B45" s="63" t="s">
        <v>871</v>
      </c>
      <c r="C45" s="63"/>
      <c r="D45" s="63"/>
      <c r="E45" s="63"/>
      <c r="F45" s="63"/>
      <c r="G45" s="63"/>
      <c r="H45" s="63"/>
      <c r="I45" s="196">
        <f>SUM(H39,I39,L39,M39)</f>
        <v>3163666.9792160611</v>
      </c>
      <c r="J45" s="63"/>
      <c r="K45" s="63"/>
      <c r="L45" s="63"/>
      <c r="M45" s="115"/>
      <c r="N45" s="63"/>
    </row>
    <row r="46" spans="2:16">
      <c r="M46" s="56"/>
      <c r="N46" s="53"/>
    </row>
    <row r="47" spans="2:16">
      <c r="H47" s="197"/>
      <c r="I47" s="200"/>
      <c r="K47" s="53"/>
      <c r="M47" s="197" t="s">
        <v>877</v>
      </c>
      <c r="N47" s="199">
        <f>N39/H41</f>
        <v>1150.3951461003669</v>
      </c>
    </row>
    <row r="48" spans="2:16">
      <c r="M48" s="56"/>
    </row>
    <row r="49" spans="9:13">
      <c r="M49" s="56"/>
    </row>
    <row r="50" spans="9:13">
      <c r="M50" s="56"/>
    </row>
    <row r="51" spans="9:13">
      <c r="M51" s="56"/>
    </row>
    <row r="52" spans="9:13">
      <c r="M52" s="56"/>
    </row>
    <row r="53" spans="9:13">
      <c r="M53" s="56"/>
    </row>
    <row r="54" spans="9:13">
      <c r="M54" s="56"/>
    </row>
    <row r="55" spans="9:13">
      <c r="M55" s="56"/>
    </row>
    <row r="56" spans="9:13">
      <c r="M56" s="56"/>
    </row>
    <row r="57" spans="9:13">
      <c r="M57" s="56"/>
    </row>
    <row r="58" spans="9:13">
      <c r="M58" s="56"/>
    </row>
    <row r="59" spans="9:13">
      <c r="M59" s="56"/>
    </row>
    <row r="60" spans="9:13">
      <c r="M60" s="56"/>
    </row>
    <row r="61" spans="9:13">
      <c r="M61" s="56"/>
    </row>
    <row r="62" spans="9:13">
      <c r="M62" s="56"/>
    </row>
    <row r="63" spans="9:13">
      <c r="M63" s="56"/>
    </row>
    <row r="64" spans="9:13">
      <c r="I64" s="57"/>
      <c r="J64" s="51"/>
      <c r="K64" s="51"/>
    </row>
    <row r="65" spans="9:11">
      <c r="I65" s="51"/>
      <c r="J65" s="51"/>
      <c r="K65" s="58"/>
    </row>
    <row r="66" spans="9:11">
      <c r="I66" s="51"/>
      <c r="J66" s="51"/>
      <c r="K66" s="59"/>
    </row>
    <row r="67" spans="9:11">
      <c r="I67" s="51"/>
      <c r="J67" s="51"/>
      <c r="K67" s="59"/>
    </row>
    <row r="68" spans="9:11">
      <c r="I68" s="51"/>
      <c r="J68" s="51"/>
      <c r="K68" s="60"/>
    </row>
    <row r="69" spans="9:11">
      <c r="I69" s="51"/>
      <c r="J69" s="51"/>
      <c r="K69" s="61"/>
    </row>
    <row r="70" spans="9:11">
      <c r="I70" s="51"/>
      <c r="J70" s="51"/>
      <c r="K70" s="62"/>
    </row>
    <row r="71" spans="9:11">
      <c r="I71" s="51"/>
      <c r="J71" s="51"/>
      <c r="K71" s="51"/>
    </row>
    <row r="72" spans="9:11">
      <c r="I72" s="51"/>
      <c r="J72" s="51"/>
      <c r="K72" s="51"/>
    </row>
    <row r="73" spans="9:11">
      <c r="I73" s="51"/>
      <c r="J73" s="51"/>
      <c r="K73" s="59"/>
    </row>
  </sheetData>
  <mergeCells count="5">
    <mergeCell ref="B1:N1"/>
    <mergeCell ref="B3:N3"/>
    <mergeCell ref="B4:N4"/>
    <mergeCell ref="B6:N6"/>
    <mergeCell ref="E10:H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S73"/>
  <sheetViews>
    <sheetView topLeftCell="E9" workbookViewId="0">
      <selection activeCell="P47" sqref="P47"/>
    </sheetView>
  </sheetViews>
  <sheetFormatPr defaultColWidth="9.140625" defaultRowHeight="12.75"/>
  <cols>
    <col min="1" max="1" width="9.140625" style="52"/>
    <col min="2" max="2" width="4.28515625" style="52" customWidth="1"/>
    <col min="3" max="3" width="55.7109375" style="52" bestFit="1" customWidth="1"/>
    <col min="4" max="4" width="34.28515625" style="52" hidden="1" customWidth="1"/>
    <col min="5" max="5" width="22.140625" style="52" customWidth="1"/>
    <col min="6" max="6" width="22" style="52" customWidth="1"/>
    <col min="7" max="7" width="21.140625" style="52" customWidth="1"/>
    <col min="8" max="8" width="22" style="52" customWidth="1"/>
    <col min="9" max="9" width="20.140625" style="52" customWidth="1"/>
    <col min="10" max="10" width="15.140625" style="52" customWidth="1"/>
    <col min="11" max="11" width="14.7109375" style="52" customWidth="1"/>
    <col min="12" max="12" width="17.42578125" style="52" customWidth="1"/>
    <col min="13" max="13" width="18.28515625" style="52" customWidth="1"/>
    <col min="14" max="14" width="15.85546875" style="52" customWidth="1"/>
    <col min="15" max="15" width="9.140625" style="52"/>
    <col min="16" max="16" width="14.85546875" style="52" customWidth="1"/>
    <col min="17" max="16384" width="9.140625" style="52"/>
  </cols>
  <sheetData>
    <row r="1" spans="2:16" ht="15.75">
      <c r="B1" s="203" t="s">
        <v>764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2:16" ht="15.75"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2:16" ht="15.75">
      <c r="B3" s="203" t="s">
        <v>792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2:16" ht="15.75">
      <c r="B4" s="203" t="s">
        <v>878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2:16" ht="15.75">
      <c r="B5" s="11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16" ht="15.75">
      <c r="B6" s="203" t="s">
        <v>884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2:16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2:16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2:16" ht="13.5" thickBot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2:16" ht="16.5" thickBot="1">
      <c r="B10" s="71"/>
      <c r="C10" s="72"/>
      <c r="D10" s="73"/>
      <c r="E10" s="204" t="s">
        <v>793</v>
      </c>
      <c r="F10" s="205"/>
      <c r="G10" s="205"/>
      <c r="H10" s="206"/>
      <c r="I10" s="74"/>
      <c r="J10" s="74"/>
      <c r="K10" s="75"/>
      <c r="L10" s="75"/>
      <c r="M10" s="75"/>
      <c r="N10" s="73"/>
    </row>
    <row r="11" spans="2:16" ht="15.75">
      <c r="B11" s="76"/>
      <c r="C11" s="68"/>
      <c r="D11" s="77"/>
      <c r="E11" s="64" t="s">
        <v>794</v>
      </c>
      <c r="F11" s="198" t="s">
        <v>794</v>
      </c>
      <c r="G11" s="198"/>
      <c r="H11" s="66" t="s">
        <v>14</v>
      </c>
      <c r="I11" s="78" t="s">
        <v>3</v>
      </c>
      <c r="J11" s="78" t="s">
        <v>3</v>
      </c>
      <c r="K11" s="78" t="s">
        <v>247</v>
      </c>
      <c r="L11" s="78" t="s">
        <v>795</v>
      </c>
      <c r="M11" s="78" t="s">
        <v>795</v>
      </c>
      <c r="N11" s="77"/>
    </row>
    <row r="12" spans="2:16" ht="15.75">
      <c r="B12" s="76"/>
      <c r="C12" s="68"/>
      <c r="D12" s="77"/>
      <c r="E12" s="64" t="s">
        <v>796</v>
      </c>
      <c r="F12" s="198" t="s">
        <v>797</v>
      </c>
      <c r="G12" s="198" t="s">
        <v>794</v>
      </c>
      <c r="H12" s="66" t="s">
        <v>794</v>
      </c>
      <c r="I12" s="78" t="s">
        <v>798</v>
      </c>
      <c r="J12" s="78" t="s">
        <v>829</v>
      </c>
      <c r="K12" s="78" t="s">
        <v>642</v>
      </c>
      <c r="L12" s="64" t="s">
        <v>796</v>
      </c>
      <c r="M12" s="64" t="s">
        <v>797</v>
      </c>
      <c r="N12" s="77"/>
    </row>
    <row r="13" spans="2:16" ht="16.5" thickBot="1">
      <c r="B13" s="69"/>
      <c r="C13" s="79" t="s">
        <v>19</v>
      </c>
      <c r="D13" s="80" t="s">
        <v>727</v>
      </c>
      <c r="E13" s="81" t="s">
        <v>799</v>
      </c>
      <c r="F13" s="82" t="s">
        <v>800</v>
      </c>
      <c r="G13" s="82" t="s">
        <v>801</v>
      </c>
      <c r="H13" s="83" t="s">
        <v>802</v>
      </c>
      <c r="I13" s="80" t="s">
        <v>802</v>
      </c>
      <c r="J13" s="80" t="s">
        <v>802</v>
      </c>
      <c r="K13" s="80" t="s">
        <v>802</v>
      </c>
      <c r="L13" s="81" t="s">
        <v>799</v>
      </c>
      <c r="M13" s="81" t="s">
        <v>799</v>
      </c>
      <c r="N13" s="80" t="s">
        <v>803</v>
      </c>
    </row>
    <row r="14" spans="2:16" ht="15.75">
      <c r="B14" s="71"/>
      <c r="C14" s="72"/>
      <c r="D14" s="84"/>
      <c r="E14" s="71"/>
      <c r="F14" s="85"/>
      <c r="G14" s="85"/>
      <c r="H14" s="72"/>
      <c r="I14" s="71"/>
      <c r="J14" s="72"/>
      <c r="K14" s="71"/>
      <c r="L14" s="73"/>
      <c r="M14" s="72"/>
      <c r="N14" s="73"/>
    </row>
    <row r="15" spans="2:16" ht="15.75">
      <c r="B15" s="86" t="s">
        <v>728</v>
      </c>
      <c r="C15" s="87" t="s">
        <v>248</v>
      </c>
      <c r="D15" s="88" t="s">
        <v>853</v>
      </c>
      <c r="E15" s="89">
        <f>Allocation!J80</f>
        <v>437.77087518947633</v>
      </c>
      <c r="F15" s="90">
        <f>Allocation!J82</f>
        <v>126.14594604554739</v>
      </c>
      <c r="G15" s="90">
        <f>Allocation!J86+Allocation!J89+Allocation!J92+Allocation!J95</f>
        <v>81868.338702096284</v>
      </c>
      <c r="H15" s="91">
        <f>E15+F15+G15</f>
        <v>82432.255523331303</v>
      </c>
      <c r="I15" s="92">
        <f>Allocation!J62</f>
        <v>0</v>
      </c>
      <c r="J15" s="91">
        <f>Allocation!J63</f>
        <v>0</v>
      </c>
      <c r="K15" s="90">
        <f>Allocation!J58+Allocation!J72</f>
        <v>1327.5065149969478</v>
      </c>
      <c r="L15" s="93">
        <f>Allocation!J79</f>
        <v>3.8556105724114458</v>
      </c>
      <c r="M15" s="94">
        <f>Allocation!J57+Allocation!J67+Allocation!J75+Allocation!J81</f>
        <v>155627.83904679577</v>
      </c>
      <c r="N15" s="95">
        <f>E15+F15+G15+K15+L15+M15+I15+J15</f>
        <v>239391.45669569643</v>
      </c>
      <c r="O15" s="53"/>
    </row>
    <row r="16" spans="2:16" ht="15.75">
      <c r="B16" s="86" t="s">
        <v>804</v>
      </c>
      <c r="C16" s="87" t="s">
        <v>681</v>
      </c>
      <c r="D16" s="88" t="s">
        <v>854</v>
      </c>
      <c r="E16" s="96">
        <f>(E15/$N$15)*$N$16</f>
        <v>0</v>
      </c>
      <c r="F16" s="97">
        <f t="shared" ref="F16:M16" si="0">(F15/$N$15)*$N$16</f>
        <v>0</v>
      </c>
      <c r="G16" s="97">
        <f t="shared" si="0"/>
        <v>0</v>
      </c>
      <c r="H16" s="98">
        <f>E16+F16+G16</f>
        <v>0</v>
      </c>
      <c r="I16" s="96">
        <f t="shared" si="0"/>
        <v>0</v>
      </c>
      <c r="J16" s="98">
        <f t="shared" si="0"/>
        <v>0</v>
      </c>
      <c r="K16" s="97">
        <f t="shared" si="0"/>
        <v>0</v>
      </c>
      <c r="L16" s="99">
        <f t="shared" si="0"/>
        <v>0</v>
      </c>
      <c r="M16" s="98">
        <f t="shared" si="0"/>
        <v>0</v>
      </c>
      <c r="N16" s="99">
        <f>Allocation!G524+Allocation!G525</f>
        <v>0</v>
      </c>
      <c r="O16" s="53"/>
      <c r="P16" s="53"/>
    </row>
    <row r="17" spans="2:19" ht="15.75">
      <c r="B17" s="86" t="s">
        <v>805</v>
      </c>
      <c r="C17" s="87" t="s">
        <v>864</v>
      </c>
      <c r="D17" s="88" t="s">
        <v>806</v>
      </c>
      <c r="E17" s="89">
        <f>E15+E16</f>
        <v>437.77087518947633</v>
      </c>
      <c r="F17" s="90">
        <f>F15+F16</f>
        <v>126.14594604554739</v>
      </c>
      <c r="G17" s="90">
        <f>G15+G16</f>
        <v>81868.338702096284</v>
      </c>
      <c r="H17" s="91">
        <f>E17+F17+G17</f>
        <v>82432.255523331303</v>
      </c>
      <c r="I17" s="92">
        <f>I15+I16</f>
        <v>0</v>
      </c>
      <c r="J17" s="91">
        <f>J15+J16</f>
        <v>0</v>
      </c>
      <c r="K17" s="90">
        <f>K15+K16</f>
        <v>1327.5065149969478</v>
      </c>
      <c r="L17" s="93">
        <f>L15+L16</f>
        <v>3.8556105724114458</v>
      </c>
      <c r="M17" s="94">
        <f>M15+M16</f>
        <v>155627.83904679577</v>
      </c>
      <c r="N17" s="100">
        <f>E17+F17+G17+K17+L17+M17+I17+J17</f>
        <v>239391.45669569643</v>
      </c>
    </row>
    <row r="18" spans="2:19" ht="15.75">
      <c r="B18" s="86"/>
      <c r="C18" s="87"/>
      <c r="D18" s="88"/>
      <c r="E18" s="89"/>
      <c r="F18" s="90"/>
      <c r="G18" s="90"/>
      <c r="H18" s="91"/>
      <c r="I18" s="92"/>
      <c r="J18" s="91"/>
      <c r="K18" s="90"/>
      <c r="L18" s="93"/>
      <c r="M18" s="94"/>
      <c r="N18" s="95"/>
    </row>
    <row r="19" spans="2:19" ht="15.75">
      <c r="B19" s="86" t="s">
        <v>807</v>
      </c>
      <c r="C19" s="87" t="s">
        <v>369</v>
      </c>
      <c r="D19" s="88" t="s">
        <v>862</v>
      </c>
      <c r="E19" s="101">
        <f>Allocation!J572</f>
        <v>0.8430591234500443</v>
      </c>
      <c r="F19" s="102">
        <f>E19</f>
        <v>0.8430591234500443</v>
      </c>
      <c r="G19" s="102">
        <f>E19</f>
        <v>0.8430591234500443</v>
      </c>
      <c r="H19" s="103">
        <f>E19</f>
        <v>0.8430591234500443</v>
      </c>
      <c r="I19" s="101">
        <f>E19</f>
        <v>0.8430591234500443</v>
      </c>
      <c r="J19" s="103">
        <f>E19</f>
        <v>0.8430591234500443</v>
      </c>
      <c r="K19" s="102">
        <f>E19</f>
        <v>0.8430591234500443</v>
      </c>
      <c r="L19" s="104">
        <f>F19</f>
        <v>0.8430591234500443</v>
      </c>
      <c r="M19" s="103">
        <f>G19</f>
        <v>0.8430591234500443</v>
      </c>
      <c r="N19" s="103">
        <f>E19</f>
        <v>0.8430591234500443</v>
      </c>
    </row>
    <row r="20" spans="2:19" ht="15.75">
      <c r="B20" s="76"/>
      <c r="C20" s="87"/>
      <c r="D20" s="88"/>
      <c r="E20" s="76"/>
      <c r="F20" s="67"/>
      <c r="G20" s="67"/>
      <c r="H20" s="68"/>
      <c r="I20" s="76"/>
      <c r="J20" s="68"/>
      <c r="K20" s="67"/>
      <c r="L20" s="77"/>
      <c r="M20" s="68"/>
      <c r="N20" s="77"/>
    </row>
    <row r="21" spans="2:19" ht="15.75">
      <c r="B21" s="86" t="s">
        <v>808</v>
      </c>
      <c r="C21" s="87" t="s">
        <v>865</v>
      </c>
      <c r="D21" s="88" t="s">
        <v>809</v>
      </c>
      <c r="E21" s="89">
        <f>E17*E19</f>
        <v>369.06673030919865</v>
      </c>
      <c r="F21" s="90">
        <f>F17*F19</f>
        <v>106.34849069993577</v>
      </c>
      <c r="G21" s="90">
        <f>G17*G19</f>
        <v>69019.849864500633</v>
      </c>
      <c r="H21" s="91">
        <f>E21+F21+G21</f>
        <v>69495.265085509775</v>
      </c>
      <c r="I21" s="89">
        <f>I17*I19</f>
        <v>0</v>
      </c>
      <c r="J21" s="94">
        <f>J17*J19</f>
        <v>0</v>
      </c>
      <c r="K21" s="90">
        <f>K17*K19</f>
        <v>1119.1664789075498</v>
      </c>
      <c r="L21" s="93">
        <f>L17*L19</f>
        <v>3.2505076695419168</v>
      </c>
      <c r="M21" s="94">
        <f>M17*M19</f>
        <v>131203.46957121621</v>
      </c>
      <c r="N21" s="95">
        <f>E21+F21+G21+K21+L21+M21+I21+J21</f>
        <v>201821.15164330305</v>
      </c>
      <c r="P21" s="53"/>
    </row>
    <row r="22" spans="2:19" ht="15.75">
      <c r="B22" s="76"/>
      <c r="C22" s="87"/>
      <c r="D22" s="88"/>
      <c r="E22" s="76"/>
      <c r="F22" s="67"/>
      <c r="G22" s="67"/>
      <c r="H22" s="68"/>
      <c r="I22" s="76"/>
      <c r="J22" s="68"/>
      <c r="K22" s="67"/>
      <c r="L22" s="77"/>
      <c r="M22" s="68"/>
      <c r="N22" s="77"/>
    </row>
    <row r="23" spans="2:19" ht="15.75">
      <c r="B23" s="86" t="s">
        <v>810</v>
      </c>
      <c r="C23" s="87" t="s">
        <v>372</v>
      </c>
      <c r="D23" s="88" t="s">
        <v>855</v>
      </c>
      <c r="E23" s="89">
        <f>Allocation!J443</f>
        <v>11.657047237076746</v>
      </c>
      <c r="F23" s="90">
        <f>Allocation!J445</f>
        <v>3.3590385636829363</v>
      </c>
      <c r="G23" s="90">
        <f>Allocation!J449+Allocation!J452+Allocation!J455+Allocation!J458</f>
        <v>2181.8945910418806</v>
      </c>
      <c r="H23" s="91">
        <f>E23+F23+G23</f>
        <v>2196.9106768426404</v>
      </c>
      <c r="I23" s="89">
        <f>Allocation!J426</f>
        <v>0</v>
      </c>
      <c r="J23" s="94">
        <f>Allocation!J427</f>
        <v>0</v>
      </c>
      <c r="K23" s="90">
        <f>Allocation!J422+Allocation!J436</f>
        <v>0</v>
      </c>
      <c r="L23" s="93">
        <f>Allocation!J442</f>
        <v>0.10266794142236987</v>
      </c>
      <c r="M23" s="94">
        <f>Allocation!J421+Allocation!J431+Allocation!J439+Allocation!J444</f>
        <v>3359.5792979674793</v>
      </c>
      <c r="N23" s="95">
        <f>E23+F23+G23+K23+L23+M23+I23+J23</f>
        <v>5556.5926427515424</v>
      </c>
    </row>
    <row r="24" spans="2:19" ht="15.75">
      <c r="B24" s="76"/>
      <c r="C24" s="87"/>
      <c r="D24" s="88"/>
      <c r="E24" s="76"/>
      <c r="F24" s="67"/>
      <c r="G24" s="67"/>
      <c r="H24" s="68"/>
      <c r="I24" s="76"/>
      <c r="J24" s="68"/>
      <c r="K24" s="67"/>
      <c r="L24" s="77"/>
      <c r="M24" s="68"/>
      <c r="N24" s="77"/>
    </row>
    <row r="25" spans="2:19" ht="15.75">
      <c r="B25" s="86" t="s">
        <v>811</v>
      </c>
      <c r="C25" s="87" t="s">
        <v>866</v>
      </c>
      <c r="D25" s="88" t="s">
        <v>812</v>
      </c>
      <c r="E25" s="92">
        <f t="shared" ref="E25:M25" si="1">E21-E23</f>
        <v>357.40968307212188</v>
      </c>
      <c r="F25" s="105">
        <f t="shared" si="1"/>
        <v>102.98945213625284</v>
      </c>
      <c r="G25" s="105">
        <f t="shared" si="1"/>
        <v>66837.955273458749</v>
      </c>
      <c r="H25" s="91">
        <f t="shared" si="1"/>
        <v>67298.354408667132</v>
      </c>
      <c r="I25" s="92">
        <f t="shared" si="1"/>
        <v>0</v>
      </c>
      <c r="J25" s="91">
        <f t="shared" si="1"/>
        <v>0</v>
      </c>
      <c r="K25" s="105">
        <f t="shared" si="1"/>
        <v>1119.1664789075498</v>
      </c>
      <c r="L25" s="95">
        <f t="shared" si="1"/>
        <v>3.1478397281195472</v>
      </c>
      <c r="M25" s="91">
        <f t="shared" si="1"/>
        <v>127843.89027324873</v>
      </c>
      <c r="N25" s="95">
        <f>N21-N23</f>
        <v>196264.5590005515</v>
      </c>
    </row>
    <row r="26" spans="2:19" ht="15.75">
      <c r="B26" s="76"/>
      <c r="C26" s="87"/>
      <c r="D26" s="88"/>
      <c r="E26" s="76"/>
      <c r="F26" s="67"/>
      <c r="G26" s="67"/>
      <c r="H26" s="68"/>
      <c r="I26" s="76"/>
      <c r="J26" s="68"/>
      <c r="K26" s="67"/>
      <c r="L26" s="77"/>
      <c r="M26" s="68"/>
      <c r="N26" s="77"/>
    </row>
    <row r="27" spans="2:19" ht="15.75">
      <c r="B27" s="86" t="s">
        <v>813</v>
      </c>
      <c r="C27" s="87" t="s">
        <v>300</v>
      </c>
      <c r="D27" s="106" t="s">
        <v>828</v>
      </c>
      <c r="E27" s="89">
        <f>$P$27*(E25/$N$25)</f>
        <v>257.46763181345375</v>
      </c>
      <c r="F27" s="90">
        <f>$P$27*(F25/$N$25)</f>
        <v>74.190632204934673</v>
      </c>
      <c r="G27" s="90">
        <f>$P$27*(G25/$N$25)</f>
        <v>48148.136087399827</v>
      </c>
      <c r="H27" s="91">
        <f>E27+G27+F27</f>
        <v>48479.794351418212</v>
      </c>
      <c r="I27" s="89">
        <f>$P$27*(I25/$N$25)</f>
        <v>0</v>
      </c>
      <c r="J27" s="94">
        <f>$P$27*(J25/$N$25)</f>
        <v>0</v>
      </c>
      <c r="K27" s="90">
        <f>$P$27*(K25/$N$25)</f>
        <v>806.21526661655298</v>
      </c>
      <c r="L27" s="93">
        <f>$P$27*(L25/$N$25)</f>
        <v>2.2676129901150479</v>
      </c>
      <c r="M27" s="90">
        <f>$P$27*(M25/$N$25)</f>
        <v>92095.052902722586</v>
      </c>
      <c r="N27" s="95">
        <f>E27+F27+G27+K27+L27+M27+I27+J27</f>
        <v>141383.33013374748</v>
      </c>
      <c r="P27" s="54">
        <f>Allocation!J519+Allocation!J509+Allocation!J564</f>
        <v>141383.33013374745</v>
      </c>
      <c r="S27" s="52">
        <f>1-(N27/N25)</f>
        <v>0.27962882930203303</v>
      </c>
    </row>
    <row r="28" spans="2:19" ht="15.75">
      <c r="B28" s="76"/>
      <c r="C28" s="87"/>
      <c r="D28" s="88"/>
      <c r="E28" s="76"/>
      <c r="F28" s="67"/>
      <c r="G28" s="67"/>
      <c r="H28" s="68"/>
      <c r="I28" s="76"/>
      <c r="J28" s="68"/>
      <c r="K28" s="67"/>
      <c r="L28" s="77"/>
      <c r="M28" s="68"/>
      <c r="N28" s="77"/>
    </row>
    <row r="29" spans="2:19" ht="15.75">
      <c r="B29" s="86" t="s">
        <v>814</v>
      </c>
      <c r="C29" s="87" t="s">
        <v>172</v>
      </c>
      <c r="D29" s="88" t="s">
        <v>856</v>
      </c>
      <c r="E29" s="89">
        <f>Allocation!J126</f>
        <v>52.307870634379384</v>
      </c>
      <c r="F29" s="90">
        <f>Allocation!J128</f>
        <v>15.0727839624917</v>
      </c>
      <c r="G29" s="90">
        <f>Allocation!J132+Allocation!J135+Allocation!J138+Allocation!J141</f>
        <v>5737.0486583236016</v>
      </c>
      <c r="H29" s="91">
        <f>E29+F29+G29</f>
        <v>5804.4293129204725</v>
      </c>
      <c r="I29" s="92">
        <f>Allocation!J109</f>
        <v>0</v>
      </c>
      <c r="J29" s="91">
        <f>Allocation!J110</f>
        <v>0</v>
      </c>
      <c r="K29" s="90">
        <f>Allocation!J105+Allocation!J115+Allocation!J119</f>
        <v>9511.6520315951366</v>
      </c>
      <c r="L29" s="93">
        <f>Allocation!J125</f>
        <v>0.46069483026012786</v>
      </c>
      <c r="M29" s="94">
        <f>Allocation!J104+Allocation!J114+Allocation!J122+Allocation!J127</f>
        <v>26324.471080621435</v>
      </c>
      <c r="N29" s="95">
        <f>E29+F29+G29+K29+L29+M29+I29+J29</f>
        <v>41641.013119967305</v>
      </c>
    </row>
    <row r="30" spans="2:19" ht="15.75">
      <c r="B30" s="86" t="s">
        <v>815</v>
      </c>
      <c r="C30" s="87" t="s">
        <v>174</v>
      </c>
      <c r="D30" s="88" t="s">
        <v>857</v>
      </c>
      <c r="E30" s="96">
        <f>Allocation!J219</f>
        <v>21.707062831794687</v>
      </c>
      <c r="F30" s="97">
        <f>Allocation!J221</f>
        <v>6.2550026326025119</v>
      </c>
      <c r="G30" s="97">
        <f>Allocation!J225+Allocation!J228+Allocation!J231+Allocation!J234</f>
        <v>6985.4228718602153</v>
      </c>
      <c r="H30" s="98">
        <f>E30+F30+G30</f>
        <v>7013.3849373246121</v>
      </c>
      <c r="I30" s="96">
        <f>Allocation!J202</f>
        <v>0</v>
      </c>
      <c r="J30" s="98">
        <f>Allocation!J203</f>
        <v>0</v>
      </c>
      <c r="K30" s="97">
        <f>Allocation!J198+Allocation!J208+Allocation!J212</f>
        <v>0</v>
      </c>
      <c r="L30" s="99">
        <f>Allocation!J218</f>
        <v>0.19118215873553185</v>
      </c>
      <c r="M30" s="98">
        <f>Allocation!J197+Allocation!J207+Allocation!J215+Allocation!J220</f>
        <v>7065.007451834128</v>
      </c>
      <c r="N30" s="99">
        <f>E30+F30+G30+K30+L30+M30+I30+J30</f>
        <v>14078.583571317475</v>
      </c>
    </row>
    <row r="31" spans="2:19" ht="15.75">
      <c r="B31" s="86" t="s">
        <v>816</v>
      </c>
      <c r="C31" s="87" t="s">
        <v>217</v>
      </c>
      <c r="D31" s="88" t="s">
        <v>858</v>
      </c>
      <c r="E31" s="96">
        <f>Allocation!J396</f>
        <v>7.4240140587461463</v>
      </c>
      <c r="F31" s="97">
        <f>Allocation!J398</f>
        <v>2.1392681194029546</v>
      </c>
      <c r="G31" s="97">
        <f>Allocation!J402+Allocation!J405+Allocation!J408+Allocation!J411</f>
        <v>1389.5814084956214</v>
      </c>
      <c r="H31" s="98">
        <f>E31+F31+G31</f>
        <v>1399.1446906737706</v>
      </c>
      <c r="I31" s="96">
        <f>Allocation!J379</f>
        <v>0</v>
      </c>
      <c r="J31" s="98">
        <f>Allocation!J380</f>
        <v>0</v>
      </c>
      <c r="K31" s="97">
        <f>Allocation!J375+Allocation!J385+Allocation!J389</f>
        <v>0</v>
      </c>
      <c r="L31" s="99">
        <f>Allocation!J395</f>
        <v>6.5386047169638112E-2</v>
      </c>
      <c r="M31" s="98">
        <f>Allocation!J374+Allocation!J384+Allocation!J392+Allocation!J397</f>
        <v>2139.6124964007354</v>
      </c>
      <c r="N31" s="99">
        <f>E31+F31+G31+K31+L31+M31+I31+J31</f>
        <v>3538.8225731216753</v>
      </c>
      <c r="P31" s="55"/>
    </row>
    <row r="32" spans="2:19" ht="15.75">
      <c r="B32" s="86" t="s">
        <v>817</v>
      </c>
      <c r="C32" s="87" t="s">
        <v>106</v>
      </c>
      <c r="D32" s="88" t="s">
        <v>859</v>
      </c>
      <c r="E32" s="96">
        <f>Allocation!J264+Allocation!J308+Allocation!J352</f>
        <v>-6.3018477722098884E-2</v>
      </c>
      <c r="F32" s="97">
        <f>Allocation!J266+Allocation!J310+Allocation!J354</f>
        <v>-1.8159100893049812E-2</v>
      </c>
      <c r="G32" s="97">
        <f>Allocation!J270+Allocation!J273+Allocation!J276+Allocation!J279+Allocation!J314+Allocation!J317+Allocation!J320+Allocation!J323+Allocation!J358+Allocation!J361+Allocation!J364+Allocation!J367</f>
        <v>-11.903405904871796</v>
      </c>
      <c r="H32" s="98">
        <f>E32+F32+G32</f>
        <v>-11.984583483486945</v>
      </c>
      <c r="I32" s="96">
        <f>Allocation!J247+Allocation!J291+Allocation!J335</f>
        <v>0</v>
      </c>
      <c r="J32" s="98">
        <f>Allocation!J248+Allocation!J292+Allocation!J336</f>
        <v>0</v>
      </c>
      <c r="K32" s="97">
        <f>Allocation!J287+Allocation!J297+Allocation!J301+Allocation!J331+Allocation!J341+Allocation!J345+Allocation!J375+Allocation!J385+Allocation!J389</f>
        <v>0</v>
      </c>
      <c r="L32" s="99">
        <f>Allocation!J307+Allocation!J351+Allocation!J263</f>
        <v>-5.5502712202458709E-4</v>
      </c>
      <c r="M32" s="97">
        <f>Allocation!J242+Allocation!J252+Allocation!J260+Allocation!J265+Allocation!J286+Allocation!J296+Allocation!J304+Allocation!J309+Allocation!J330+Allocation!J340+Allocation!J348+Allocation!J353</f>
        <v>-18.261771842925477</v>
      </c>
      <c r="N32" s="99">
        <f>E32+F32+G32+K32+L32+M32+I32+J32</f>
        <v>-30.246910353534446</v>
      </c>
      <c r="P32" s="55"/>
    </row>
    <row r="33" spans="2:16" ht="15.75">
      <c r="B33" s="86" t="s">
        <v>818</v>
      </c>
      <c r="C33" s="87" t="s">
        <v>876</v>
      </c>
      <c r="D33" s="88" t="s">
        <v>854</v>
      </c>
      <c r="E33" s="96">
        <f>(E29/$N$29)*$N$33</f>
        <v>-0.41946258115919655</v>
      </c>
      <c r="F33" s="97">
        <f t="shared" ref="F33:M33" si="2">(F29/$N$29)*$N$33</f>
        <v>-0.12087031625420942</v>
      </c>
      <c r="G33" s="97">
        <f t="shared" si="2"/>
        <v>-46.006025656771136</v>
      </c>
      <c r="H33" s="98">
        <f>E33+F33+G33</f>
        <v>-46.546358554184543</v>
      </c>
      <c r="I33" s="96">
        <f t="shared" si="2"/>
        <v>0</v>
      </c>
      <c r="J33" s="98">
        <f t="shared" si="2"/>
        <v>0</v>
      </c>
      <c r="K33" s="97">
        <f t="shared" si="2"/>
        <v>-76.274986228147554</v>
      </c>
      <c r="L33" s="99">
        <f t="shared" si="2"/>
        <v>-3.6943626319325112E-3</v>
      </c>
      <c r="M33" s="97">
        <f t="shared" si="2"/>
        <v>-211.09883566681916</v>
      </c>
      <c r="N33" s="99">
        <f>Allocation!J499+Allocation!J501+Allocation!J565+Allocation!J566</f>
        <v>-333.92387481178321</v>
      </c>
      <c r="P33" s="53"/>
    </row>
    <row r="34" spans="2:16" ht="15.75">
      <c r="B34" s="76"/>
      <c r="C34" s="87"/>
      <c r="D34" s="88"/>
      <c r="E34" s="76"/>
      <c r="F34" s="67"/>
      <c r="G34" s="67"/>
      <c r="H34" s="68"/>
      <c r="I34" s="76"/>
      <c r="J34" s="68"/>
      <c r="K34" s="67"/>
      <c r="L34" s="77"/>
      <c r="M34" s="68"/>
      <c r="N34" s="77"/>
    </row>
    <row r="35" spans="2:16" ht="15.75">
      <c r="B35" s="86" t="s">
        <v>819</v>
      </c>
      <c r="C35" s="87" t="s">
        <v>867</v>
      </c>
      <c r="D35" s="88" t="s">
        <v>863</v>
      </c>
      <c r="E35" s="92">
        <f t="shared" ref="E35:M35" si="3">E21+E27+SUM(E29:E33)</f>
        <v>707.49082858869133</v>
      </c>
      <c r="F35" s="105">
        <f t="shared" si="3"/>
        <v>203.86714820222036</v>
      </c>
      <c r="G35" s="105">
        <f>G21+G27+SUM(G29:G33)</f>
        <v>131222.12945901824</v>
      </c>
      <c r="H35" s="91">
        <f t="shared" si="3"/>
        <v>132133.48743580916</v>
      </c>
      <c r="I35" s="92">
        <f t="shared" si="3"/>
        <v>0</v>
      </c>
      <c r="J35" s="91">
        <f t="shared" si="3"/>
        <v>0</v>
      </c>
      <c r="K35" s="105">
        <f t="shared" si="3"/>
        <v>11360.758790891092</v>
      </c>
      <c r="L35" s="95">
        <f t="shared" si="3"/>
        <v>6.2311343060683058</v>
      </c>
      <c r="M35" s="91">
        <f t="shared" si="3"/>
        <v>258598.25289528535</v>
      </c>
      <c r="N35" s="95">
        <f>N21+N27+SUM(N29:N33)</f>
        <v>402098.73025629169</v>
      </c>
    </row>
    <row r="36" spans="2:16" ht="15.75">
      <c r="B36" s="76"/>
      <c r="C36" s="87"/>
      <c r="D36" s="88"/>
      <c r="E36" s="76"/>
      <c r="F36" s="67"/>
      <c r="G36" s="67"/>
      <c r="H36" s="68"/>
      <c r="I36" s="76"/>
      <c r="J36" s="68"/>
      <c r="K36" s="67"/>
      <c r="L36" s="77"/>
      <c r="M36" s="68"/>
      <c r="N36" s="77"/>
    </row>
    <row r="37" spans="2:16" ht="15.75">
      <c r="B37" s="86" t="s">
        <v>821</v>
      </c>
      <c r="C37" s="87" t="s">
        <v>820</v>
      </c>
      <c r="D37" s="88" t="s">
        <v>860</v>
      </c>
      <c r="E37" s="96">
        <f>(E35/$N$35)*$N$37</f>
        <v>56.382059771256472</v>
      </c>
      <c r="F37" s="97">
        <f>(F35/$N$35)*$N$37</f>
        <v>16.246782673158346</v>
      </c>
      <c r="G37" s="97">
        <f>(G35/$N$35)*$N$37</f>
        <v>10457.483895909518</v>
      </c>
      <c r="H37" s="98">
        <f>E37+F37+G37</f>
        <v>10530.112738353933</v>
      </c>
      <c r="I37" s="96">
        <f>(I35/$N$35)*$N$37</f>
        <v>0</v>
      </c>
      <c r="J37" s="98">
        <f>(J35/$N$35)*$N$37</f>
        <v>0</v>
      </c>
      <c r="K37" s="97">
        <f>(K35/$N$35)*$N$37</f>
        <v>905.37284062411027</v>
      </c>
      <c r="L37" s="99">
        <f>(L35/$N$35)*$N$37</f>
        <v>0.49657772608627931</v>
      </c>
      <c r="M37" s="97">
        <f>(M35/$N$35)*$N$37</f>
        <v>20608.468070984589</v>
      </c>
      <c r="N37" s="95">
        <f>Allocation!J467+Allocation!J468+Allocation!J469+Allocation!J476+Allocation!J562</f>
        <v>32044.450227688721</v>
      </c>
      <c r="P37" s="53"/>
    </row>
    <row r="38" spans="2:16" ht="15.75">
      <c r="B38" s="76"/>
      <c r="C38" s="87"/>
      <c r="D38" s="88"/>
      <c r="E38" s="76"/>
      <c r="F38" s="67"/>
      <c r="G38" s="67"/>
      <c r="H38" s="68"/>
      <c r="I38" s="76"/>
      <c r="J38" s="68"/>
      <c r="K38" s="67"/>
      <c r="L38" s="77"/>
      <c r="M38" s="68"/>
      <c r="N38" s="77"/>
    </row>
    <row r="39" spans="2:16" ht="15.75">
      <c r="B39" s="86" t="s">
        <v>823</v>
      </c>
      <c r="C39" s="87" t="s">
        <v>868</v>
      </c>
      <c r="D39" s="88" t="s">
        <v>822</v>
      </c>
      <c r="E39" s="92">
        <f t="shared" ref="E39:M39" si="4">E35-E37</f>
        <v>651.10876881743491</v>
      </c>
      <c r="F39" s="105">
        <f t="shared" si="4"/>
        <v>187.62036552906201</v>
      </c>
      <c r="G39" s="105">
        <f t="shared" si="4"/>
        <v>120764.64556310872</v>
      </c>
      <c r="H39" s="91">
        <f t="shared" si="4"/>
        <v>121603.37469745523</v>
      </c>
      <c r="I39" s="92">
        <f t="shared" si="4"/>
        <v>0</v>
      </c>
      <c r="J39" s="91">
        <f t="shared" si="4"/>
        <v>0</v>
      </c>
      <c r="K39" s="105">
        <f>K35-K37</f>
        <v>10455.385950266982</v>
      </c>
      <c r="L39" s="95">
        <f t="shared" si="4"/>
        <v>5.7345565799820264</v>
      </c>
      <c r="M39" s="91">
        <f t="shared" si="4"/>
        <v>237989.78482430076</v>
      </c>
      <c r="N39" s="95">
        <f>N35-N37</f>
        <v>370054.28002860298</v>
      </c>
      <c r="P39" s="53"/>
    </row>
    <row r="40" spans="2:16" ht="15.75">
      <c r="B40" s="76"/>
      <c r="C40" s="87"/>
      <c r="D40" s="88"/>
      <c r="E40" s="76"/>
      <c r="F40" s="67"/>
      <c r="G40" s="67"/>
      <c r="H40" s="68"/>
      <c r="I40" s="76"/>
      <c r="J40" s="68"/>
      <c r="K40" s="67"/>
      <c r="L40" s="77"/>
      <c r="M40" s="68"/>
      <c r="N40" s="77"/>
    </row>
    <row r="41" spans="2:16" ht="15.75">
      <c r="B41" s="86" t="s">
        <v>824</v>
      </c>
      <c r="C41" s="87" t="s">
        <v>390</v>
      </c>
      <c r="D41" s="88" t="s">
        <v>861</v>
      </c>
      <c r="E41" s="96">
        <f>Allocation!J596*12</f>
        <v>69</v>
      </c>
      <c r="F41" s="97">
        <f>+$E$41</f>
        <v>69</v>
      </c>
      <c r="G41" s="97">
        <f>+$E$41</f>
        <v>69</v>
      </c>
      <c r="H41" s="98">
        <f>G41</f>
        <v>69</v>
      </c>
      <c r="I41" s="96">
        <f>Allocation!J585</f>
        <v>398823.67877300608</v>
      </c>
      <c r="J41" s="98">
        <f>Allocation!J580</f>
        <v>398823.67877300608</v>
      </c>
      <c r="K41" s="97">
        <f>Allocation!J580</f>
        <v>398823.67877300608</v>
      </c>
      <c r="L41" s="99">
        <f>Allocation!J585</f>
        <v>398823.67877300608</v>
      </c>
      <c r="M41" s="97">
        <f>Allocation!J585</f>
        <v>398823.67877300608</v>
      </c>
      <c r="N41" s="77"/>
    </row>
    <row r="42" spans="2:16" ht="16.5" thickBot="1">
      <c r="B42" s="76"/>
      <c r="C42" s="87"/>
      <c r="D42" s="88"/>
      <c r="E42" s="76"/>
      <c r="F42" s="67"/>
      <c r="G42" s="67"/>
      <c r="H42" s="68"/>
      <c r="I42" s="69"/>
      <c r="J42" s="70"/>
      <c r="K42" s="76"/>
      <c r="L42" s="77"/>
      <c r="M42" s="68"/>
      <c r="N42" s="77"/>
    </row>
    <row r="43" spans="2:16" ht="16.5" thickBot="1">
      <c r="B43" s="107" t="s">
        <v>827</v>
      </c>
      <c r="C43" s="108" t="s">
        <v>869</v>
      </c>
      <c r="D43" s="109" t="s">
        <v>825</v>
      </c>
      <c r="E43" s="110" t="str">
        <f>CONCATENATE(TEXT(E39/E41,"$0.00"),"/Cust/Mo")</f>
        <v>$9.44/Cust/Mo</v>
      </c>
      <c r="F43" s="111" t="str">
        <f>CONCATENATE(TEXT(F39/F41,"$0.00"),"/Cust/Mo")</f>
        <v>$2.72/Cust/Mo</v>
      </c>
      <c r="G43" s="111" t="str">
        <f>CONCATENATE(TEXT(G39/G41,"$0.00"),"/Cust/Mo")</f>
        <v>$1750.21/Cust/Mo</v>
      </c>
      <c r="H43" s="112" t="str">
        <f>CONCATENATE(TEXT(H39/H41,"$0.00"),"/Cust/Mo")</f>
        <v>$1762.37/Cust/Mo</v>
      </c>
      <c r="I43" s="113" t="str">
        <f>CONCATENATE(TEXT(I39/I41,"$0.0000"),"/Mcf")</f>
        <v>$0.0000/Mcf</v>
      </c>
      <c r="J43" s="113" t="str">
        <f>CONCATENATE(TEXT(J39/J41,"$0.0000"),"/Mcf")</f>
        <v>$0.0000/Mcf</v>
      </c>
      <c r="K43" s="113" t="str">
        <f>CONCATENATE(TEXT(K39/K41,"$0.0000"),"/Mcf")</f>
        <v>$0.0262/Mcf</v>
      </c>
      <c r="L43" s="113" t="str">
        <f>CONCATENATE(TEXT(L39/L41,"$0.0000"),"/Mcf")</f>
        <v>$0.0000/Mcf</v>
      </c>
      <c r="M43" s="113" t="str">
        <f>CONCATENATE(TEXT(M39/M41,"$0.0000"),"/Mcf")</f>
        <v>$0.5967/Mcf</v>
      </c>
      <c r="N43" s="114"/>
    </row>
    <row r="44" spans="2:16" ht="15.7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2:16" ht="15.75">
      <c r="B45" s="63" t="s">
        <v>871</v>
      </c>
      <c r="C45" s="63"/>
      <c r="D45" s="63"/>
      <c r="E45" s="63"/>
      <c r="F45" s="63"/>
      <c r="G45" s="63"/>
      <c r="H45" s="63"/>
      <c r="I45" s="196">
        <f>SUM(H39,I39,L39,M39)</f>
        <v>359598.89407833596</v>
      </c>
      <c r="J45" s="63"/>
      <c r="K45" s="63"/>
      <c r="L45" s="63"/>
      <c r="M45" s="115"/>
      <c r="N45" s="63"/>
    </row>
    <row r="46" spans="2:16">
      <c r="M46" s="56"/>
      <c r="N46" s="53"/>
    </row>
    <row r="47" spans="2:16">
      <c r="H47" s="197"/>
      <c r="I47" s="200"/>
      <c r="K47" s="53"/>
      <c r="M47" s="197" t="s">
        <v>877</v>
      </c>
      <c r="N47" s="199">
        <f>N39/H41</f>
        <v>5363.1055076609127</v>
      </c>
    </row>
    <row r="48" spans="2:16">
      <c r="M48" s="56"/>
    </row>
    <row r="49" spans="9:13">
      <c r="M49" s="56"/>
    </row>
    <row r="50" spans="9:13">
      <c r="M50" s="56"/>
    </row>
    <row r="51" spans="9:13">
      <c r="M51" s="56"/>
    </row>
    <row r="52" spans="9:13">
      <c r="M52" s="56"/>
    </row>
    <row r="53" spans="9:13">
      <c r="M53" s="56"/>
    </row>
    <row r="54" spans="9:13">
      <c r="M54" s="56"/>
    </row>
    <row r="55" spans="9:13">
      <c r="M55" s="56"/>
    </row>
    <row r="56" spans="9:13">
      <c r="M56" s="56"/>
    </row>
    <row r="57" spans="9:13">
      <c r="M57" s="56"/>
    </row>
    <row r="58" spans="9:13">
      <c r="M58" s="56"/>
    </row>
    <row r="59" spans="9:13">
      <c r="M59" s="56"/>
    </row>
    <row r="60" spans="9:13">
      <c r="M60" s="56"/>
    </row>
    <row r="61" spans="9:13">
      <c r="M61" s="56"/>
    </row>
    <row r="62" spans="9:13">
      <c r="M62" s="56"/>
    </row>
    <row r="63" spans="9:13">
      <c r="M63" s="56"/>
    </row>
    <row r="64" spans="9:13">
      <c r="I64" s="57"/>
      <c r="J64" s="51"/>
      <c r="K64" s="51"/>
    </row>
    <row r="65" spans="9:11">
      <c r="I65" s="51"/>
      <c r="J65" s="51"/>
      <c r="K65" s="58"/>
    </row>
    <row r="66" spans="9:11">
      <c r="I66" s="51"/>
      <c r="J66" s="51"/>
      <c r="K66" s="59"/>
    </row>
    <row r="67" spans="9:11">
      <c r="I67" s="51"/>
      <c r="J67" s="51"/>
      <c r="K67" s="59"/>
    </row>
    <row r="68" spans="9:11">
      <c r="I68" s="51"/>
      <c r="J68" s="51"/>
      <c r="K68" s="60"/>
    </row>
    <row r="69" spans="9:11">
      <c r="I69" s="51"/>
      <c r="J69" s="51"/>
      <c r="K69" s="61"/>
    </row>
    <row r="70" spans="9:11">
      <c r="I70" s="51"/>
      <c r="J70" s="51"/>
      <c r="K70" s="62"/>
    </row>
    <row r="71" spans="9:11">
      <c r="I71" s="51"/>
      <c r="J71" s="51"/>
      <c r="K71" s="51"/>
    </row>
    <row r="72" spans="9:11">
      <c r="I72" s="51"/>
      <c r="J72" s="51"/>
      <c r="K72" s="51"/>
    </row>
    <row r="73" spans="9:11">
      <c r="I73" s="51"/>
      <c r="J73" s="51"/>
      <c r="K73" s="59"/>
    </row>
  </sheetData>
  <mergeCells count="5">
    <mergeCell ref="B1:N1"/>
    <mergeCell ref="B3:N3"/>
    <mergeCell ref="B4:N4"/>
    <mergeCell ref="B6:N6"/>
    <mergeCell ref="E10:H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E33" sqref="E33"/>
    </sheetView>
  </sheetViews>
  <sheetFormatPr defaultRowHeight="12.75"/>
  <cols>
    <col min="1" max="1" width="24.42578125" customWidth="1"/>
    <col min="2" max="2" width="8.28515625" customWidth="1"/>
    <col min="3" max="3" width="19.7109375" customWidth="1"/>
    <col min="4" max="4" width="19.85546875" customWidth="1"/>
    <col min="5" max="5" width="18.85546875" customWidth="1"/>
  </cols>
  <sheetData>
    <row r="1" spans="1:5">
      <c r="A1" s="1" t="s">
        <v>764</v>
      </c>
    </row>
    <row r="2" spans="1:5">
      <c r="A2" t="s">
        <v>763</v>
      </c>
    </row>
    <row r="4" spans="1:5">
      <c r="C4" s="29" t="s">
        <v>830</v>
      </c>
      <c r="D4" s="29" t="s">
        <v>830</v>
      </c>
    </row>
    <row r="5" spans="1:5">
      <c r="C5" s="2" t="s">
        <v>831</v>
      </c>
      <c r="D5" s="29" t="s">
        <v>832</v>
      </c>
      <c r="E5" s="2"/>
    </row>
    <row r="6" spans="1:5">
      <c r="C6" s="2" t="s">
        <v>761</v>
      </c>
      <c r="D6" s="29" t="s">
        <v>761</v>
      </c>
      <c r="E6" s="29" t="s">
        <v>14</v>
      </c>
    </row>
    <row r="9" spans="1:5">
      <c r="A9" t="s">
        <v>248</v>
      </c>
      <c r="C9" s="4">
        <f>SUM(Allocation!G67:I67)</f>
        <v>36793564.094009817</v>
      </c>
      <c r="D9" s="4">
        <f>SUM(Allocation!G62:I62)</f>
        <v>132538169.08066589</v>
      </c>
      <c r="E9" s="6">
        <f>C9+D9</f>
        <v>169331733.1746757</v>
      </c>
    </row>
    <row r="10" spans="1:5">
      <c r="A10" t="s">
        <v>762</v>
      </c>
      <c r="B10" s="34">
        <f>Allocation!K527</f>
        <v>0.24540452586601927</v>
      </c>
      <c r="C10" s="4">
        <f>C9*B10</f>
        <v>9029307.15141147</v>
      </c>
      <c r="D10" s="4">
        <f>D9*B10</f>
        <v>32525466.542391106</v>
      </c>
      <c r="E10" s="6">
        <f t="shared" ref="E10:E16" si="0">C10+D10</f>
        <v>41554773.69380258</v>
      </c>
    </row>
    <row r="11" spans="1:5">
      <c r="A11" t="s">
        <v>684</v>
      </c>
      <c r="C11" s="4">
        <f>SUM(Allocation!G114:I114)</f>
        <v>3945538.2871271288</v>
      </c>
      <c r="D11" s="4">
        <f>SUM(Allocation!G109:I109)</f>
        <v>5677840.487265856</v>
      </c>
      <c r="E11" s="6">
        <f t="shared" si="0"/>
        <v>9623378.7743929848</v>
      </c>
    </row>
    <row r="12" spans="1:5">
      <c r="A12" t="s">
        <v>757</v>
      </c>
      <c r="C12" s="4">
        <f>SUM(Allocation!G207:I207)</f>
        <v>853348.58437127597</v>
      </c>
      <c r="D12" s="4">
        <f>SUM(Allocation!G202:I202)</f>
        <v>4167849.8657019786</v>
      </c>
      <c r="E12" s="6">
        <f t="shared" si="0"/>
        <v>5021198.4500732543</v>
      </c>
    </row>
    <row r="13" spans="1:5">
      <c r="A13" t="s">
        <v>758</v>
      </c>
      <c r="C13" s="4">
        <f>SUM(Allocation!G384:I384)</f>
        <v>488807.02720287006</v>
      </c>
      <c r="D13" s="4">
        <f>SUM(Allocation!G379:I379)</f>
        <v>1406309.2304456751</v>
      </c>
      <c r="E13" s="6">
        <f t="shared" si="0"/>
        <v>1895116.2576485451</v>
      </c>
    </row>
    <row r="14" spans="1:5">
      <c r="A14" t="s">
        <v>759</v>
      </c>
      <c r="C14" s="4">
        <f>SUM(Allocation!G296:I296)</f>
        <v>0</v>
      </c>
      <c r="D14" s="4">
        <f>SUM(Allocation!G291:I291)</f>
        <v>0</v>
      </c>
      <c r="E14" s="6">
        <f t="shared" si="0"/>
        <v>0</v>
      </c>
    </row>
    <row r="15" spans="1:5">
      <c r="A15" t="s">
        <v>737</v>
      </c>
      <c r="C15" s="4">
        <f>SUM(Allocation!G252:I252)</f>
        <v>0</v>
      </c>
      <c r="D15" s="4">
        <f>SUM(Allocation!G247:I247)</f>
        <v>0</v>
      </c>
      <c r="E15" s="6">
        <f t="shared" si="0"/>
        <v>0</v>
      </c>
    </row>
    <row r="16" spans="1:5">
      <c r="A16" t="s">
        <v>300</v>
      </c>
      <c r="B16" s="7">
        <f>(Allocation!L519+Allocation!L564)/Allocation!L568</f>
        <v>0.66355518537095404</v>
      </c>
      <c r="C16" s="4">
        <f>$B$16*C10</f>
        <v>5991443.5806261189</v>
      </c>
      <c r="D16" s="4">
        <f>$B$16*D10</f>
        <v>21582441.980813093</v>
      </c>
      <c r="E16" s="6">
        <f t="shared" si="0"/>
        <v>27573885.561439212</v>
      </c>
    </row>
    <row r="18" spans="1:5">
      <c r="A18" t="s">
        <v>14</v>
      </c>
      <c r="C18" s="6">
        <f>SUM(C10:C17)</f>
        <v>20308444.630738866</v>
      </c>
      <c r="D18" s="6">
        <f>SUM(D10:D17)</f>
        <v>65359908.106617711</v>
      </c>
      <c r="E18" s="6">
        <f>SUM(E10:E17)</f>
        <v>85668352.737356573</v>
      </c>
    </row>
    <row r="20" spans="1:5">
      <c r="A20" t="s">
        <v>760</v>
      </c>
      <c r="E20" s="26">
        <f>Allocation!G588+Allocation!H588+Allocation!I588</f>
        <v>478956.44705298572</v>
      </c>
    </row>
    <row r="22" spans="1:5">
      <c r="A22" t="s">
        <v>768</v>
      </c>
      <c r="E22" s="24">
        <f>E18/E20</f>
        <v>178.86459878444711</v>
      </c>
    </row>
    <row r="24" spans="1:5">
      <c r="A24" t="s">
        <v>769</v>
      </c>
      <c r="E24" s="24">
        <f>E22/12</f>
        <v>14.905383232037259</v>
      </c>
    </row>
    <row r="26" spans="1:5">
      <c r="A26" t="s">
        <v>770</v>
      </c>
      <c r="E26" s="23">
        <f>E22/365</f>
        <v>0.49003999666971809</v>
      </c>
    </row>
    <row r="30" spans="1:5">
      <c r="A30" s="201" t="s">
        <v>833</v>
      </c>
      <c r="B30" s="202"/>
      <c r="C30" s="202"/>
    </row>
  </sheetData>
  <phoneticPr fontId="13" type="noConversion"/>
  <pageMargins left="0.75" right="0.75" top="1" bottom="1" header="0.5" footer="0.5"/>
  <pageSetup orientation="portrait" horizontalDpi="200" verticalDpi="200" r:id="rId1"/>
  <headerFooter alignWithMargins="0">
    <oddFooter>&amp;R&amp;12Seelye Exhibit 8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Functional Assignment</vt:lpstr>
      <vt:lpstr>Allocation</vt:lpstr>
      <vt:lpstr>Summary of Returns</vt:lpstr>
      <vt:lpstr>RGS Unit Cost</vt:lpstr>
      <vt:lpstr>CGS Unit Cost</vt:lpstr>
      <vt:lpstr>IGS Unit Cost</vt:lpstr>
      <vt:lpstr>AAGS Unit Cost</vt:lpstr>
      <vt:lpstr>Daily Utilization Charge</vt:lpstr>
      <vt:lpstr>Allocation!Print_Area</vt:lpstr>
      <vt:lpstr>'Functional Assignment'!Print_Area</vt:lpstr>
      <vt:lpstr>'RGS Unit Cost'!Print_Area</vt:lpstr>
      <vt:lpstr>Allocation!Print_Titles</vt:lpstr>
      <vt:lpstr>'Functional Assignment'!Print_Titles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Seelye</dc:creator>
  <cp:lastModifiedBy>John W</cp:lastModifiedBy>
  <cp:lastPrinted>2014-11-14T21:01:43Z</cp:lastPrinted>
  <dcterms:created xsi:type="dcterms:W3CDTF">1999-05-09T14:55:12Z</dcterms:created>
  <dcterms:modified xsi:type="dcterms:W3CDTF">2015-01-21T19:34:39Z</dcterms:modified>
</cp:coreProperties>
</file>