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210" windowWidth="21780" windowHeight="8070" tabRatio="772"/>
  </bookViews>
  <sheets>
    <sheet name="INPUT" sheetId="5" r:id="rId1"/>
    <sheet name="Rate Case Constants" sheetId="39" r:id="rId2"/>
    <sheet name="SCHEDULES===&gt;" sheetId="40" r:id="rId3"/>
    <sheet name="Rate RS-VFD" sheetId="4" r:id="rId4"/>
    <sheet name="Rate RTOD Energy" sheetId="33" r:id="rId5"/>
    <sheet name="Rate RTOD Demand" sheetId="32" r:id="rId6"/>
    <sheet name="Rate GS Single Phase" sheetId="27" r:id="rId7"/>
    <sheet name="Rate GS Three Phase" sheetId="41" r:id="rId8"/>
    <sheet name="Rate PS Secondary" sheetId="15" r:id="rId9"/>
    <sheet name="Rate PS Primary" sheetId="24" r:id="rId10"/>
    <sheet name="Rate TOD Secondary" sheetId="25" r:id="rId11"/>
    <sheet name="Rate CTOD Primary" sheetId="37" r:id="rId12"/>
    <sheet name="Rate ITOD Primary" sheetId="19" r:id="rId13"/>
    <sheet name="Rate RTS" sheetId="26" r:id="rId14"/>
    <sheet name="Rate FLS Transmission" sheetId="42" r:id="rId15"/>
    <sheet name="Rate FLS Primary" sheetId="31" r:id="rId16"/>
    <sheet name="Rate LS-RLS" sheetId="2" r:id="rId17"/>
    <sheet name="Rate LE" sheetId="35" r:id="rId18"/>
    <sheet name="Rate TE" sheetId="34" r:id="rId19"/>
    <sheet name="Rate CTAC" sheetId="36" r:id="rId20"/>
  </sheets>
  <definedNames>
    <definedName name="_xlnm._FilterDatabase" localSheetId="0" hidden="1">INPUT!$U$2:$U$82</definedName>
    <definedName name="_xlnm._FilterDatabase" localSheetId="16" hidden="1">'Rate LS-RLS'!$N$19:$R$217</definedName>
    <definedName name="_xlnm.Print_Area" localSheetId="0">INPUT!$A$22:$P$61</definedName>
    <definedName name="_xlnm.Print_Area" localSheetId="19">'Rate CTAC'!$A$1:$H$39</definedName>
    <definedName name="_xlnm.Print_Area" localSheetId="11">'Rate CTOD Primary'!$A$1:$P$44</definedName>
    <definedName name="_xlnm.Print_Area" localSheetId="15">'Rate FLS Primary'!$A$1:$P$45</definedName>
    <definedName name="_xlnm.Print_Area" localSheetId="14">'Rate FLS Transmission'!$A$1:$P$45</definedName>
    <definedName name="_xlnm.Print_Area" localSheetId="6">'Rate GS Single Phase'!$A$1:$L$41</definedName>
    <definedName name="_xlnm.Print_Area" localSheetId="7">'Rate GS Three Phase'!$A$1:$L$41</definedName>
    <definedName name="_xlnm.Print_Area" localSheetId="12">'Rate ITOD Primary'!$A$1:$P$44</definedName>
    <definedName name="_xlnm.Print_Area" localSheetId="17">'Rate LE'!$A$1:$K$41</definedName>
    <definedName name="_xlnm.Print_Area" localSheetId="16">'Rate LS-RLS'!$A$1:$K$221</definedName>
    <definedName name="_xlnm.Print_Area" localSheetId="9">'Rate PS Primary'!$A$1:$P$44</definedName>
    <definedName name="_xlnm.Print_Area" localSheetId="8">'Rate PS Secondary'!$A$1:$P$44</definedName>
    <definedName name="_xlnm.Print_Area" localSheetId="3">'Rate RS-VFD'!$A$1:$L$40</definedName>
    <definedName name="_xlnm.Print_Area" localSheetId="5">'Rate RTOD Demand'!$A$1:$P$44</definedName>
    <definedName name="_xlnm.Print_Area" localSheetId="4">'Rate RTOD Energy'!$A$1:$L$42</definedName>
    <definedName name="_xlnm.Print_Area" localSheetId="13">'Rate RTS'!$A$1:$P$45</definedName>
    <definedName name="_xlnm.Print_Area" localSheetId="18">'Rate TE'!$A$1:$K$41</definedName>
    <definedName name="_xlnm.Print_Area" localSheetId="10">'Rate TOD Secondary'!$A$1:$P$44</definedName>
  </definedNames>
  <calcPr calcId="145621"/>
</workbook>
</file>

<file path=xl/calcChain.xml><?xml version="1.0" encoding="utf-8"?>
<calcChain xmlns="http://schemas.openxmlformats.org/spreadsheetml/2006/main">
  <c r="P8" i="31" l="1"/>
  <c r="J22" i="39"/>
  <c r="J23" i="39" s="1"/>
  <c r="J24" i="39" s="1"/>
  <c r="J25" i="39" s="1"/>
  <c r="J26" i="39" s="1"/>
  <c r="J27" i="39" s="1"/>
  <c r="J28" i="39" s="1"/>
  <c r="J29" i="39" s="1"/>
  <c r="J21" i="39"/>
  <c r="J20" i="39"/>
  <c r="AC20" i="31" l="1"/>
  <c r="S20" i="31"/>
  <c r="AG17" i="31"/>
  <c r="AF17" i="31"/>
  <c r="AE17" i="31"/>
  <c r="AD17" i="31"/>
  <c r="W17" i="31"/>
  <c r="V17" i="31"/>
  <c r="U17" i="31"/>
  <c r="T17" i="31"/>
  <c r="A45" i="42" l="1"/>
  <c r="A41" i="42"/>
  <c r="AC38" i="42"/>
  <c r="E38" i="42"/>
  <c r="E37" i="42"/>
  <c r="E36" i="42"/>
  <c r="AC34" i="42"/>
  <c r="E34" i="42"/>
  <c r="AC33" i="42"/>
  <c r="E33" i="42"/>
  <c r="E32" i="42"/>
  <c r="W30" i="42"/>
  <c r="E30" i="42"/>
  <c r="AC29" i="42"/>
  <c r="E29" i="42"/>
  <c r="AC28" i="42"/>
  <c r="E28" i="42"/>
  <c r="W26" i="42"/>
  <c r="E26" i="42"/>
  <c r="E25" i="42"/>
  <c r="AC24" i="42"/>
  <c r="E24" i="42"/>
  <c r="AC22" i="42"/>
  <c r="E22" i="42"/>
  <c r="E21" i="42"/>
  <c r="AC20" i="42"/>
  <c r="S20" i="42"/>
  <c r="M20" i="42"/>
  <c r="E20" i="42"/>
  <c r="P18" i="42"/>
  <c r="O18" i="42"/>
  <c r="N18" i="42"/>
  <c r="J18" i="42"/>
  <c r="I18" i="42"/>
  <c r="AG17" i="42"/>
  <c r="AG36" i="42" s="1"/>
  <c r="AF17" i="42"/>
  <c r="AF36" i="42" s="1"/>
  <c r="AE17" i="42"/>
  <c r="AD17" i="42"/>
  <c r="W17" i="42"/>
  <c r="W33" i="42" s="1"/>
  <c r="V17" i="42"/>
  <c r="U17" i="42"/>
  <c r="T17" i="42"/>
  <c r="T12" i="42"/>
  <c r="M38" i="42" s="1"/>
  <c r="T11" i="42"/>
  <c r="L34" i="42" s="1"/>
  <c r="T10" i="42"/>
  <c r="P9" i="42"/>
  <c r="A9" i="42"/>
  <c r="A8" i="42"/>
  <c r="P7" i="42"/>
  <c r="A7" i="42"/>
  <c r="A4" i="42"/>
  <c r="A3" i="42"/>
  <c r="A2" i="42"/>
  <c r="A1" i="42"/>
  <c r="AF20" i="42" l="1"/>
  <c r="AF21" i="42"/>
  <c r="L26" i="42"/>
  <c r="L28" i="42"/>
  <c r="AF32" i="42"/>
  <c r="L37" i="42"/>
  <c r="L38" i="42"/>
  <c r="AG22" i="42"/>
  <c r="W28" i="42"/>
  <c r="L29" i="42"/>
  <c r="AF30" i="42"/>
  <c r="AG33" i="42"/>
  <c r="W37" i="42"/>
  <c r="W38" i="42"/>
  <c r="W20" i="42"/>
  <c r="L21" i="42"/>
  <c r="L22" i="42"/>
  <c r="W25" i="42"/>
  <c r="AF26" i="42"/>
  <c r="L32" i="42"/>
  <c r="L33" i="42"/>
  <c r="W36" i="42"/>
  <c r="AF37" i="42"/>
  <c r="W21" i="42"/>
  <c r="W22" i="42"/>
  <c r="L24" i="42"/>
  <c r="AF25" i="42"/>
  <c r="AG28" i="42"/>
  <c r="W32" i="42"/>
  <c r="AG38" i="42"/>
  <c r="T38" i="42"/>
  <c r="T33" i="42"/>
  <c r="T28" i="42"/>
  <c r="T22" i="42"/>
  <c r="T34" i="42"/>
  <c r="T29" i="42"/>
  <c r="T24" i="42"/>
  <c r="T36" i="42"/>
  <c r="T30" i="42"/>
  <c r="T25" i="42"/>
  <c r="T37" i="42"/>
  <c r="T32" i="42"/>
  <c r="T26" i="42"/>
  <c r="T21" i="42"/>
  <c r="AD36" i="42"/>
  <c r="AD30" i="42"/>
  <c r="AD25" i="42"/>
  <c r="AD20" i="42"/>
  <c r="AH20" i="42" s="1"/>
  <c r="AD34" i="42"/>
  <c r="AD29" i="42"/>
  <c r="AD24" i="42"/>
  <c r="AD38" i="42"/>
  <c r="AH38" i="42" s="1"/>
  <c r="AD37" i="42"/>
  <c r="AD33" i="42"/>
  <c r="AD32" i="42"/>
  <c r="AD28" i="42"/>
  <c r="AD26" i="42"/>
  <c r="AD22" i="42"/>
  <c r="AD21" i="42"/>
  <c r="K37" i="42"/>
  <c r="K32" i="42"/>
  <c r="K26" i="42"/>
  <c r="K21" i="42"/>
  <c r="K38" i="42"/>
  <c r="K33" i="42"/>
  <c r="K28" i="42"/>
  <c r="K34" i="42"/>
  <c r="K29" i="42"/>
  <c r="K24" i="42"/>
  <c r="K36" i="42"/>
  <c r="K30" i="42"/>
  <c r="K25" i="42"/>
  <c r="K20" i="42"/>
  <c r="U37" i="42"/>
  <c r="U32" i="42"/>
  <c r="U26" i="42"/>
  <c r="U21" i="42"/>
  <c r="U36" i="42"/>
  <c r="U30" i="42"/>
  <c r="U25" i="42"/>
  <c r="U38" i="42"/>
  <c r="U33" i="42"/>
  <c r="U28" i="42"/>
  <c r="U22" i="42"/>
  <c r="U20" i="42"/>
  <c r="U34" i="42"/>
  <c r="U29" i="42"/>
  <c r="U24" i="42"/>
  <c r="AE34" i="42"/>
  <c r="AE29" i="42"/>
  <c r="AE24" i="42"/>
  <c r="AE36" i="42"/>
  <c r="AE30" i="42"/>
  <c r="AE25" i="42"/>
  <c r="AE38" i="42"/>
  <c r="AE37" i="42"/>
  <c r="AE33" i="42"/>
  <c r="AE32" i="42"/>
  <c r="AE28" i="42"/>
  <c r="AE26" i="42"/>
  <c r="AE22" i="42"/>
  <c r="AH22" i="42" s="1"/>
  <c r="AE21" i="42"/>
  <c r="S34" i="42"/>
  <c r="S29" i="42"/>
  <c r="X29" i="42" s="1"/>
  <c r="G29" i="42" s="1"/>
  <c r="S24" i="42"/>
  <c r="X24" i="42" s="1"/>
  <c r="G24" i="42" s="1"/>
  <c r="S22" i="42"/>
  <c r="S36" i="42"/>
  <c r="S30" i="42"/>
  <c r="S25" i="42"/>
  <c r="S38" i="42"/>
  <c r="S37" i="42"/>
  <c r="S33" i="42"/>
  <c r="X33" i="42" s="1"/>
  <c r="G33" i="42" s="1"/>
  <c r="N33" i="42" s="1"/>
  <c r="S32" i="42"/>
  <c r="S28" i="42"/>
  <c r="S26" i="42"/>
  <c r="S21" i="42"/>
  <c r="T20" i="42"/>
  <c r="AE20" i="42"/>
  <c r="K22" i="42"/>
  <c r="L36" i="42"/>
  <c r="L30" i="42"/>
  <c r="L25" i="42"/>
  <c r="V36" i="42"/>
  <c r="V30" i="42"/>
  <c r="V25" i="42"/>
  <c r="AF38" i="42"/>
  <c r="AF33" i="42"/>
  <c r="AF28" i="42"/>
  <c r="AH28" i="42" s="1"/>
  <c r="AF22" i="42"/>
  <c r="AC37" i="42"/>
  <c r="AC32" i="42"/>
  <c r="AC26" i="42"/>
  <c r="AH26" i="42" s="1"/>
  <c r="AC21" i="42"/>
  <c r="AG20" i="42"/>
  <c r="M21" i="42"/>
  <c r="M22" i="42"/>
  <c r="V24" i="42"/>
  <c r="AF24" i="42"/>
  <c r="AG25" i="42"/>
  <c r="M26" i="42"/>
  <c r="M28" i="42"/>
  <c r="V29" i="42"/>
  <c r="AF29" i="42"/>
  <c r="AG30" i="42"/>
  <c r="M32" i="42"/>
  <c r="M33" i="42"/>
  <c r="V34" i="42"/>
  <c r="AF34" i="42"/>
  <c r="M37" i="42"/>
  <c r="M34" i="42"/>
  <c r="M29" i="42"/>
  <c r="M24" i="42"/>
  <c r="W34" i="42"/>
  <c r="W29" i="42"/>
  <c r="W24" i="42"/>
  <c r="AG37" i="42"/>
  <c r="AG32" i="42"/>
  <c r="AG26" i="42"/>
  <c r="AG21" i="42"/>
  <c r="L20" i="42"/>
  <c r="V20" i="42"/>
  <c r="V21" i="42"/>
  <c r="V22" i="42"/>
  <c r="AG24" i="42"/>
  <c r="AH24" i="42" s="1"/>
  <c r="M25" i="42"/>
  <c r="AC25" i="42"/>
  <c r="V26" i="42"/>
  <c r="V28" i="42"/>
  <c r="AG29" i="42"/>
  <c r="M30" i="42"/>
  <c r="AC30" i="42"/>
  <c r="V32" i="42"/>
  <c r="V33" i="42"/>
  <c r="AG34" i="42"/>
  <c r="M36" i="42"/>
  <c r="AC36" i="42"/>
  <c r="AH36" i="42" s="1"/>
  <c r="V37" i="42"/>
  <c r="V38" i="42"/>
  <c r="X21" i="42" l="1"/>
  <c r="G21" i="42" s="1"/>
  <c r="N21" i="42" s="1"/>
  <c r="X37" i="42"/>
  <c r="G37" i="42" s="1"/>
  <c r="AH21" i="42"/>
  <c r="H21" i="42" s="1"/>
  <c r="AH33" i="42"/>
  <c r="AM33" i="42" s="1"/>
  <c r="AH29" i="42"/>
  <c r="H29" i="42" s="1"/>
  <c r="AH34" i="42"/>
  <c r="AK33" i="42"/>
  <c r="H33" i="42"/>
  <c r="AK24" i="42"/>
  <c r="AM24" i="42"/>
  <c r="H24" i="42"/>
  <c r="AK22" i="42"/>
  <c r="H22" i="42"/>
  <c r="H34" i="42"/>
  <c r="AM29" i="42"/>
  <c r="H38" i="42"/>
  <c r="H20" i="42"/>
  <c r="AM20" i="42"/>
  <c r="X32" i="42"/>
  <c r="G32" i="42" s="1"/>
  <c r="N32" i="42" s="1"/>
  <c r="AH30" i="42"/>
  <c r="AM26" i="42"/>
  <c r="AK26" i="42"/>
  <c r="H26" i="42"/>
  <c r="X20" i="42"/>
  <c r="G20" i="42" s="1"/>
  <c r="N20" i="42" s="1"/>
  <c r="N29" i="42"/>
  <c r="AH25" i="42"/>
  <c r="AH32" i="42"/>
  <c r="X26" i="42"/>
  <c r="G26" i="42" s="1"/>
  <c r="N26" i="42" s="1"/>
  <c r="N37" i="42"/>
  <c r="X36" i="42"/>
  <c r="G36" i="42" s="1"/>
  <c r="N36" i="42" s="1"/>
  <c r="X34" i="42"/>
  <c r="G34" i="42" s="1"/>
  <c r="N34" i="42" s="1"/>
  <c r="AH37" i="42"/>
  <c r="X28" i="42"/>
  <c r="G28" i="42" s="1"/>
  <c r="N28" i="42" s="1"/>
  <c r="X38" i="42"/>
  <c r="G38" i="42" s="1"/>
  <c r="N38" i="42" s="1"/>
  <c r="X22" i="42"/>
  <c r="G22" i="42" s="1"/>
  <c r="N22" i="42" s="1"/>
  <c r="H36" i="42"/>
  <c r="H28" i="42"/>
  <c r="X25" i="42"/>
  <c r="G25" i="42" s="1"/>
  <c r="N25" i="42" s="1"/>
  <c r="N24" i="42"/>
  <c r="AK21" i="42"/>
  <c r="X30" i="42"/>
  <c r="G30" i="42" s="1"/>
  <c r="N30" i="42" s="1"/>
  <c r="AM21" i="42" l="1"/>
  <c r="AK36" i="42"/>
  <c r="AK29" i="42"/>
  <c r="AK38" i="42"/>
  <c r="O22" i="42"/>
  <c r="P22" i="42" s="1"/>
  <c r="I22" i="42"/>
  <c r="J22" i="42" s="1"/>
  <c r="O28" i="42"/>
  <c r="P28" i="42" s="1"/>
  <c r="I28" i="42"/>
  <c r="J28" i="42" s="1"/>
  <c r="AM36" i="42"/>
  <c r="O20" i="42"/>
  <c r="P20" i="42" s="1"/>
  <c r="I20" i="42"/>
  <c r="J20" i="42" s="1"/>
  <c r="I34" i="42"/>
  <c r="J34" i="42" s="1"/>
  <c r="O34" i="42"/>
  <c r="P34" i="42" s="1"/>
  <c r="AK28" i="42"/>
  <c r="I36" i="42"/>
  <c r="J36" i="42" s="1"/>
  <c r="O36" i="42"/>
  <c r="P36" i="42" s="1"/>
  <c r="AM37" i="42"/>
  <c r="AK37" i="42"/>
  <c r="H37" i="42"/>
  <c r="H30" i="42"/>
  <c r="AM30" i="42"/>
  <c r="AK30" i="42"/>
  <c r="AK20" i="42"/>
  <c r="I29" i="42"/>
  <c r="J29" i="42" s="1"/>
  <c r="O29" i="42"/>
  <c r="P29" i="42" s="1"/>
  <c r="AM34" i="42"/>
  <c r="AM22" i="42"/>
  <c r="O33" i="42"/>
  <c r="P33" i="42" s="1"/>
  <c r="I33" i="42"/>
  <c r="J33" i="42" s="1"/>
  <c r="O21" i="42"/>
  <c r="P21" i="42" s="1"/>
  <c r="I21" i="42"/>
  <c r="J21" i="42" s="1"/>
  <c r="H25" i="42"/>
  <c r="AM25" i="42"/>
  <c r="AK25" i="42"/>
  <c r="AM38" i="42"/>
  <c r="AM28" i="42"/>
  <c r="AM32" i="42"/>
  <c r="AK32" i="42"/>
  <c r="H32" i="42"/>
  <c r="O26" i="42"/>
  <c r="P26" i="42" s="1"/>
  <c r="I26" i="42"/>
  <c r="J26" i="42" s="1"/>
  <c r="O38" i="42"/>
  <c r="P38" i="42" s="1"/>
  <c r="I38" i="42"/>
  <c r="J38" i="42" s="1"/>
  <c r="AK34" i="42"/>
  <c r="I24" i="42"/>
  <c r="J24" i="42" s="1"/>
  <c r="O24" i="42"/>
  <c r="P24" i="42" s="1"/>
  <c r="I25" i="42" l="1"/>
  <c r="J25" i="42" s="1"/>
  <c r="O25" i="42"/>
  <c r="P25" i="42" s="1"/>
  <c r="I30" i="42"/>
  <c r="J30" i="42" s="1"/>
  <c r="O30" i="42"/>
  <c r="P30" i="42" s="1"/>
  <c r="O32" i="42"/>
  <c r="P32" i="42" s="1"/>
  <c r="I32" i="42"/>
  <c r="J32" i="42" s="1"/>
  <c r="O37" i="42"/>
  <c r="P37" i="42" s="1"/>
  <c r="I37" i="42"/>
  <c r="J37" i="42" s="1"/>
  <c r="R130" i="2" l="1"/>
  <c r="R129" i="2"/>
  <c r="R128" i="2"/>
  <c r="R127" i="2"/>
  <c r="R126" i="2"/>
  <c r="R125" i="2"/>
  <c r="R124" i="2"/>
  <c r="Q217" i="2"/>
  <c r="Q216" i="2"/>
  <c r="Q213" i="2"/>
  <c r="Q212" i="2"/>
  <c r="Q211" i="2"/>
  <c r="Q210" i="2"/>
  <c r="Q209" i="2"/>
  <c r="Q208" i="2"/>
  <c r="Q205" i="2"/>
  <c r="Q204" i="2"/>
  <c r="Q203" i="2"/>
  <c r="Q202" i="2"/>
  <c r="Q201" i="2"/>
  <c r="Q200" i="2"/>
  <c r="Q199" i="2"/>
  <c r="Q198" i="2"/>
  <c r="Q177" i="2"/>
  <c r="Q176" i="2"/>
  <c r="Q175" i="2"/>
  <c r="Q173" i="2"/>
  <c r="Q172" i="2"/>
  <c r="Q170" i="2"/>
  <c r="Q167" i="2"/>
  <c r="Q165" i="2"/>
  <c r="Q163" i="2"/>
  <c r="Q161" i="2"/>
  <c r="Q137" i="2"/>
  <c r="Q136" i="2"/>
  <c r="Q135" i="2"/>
  <c r="Q134" i="2"/>
  <c r="Q130" i="2"/>
  <c r="P130" i="2"/>
  <c r="Q129" i="2"/>
  <c r="P129" i="2"/>
  <c r="Q128" i="2"/>
  <c r="P128" i="2"/>
  <c r="Q127" i="2"/>
  <c r="P127" i="2"/>
  <c r="Q126" i="2"/>
  <c r="P126" i="2"/>
  <c r="Q125" i="2"/>
  <c r="P125" i="2"/>
  <c r="Q124" i="2"/>
  <c r="P124" i="2"/>
  <c r="B129" i="2" l="1"/>
  <c r="B127" i="2"/>
  <c r="A221" i="2"/>
  <c r="K197" i="2"/>
  <c r="J197" i="2"/>
  <c r="I197" i="2"/>
  <c r="F197" i="2"/>
  <c r="E197" i="2"/>
  <c r="A181" i="2"/>
  <c r="A141" i="2"/>
  <c r="K157" i="2"/>
  <c r="J157" i="2"/>
  <c r="I157" i="2"/>
  <c r="F157" i="2"/>
  <c r="E157" i="2"/>
  <c r="K120" i="2"/>
  <c r="J120" i="2"/>
  <c r="I120" i="2"/>
  <c r="F120" i="2"/>
  <c r="E120" i="2"/>
  <c r="A103" i="2"/>
  <c r="K90" i="2"/>
  <c r="J90" i="2"/>
  <c r="I90" i="2"/>
  <c r="F90" i="2"/>
  <c r="E90" i="2"/>
  <c r="A75" i="2"/>
  <c r="A34" i="2"/>
  <c r="K49" i="2"/>
  <c r="J49" i="2"/>
  <c r="I49" i="2"/>
  <c r="F49" i="2"/>
  <c r="E49" i="2"/>
  <c r="A41" i="34" l="1"/>
  <c r="A41" i="35"/>
  <c r="A45" i="31"/>
  <c r="A45" i="26"/>
  <c r="A44" i="19"/>
  <c r="A44" i="37"/>
  <c r="A44" i="25"/>
  <c r="A44" i="24"/>
  <c r="A44" i="15"/>
  <c r="A41" i="41"/>
  <c r="A41" i="27"/>
  <c r="A44" i="32"/>
  <c r="A42" i="33"/>
  <c r="A40" i="4"/>
  <c r="X21" i="33" l="1"/>
  <c r="AB20" i="24" l="1"/>
  <c r="AB38" i="24" s="1"/>
  <c r="S20" i="24"/>
  <c r="AC20" i="25"/>
  <c r="S20" i="25"/>
  <c r="AB25" i="24" l="1"/>
  <c r="AB30" i="24"/>
  <c r="AB36" i="24"/>
  <c r="AB24" i="24"/>
  <c r="AB29" i="24"/>
  <c r="AB34" i="24"/>
  <c r="AB21" i="24"/>
  <c r="AB26" i="24"/>
  <c r="AB32" i="24"/>
  <c r="AB37" i="24"/>
  <c r="AB22" i="24"/>
  <c r="AB28" i="24"/>
  <c r="AB33" i="24"/>
  <c r="AC20" i="26"/>
  <c r="S20" i="26"/>
  <c r="R18" i="33" l="1"/>
  <c r="S18" i="33"/>
  <c r="T18" i="33"/>
  <c r="Q10" i="34" l="1"/>
  <c r="J61" i="5"/>
  <c r="J60" i="5"/>
  <c r="I61" i="5"/>
  <c r="Q11" i="34" s="1"/>
  <c r="H61" i="5"/>
  <c r="G61" i="5"/>
  <c r="I60" i="5"/>
  <c r="Q11" i="35" s="1"/>
  <c r="H60" i="5"/>
  <c r="G60" i="5"/>
  <c r="Q10" i="35" s="1"/>
  <c r="E48" i="5"/>
  <c r="L51" i="5" l="1"/>
  <c r="K51" i="5"/>
  <c r="R10" i="41" s="1"/>
  <c r="G33" i="41" s="1"/>
  <c r="W18" i="41"/>
  <c r="W25" i="41" s="1"/>
  <c r="V21" i="41"/>
  <c r="V35" i="41" s="1"/>
  <c r="Q21" i="41"/>
  <c r="Q23" i="41" s="1"/>
  <c r="R18" i="41"/>
  <c r="R35" i="41" s="1"/>
  <c r="A39" i="41"/>
  <c r="R23" i="41"/>
  <c r="L18" i="41"/>
  <c r="K18" i="41"/>
  <c r="J18" i="41"/>
  <c r="F18" i="41"/>
  <c r="E18" i="41"/>
  <c r="L9" i="41"/>
  <c r="A9" i="41"/>
  <c r="A8" i="41"/>
  <c r="L7" i="41"/>
  <c r="A7" i="41"/>
  <c r="A4" i="41"/>
  <c r="A3" i="41"/>
  <c r="A2" i="41"/>
  <c r="A1" i="41"/>
  <c r="R10" i="27" l="1"/>
  <c r="Q27" i="41"/>
  <c r="R11" i="27"/>
  <c r="R11" i="41"/>
  <c r="H29" i="41" s="1"/>
  <c r="Q33" i="41"/>
  <c r="R33" i="41"/>
  <c r="Q31" i="41"/>
  <c r="S23" i="41"/>
  <c r="C23" i="41" s="1"/>
  <c r="W33" i="41"/>
  <c r="W35" i="41"/>
  <c r="X35" i="41" s="1"/>
  <c r="D35" i="41" s="1"/>
  <c r="Q35" i="41"/>
  <c r="S35" i="41" s="1"/>
  <c r="C35" i="41" s="1"/>
  <c r="W27" i="41"/>
  <c r="G35" i="41"/>
  <c r="W23" i="41"/>
  <c r="W29" i="41"/>
  <c r="W21" i="41"/>
  <c r="X21" i="41" s="1"/>
  <c r="G21" i="41"/>
  <c r="G25" i="41"/>
  <c r="G29" i="41"/>
  <c r="W31" i="41"/>
  <c r="S33" i="41"/>
  <c r="C33" i="41" s="1"/>
  <c r="V25" i="41"/>
  <c r="X25" i="41" s="1"/>
  <c r="R27" i="41"/>
  <c r="V29" i="41"/>
  <c r="R31" i="41"/>
  <c r="V33" i="41"/>
  <c r="G23" i="41"/>
  <c r="Q25" i="41"/>
  <c r="G27" i="41"/>
  <c r="Q29" i="41"/>
  <c r="G31" i="41"/>
  <c r="R21" i="41"/>
  <c r="S21" i="41" s="1"/>
  <c r="C21" i="41" s="1"/>
  <c r="V23" i="41"/>
  <c r="R25" i="41"/>
  <c r="V27" i="41"/>
  <c r="R29" i="41"/>
  <c r="V31" i="41"/>
  <c r="H31" i="41" l="1"/>
  <c r="H23" i="41"/>
  <c r="H21" i="41"/>
  <c r="H27" i="41"/>
  <c r="S27" i="41"/>
  <c r="C27" i="41" s="1"/>
  <c r="H35" i="41"/>
  <c r="H33" i="41"/>
  <c r="H25" i="41"/>
  <c r="S31" i="41"/>
  <c r="C31" i="41" s="1"/>
  <c r="X27" i="41"/>
  <c r="X29" i="41"/>
  <c r="D29" i="41" s="1"/>
  <c r="E35" i="41"/>
  <c r="F35" i="41" s="1"/>
  <c r="X23" i="41"/>
  <c r="D23" i="41" s="1"/>
  <c r="X33" i="41"/>
  <c r="AE33" i="41" s="1"/>
  <c r="S29" i="41"/>
  <c r="C29" i="41" s="1"/>
  <c r="X31" i="41"/>
  <c r="S25" i="41"/>
  <c r="C25" i="41" s="1"/>
  <c r="AE21" i="41"/>
  <c r="D21" i="41"/>
  <c r="AC21" i="41"/>
  <c r="D25" i="41"/>
  <c r="AE23" i="41"/>
  <c r="AE31" i="41" l="1"/>
  <c r="AE27" i="41"/>
  <c r="AC27" i="41"/>
  <c r="D33" i="41"/>
  <c r="E33" i="41" s="1"/>
  <c r="F33" i="41" s="1"/>
  <c r="D27" i="41"/>
  <c r="E27" i="41" s="1"/>
  <c r="F27" i="41" s="1"/>
  <c r="AC23" i="41"/>
  <c r="AC33" i="41"/>
  <c r="AE29" i="41"/>
  <c r="AC29" i="41"/>
  <c r="AE25" i="41"/>
  <c r="AC31" i="41"/>
  <c r="D31" i="41"/>
  <c r="E31" i="41" s="1"/>
  <c r="F31" i="41" s="1"/>
  <c r="AC25" i="41"/>
  <c r="E21" i="41"/>
  <c r="F21" i="41" s="1"/>
  <c r="E23" i="41"/>
  <c r="F23" i="41" s="1"/>
  <c r="E29" i="41"/>
  <c r="F29" i="41" s="1"/>
  <c r="E25" i="41"/>
  <c r="F25" i="41" s="1"/>
  <c r="G92" i="5" l="1"/>
  <c r="D92" i="5"/>
  <c r="G91" i="5"/>
  <c r="D91" i="5"/>
  <c r="H91" i="5" s="1"/>
  <c r="J49" i="5"/>
  <c r="I49" i="5"/>
  <c r="R12" i="33" s="1"/>
  <c r="H49" i="5"/>
  <c r="R11" i="33" s="1"/>
  <c r="G49" i="5"/>
  <c r="R10" i="33" s="1"/>
  <c r="H92" i="5" l="1"/>
  <c r="A38" i="33"/>
  <c r="J15" i="2"/>
  <c r="I15" i="2"/>
  <c r="E38" i="31"/>
  <c r="E37" i="31"/>
  <c r="E36" i="31"/>
  <c r="E34" i="31"/>
  <c r="E33" i="31"/>
  <c r="E32" i="31"/>
  <c r="E30" i="31"/>
  <c r="E29" i="31"/>
  <c r="E28" i="31"/>
  <c r="E26" i="31"/>
  <c r="E25" i="31"/>
  <c r="E24" i="31"/>
  <c r="E22" i="31"/>
  <c r="E21" i="31"/>
  <c r="E20" i="31"/>
  <c r="E38" i="26"/>
  <c r="E37" i="26"/>
  <c r="E36" i="26"/>
  <c r="E34" i="26"/>
  <c r="E33" i="26"/>
  <c r="E32" i="26"/>
  <c r="E30" i="26"/>
  <c r="E29" i="26"/>
  <c r="E28" i="26"/>
  <c r="E26" i="26"/>
  <c r="E25" i="26"/>
  <c r="E24" i="26"/>
  <c r="E22" i="26"/>
  <c r="E21" i="26"/>
  <c r="E20" i="26"/>
  <c r="E38" i="19"/>
  <c r="E37" i="19"/>
  <c r="E32" i="19"/>
  <c r="E30" i="19"/>
  <c r="E26" i="19"/>
  <c r="E20" i="19"/>
  <c r="E21" i="37"/>
  <c r="E24" i="37"/>
  <c r="E30" i="25"/>
  <c r="E22" i="25"/>
  <c r="E34" i="24"/>
  <c r="E30" i="24"/>
  <c r="E24" i="32"/>
  <c r="A38" i="35"/>
  <c r="A41" i="26"/>
  <c r="A41" i="25"/>
  <c r="A41" i="24"/>
  <c r="A41" i="15"/>
  <c r="A39" i="27"/>
  <c r="A41" i="37"/>
  <c r="A41" i="19"/>
  <c r="J9" i="39" l="1"/>
  <c r="A38" i="34"/>
  <c r="A41" i="31"/>
  <c r="A41" i="32"/>
  <c r="A38" i="4"/>
  <c r="L18" i="4"/>
  <c r="J10" i="39" l="1"/>
  <c r="J11" i="39"/>
  <c r="K18" i="27"/>
  <c r="J18" i="27"/>
  <c r="K18" i="33"/>
  <c r="J18" i="33"/>
  <c r="F18" i="36"/>
  <c r="E18" i="36"/>
  <c r="K18" i="35"/>
  <c r="K18" i="34"/>
  <c r="K18" i="4"/>
  <c r="J18" i="4"/>
  <c r="L18" i="27"/>
  <c r="P18" i="32"/>
  <c r="L18" i="33"/>
  <c r="P18" i="15"/>
  <c r="P18" i="24"/>
  <c r="P18" i="25"/>
  <c r="P18" i="37"/>
  <c r="P18" i="19"/>
  <c r="P18" i="26"/>
  <c r="P18" i="31"/>
  <c r="J18" i="34"/>
  <c r="I18" i="34"/>
  <c r="F18" i="34"/>
  <c r="E18" i="34"/>
  <c r="J18" i="35"/>
  <c r="I18" i="35"/>
  <c r="F18" i="35"/>
  <c r="E18" i="35"/>
  <c r="K15" i="2"/>
  <c r="F15" i="2"/>
  <c r="E15" i="2"/>
  <c r="O18" i="31"/>
  <c r="N18" i="31"/>
  <c r="J18" i="31"/>
  <c r="I18" i="31"/>
  <c r="O18" i="26"/>
  <c r="N18" i="26"/>
  <c r="J18" i="26"/>
  <c r="I18" i="26"/>
  <c r="O18" i="19"/>
  <c r="N18" i="19"/>
  <c r="J18" i="19"/>
  <c r="I18" i="19"/>
  <c r="O18" i="37"/>
  <c r="N18" i="37"/>
  <c r="J18" i="37"/>
  <c r="I18" i="37"/>
  <c r="O18" i="24"/>
  <c r="N18" i="24"/>
  <c r="J18" i="24"/>
  <c r="I18" i="24"/>
  <c r="O18" i="15"/>
  <c r="N18" i="15"/>
  <c r="J18" i="15"/>
  <c r="I18" i="15"/>
  <c r="F18" i="27"/>
  <c r="E18" i="27"/>
  <c r="O18" i="32"/>
  <c r="N18" i="32"/>
  <c r="J18" i="32"/>
  <c r="I18" i="32"/>
  <c r="F18" i="33"/>
  <c r="E18" i="33"/>
  <c r="F18" i="4"/>
  <c r="E18" i="4"/>
  <c r="O18" i="25"/>
  <c r="N18" i="25"/>
  <c r="J18" i="25"/>
  <c r="I18" i="25"/>
  <c r="P9" i="15"/>
  <c r="P9" i="24"/>
  <c r="P9" i="25"/>
  <c r="P9" i="37"/>
  <c r="P9" i="19"/>
  <c r="P9" i="26"/>
  <c r="P9" i="31"/>
  <c r="P9" i="32"/>
  <c r="P7" i="15"/>
  <c r="P7" i="24"/>
  <c r="P7" i="25"/>
  <c r="P7" i="37"/>
  <c r="P7" i="19"/>
  <c r="P7" i="26"/>
  <c r="P7" i="31"/>
  <c r="P7" i="32"/>
  <c r="H9" i="36"/>
  <c r="H7" i="36"/>
  <c r="A9" i="36"/>
  <c r="A8" i="36"/>
  <c r="A7" i="36"/>
  <c r="A4" i="36"/>
  <c r="A3" i="36"/>
  <c r="A2" i="36"/>
  <c r="A1" i="36"/>
  <c r="K9" i="35"/>
  <c r="K9" i="34"/>
  <c r="K8" i="2"/>
  <c r="K150" i="2" s="1"/>
  <c r="K190" i="2" s="1"/>
  <c r="K7" i="35"/>
  <c r="K7" i="34"/>
  <c r="K6" i="2"/>
  <c r="K148" i="2" s="1"/>
  <c r="K188" i="2" s="1"/>
  <c r="A8" i="35"/>
  <c r="A8" i="34"/>
  <c r="A7" i="2"/>
  <c r="A149" i="2" s="1"/>
  <c r="A189" i="2" s="1"/>
  <c r="A9" i="35"/>
  <c r="A9" i="34"/>
  <c r="A8" i="2"/>
  <c r="A150" i="2" s="1"/>
  <c r="A190" i="2" s="1"/>
  <c r="A7" i="35"/>
  <c r="A7" i="34"/>
  <c r="A6" i="2"/>
  <c r="A148" i="2" s="1"/>
  <c r="A188" i="2" s="1"/>
  <c r="A4" i="35"/>
  <c r="A4" i="34"/>
  <c r="A4" i="2"/>
  <c r="A186" i="2" s="1"/>
  <c r="A3" i="35"/>
  <c r="A3" i="34"/>
  <c r="A3" i="2"/>
  <c r="A185" i="2" s="1"/>
  <c r="A2" i="35"/>
  <c r="A2" i="34"/>
  <c r="A2" i="2"/>
  <c r="A184" i="2" s="1"/>
  <c r="A1" i="35"/>
  <c r="A1" i="34"/>
  <c r="A1" i="2"/>
  <c r="A4" i="32"/>
  <c r="A2" i="32"/>
  <c r="A4" i="27"/>
  <c r="A3" i="27"/>
  <c r="A2" i="27"/>
  <c r="A1" i="27"/>
  <c r="A4" i="33"/>
  <c r="A3" i="33"/>
  <c r="A2" i="33"/>
  <c r="A1" i="33"/>
  <c r="A4" i="4"/>
  <c r="A2" i="4"/>
  <c r="A2" i="31"/>
  <c r="A2" i="26"/>
  <c r="A2" i="19"/>
  <c r="A2" i="37"/>
  <c r="A2" i="25"/>
  <c r="A2" i="24"/>
  <c r="A2" i="15"/>
  <c r="A1" i="32"/>
  <c r="A1" i="15"/>
  <c r="A1" i="24"/>
  <c r="A1" i="25"/>
  <c r="A1" i="37"/>
  <c r="A1" i="19"/>
  <c r="A1" i="26"/>
  <c r="A1" i="31"/>
  <c r="A1" i="4"/>
  <c r="L9" i="33"/>
  <c r="L9" i="27"/>
  <c r="L9" i="4"/>
  <c r="L7" i="33"/>
  <c r="L7" i="27"/>
  <c r="L7" i="4"/>
  <c r="A9" i="33"/>
  <c r="A9" i="32"/>
  <c r="A9" i="27"/>
  <c r="A9" i="15"/>
  <c r="A9" i="24"/>
  <c r="A9" i="25"/>
  <c r="A9" i="37"/>
  <c r="A9" i="19"/>
  <c r="A9" i="26"/>
  <c r="A9" i="31"/>
  <c r="A9" i="4"/>
  <c r="A8" i="33"/>
  <c r="A8" i="32"/>
  <c r="A8" i="27"/>
  <c r="A8" i="15"/>
  <c r="A8" i="24"/>
  <c r="A8" i="25"/>
  <c r="A8" i="37"/>
  <c r="A8" i="19"/>
  <c r="A8" i="26"/>
  <c r="A8" i="31"/>
  <c r="A8" i="4"/>
  <c r="A7" i="33"/>
  <c r="A7" i="32"/>
  <c r="A7" i="27"/>
  <c r="A7" i="15"/>
  <c r="A7" i="24"/>
  <c r="A7" i="25"/>
  <c r="A7" i="37"/>
  <c r="A7" i="19"/>
  <c r="A7" i="26"/>
  <c r="A7" i="31"/>
  <c r="A7" i="4"/>
  <c r="A3" i="32"/>
  <c r="A3" i="15"/>
  <c r="A3" i="24"/>
  <c r="A3" i="25"/>
  <c r="A3" i="37"/>
  <c r="A3" i="19"/>
  <c r="A3" i="26"/>
  <c r="A3" i="31"/>
  <c r="A3" i="4"/>
  <c r="A4" i="15"/>
  <c r="A4" i="24"/>
  <c r="A4" i="25"/>
  <c r="A4" i="37"/>
  <c r="A4" i="19"/>
  <c r="A4" i="26"/>
  <c r="A4" i="31"/>
  <c r="A183" i="2" l="1"/>
  <c r="A143" i="2"/>
  <c r="A144" i="2"/>
  <c r="A77" i="2"/>
  <c r="A146" i="2"/>
  <c r="A79" i="2"/>
  <c r="A76" i="2"/>
  <c r="A145" i="2"/>
  <c r="A78" i="2"/>
  <c r="K42" i="2"/>
  <c r="K83" i="2" s="1"/>
  <c r="K113" i="2"/>
  <c r="K40" i="2"/>
  <c r="K81" i="2" s="1"/>
  <c r="K111" i="2"/>
  <c r="A37" i="2"/>
  <c r="A108" i="2"/>
  <c r="A41" i="2"/>
  <c r="A82" i="2" s="1"/>
  <c r="A112" i="2"/>
  <c r="A36" i="2"/>
  <c r="A107" i="2"/>
  <c r="A42" i="2"/>
  <c r="A83" i="2" s="1"/>
  <c r="A113" i="2"/>
  <c r="A35" i="2"/>
  <c r="A106" i="2"/>
  <c r="A40" i="2"/>
  <c r="A81" i="2" s="1"/>
  <c r="A111" i="2"/>
  <c r="A38" i="2"/>
  <c r="A109" i="2"/>
  <c r="J12" i="39"/>
  <c r="T33" i="33"/>
  <c r="S33" i="33"/>
  <c r="R31" i="33"/>
  <c r="Y40" i="33"/>
  <c r="J13" i="39" l="1"/>
  <c r="R27" i="33"/>
  <c r="R29" i="33"/>
  <c r="R33" i="33"/>
  <c r="R21" i="33"/>
  <c r="S27" i="33"/>
  <c r="S35" i="33"/>
  <c r="R25" i="33"/>
  <c r="R35" i="33"/>
  <c r="T27" i="33"/>
  <c r="S21" i="33"/>
  <c r="S29" i="33"/>
  <c r="T21" i="33"/>
  <c r="T29" i="33"/>
  <c r="R23" i="33"/>
  <c r="S23" i="33"/>
  <c r="S31" i="33"/>
  <c r="T23" i="33"/>
  <c r="T31" i="33"/>
  <c r="T35" i="33"/>
  <c r="S25" i="33"/>
  <c r="T25" i="33"/>
  <c r="P134" i="2"/>
  <c r="G93" i="5"/>
  <c r="F95" i="5"/>
  <c r="C95" i="5"/>
  <c r="B95" i="5"/>
  <c r="E95" i="5"/>
  <c r="D93" i="5"/>
  <c r="G90" i="5"/>
  <c r="G89" i="5"/>
  <c r="G88" i="5"/>
  <c r="G87" i="5"/>
  <c r="G86" i="5"/>
  <c r="G85" i="5"/>
  <c r="G84" i="5"/>
  <c r="G83" i="5"/>
  <c r="G82" i="5"/>
  <c r="G81" i="5"/>
  <c r="G80" i="5"/>
  <c r="G79" i="5"/>
  <c r="D90" i="5"/>
  <c r="H90" i="5" s="1"/>
  <c r="D89" i="5"/>
  <c r="H89" i="5" s="1"/>
  <c r="D88" i="5"/>
  <c r="H88" i="5" s="1"/>
  <c r="D87" i="5"/>
  <c r="H87" i="5" s="1"/>
  <c r="D86" i="5"/>
  <c r="H86" i="5" s="1"/>
  <c r="D85" i="5"/>
  <c r="H85" i="5" s="1"/>
  <c r="D84" i="5"/>
  <c r="H84" i="5" s="1"/>
  <c r="D83" i="5"/>
  <c r="H83" i="5" s="1"/>
  <c r="D82" i="5"/>
  <c r="H82" i="5" s="1"/>
  <c r="D81" i="5"/>
  <c r="H81" i="5" s="1"/>
  <c r="D80" i="5"/>
  <c r="H80" i="5" s="1"/>
  <c r="D79" i="5"/>
  <c r="H79" i="5" s="1"/>
  <c r="G95" i="5" l="1"/>
  <c r="J14" i="39"/>
  <c r="H93" i="5"/>
  <c r="H95" i="5" s="1"/>
  <c r="D95" i="5"/>
  <c r="E70" i="5" s="1"/>
  <c r="W17" i="25"/>
  <c r="V17" i="25"/>
  <c r="U17" i="25"/>
  <c r="U18" i="24"/>
  <c r="U17" i="24"/>
  <c r="U18" i="15"/>
  <c r="U17" i="15"/>
  <c r="E62" i="5"/>
  <c r="J59" i="5"/>
  <c r="J15" i="39" l="1"/>
  <c r="E51" i="5"/>
  <c r="E52" i="5"/>
  <c r="E53" i="5"/>
  <c r="E54" i="5"/>
  <c r="E55" i="5"/>
  <c r="E56" i="5"/>
  <c r="E57" i="5"/>
  <c r="E58" i="5"/>
  <c r="E50" i="5"/>
  <c r="J62" i="5"/>
  <c r="I62" i="5"/>
  <c r="H62" i="5"/>
  <c r="G62" i="5"/>
  <c r="M52" i="5" l="1"/>
  <c r="M51" i="5"/>
  <c r="J16" i="39"/>
  <c r="J56" i="5"/>
  <c r="I56" i="5"/>
  <c r="T12" i="19" s="1"/>
  <c r="H56" i="5"/>
  <c r="T11" i="19" s="1"/>
  <c r="G56" i="5"/>
  <c r="T10" i="19" s="1"/>
  <c r="R211" i="2"/>
  <c r="B211" i="2" s="1"/>
  <c r="R175" i="2"/>
  <c r="B175" i="2" s="1"/>
  <c r="R172" i="2"/>
  <c r="B172" i="2" s="1"/>
  <c r="R170" i="2"/>
  <c r="B170" i="2" s="1"/>
  <c r="R167" i="2"/>
  <c r="B167" i="2" s="1"/>
  <c r="R165" i="2"/>
  <c r="B165" i="2" s="1"/>
  <c r="R163" i="2"/>
  <c r="B163" i="2" s="1"/>
  <c r="R161" i="2"/>
  <c r="B161" i="2" s="1"/>
  <c r="R92" i="2"/>
  <c r="B92" i="2" s="1"/>
  <c r="R67" i="2"/>
  <c r="B67" i="2" s="1"/>
  <c r="R57" i="2"/>
  <c r="B57" i="2" s="1"/>
  <c r="R54" i="2"/>
  <c r="P217" i="2"/>
  <c r="P216" i="2"/>
  <c r="P213" i="2"/>
  <c r="P212" i="2"/>
  <c r="P211" i="2"/>
  <c r="P210" i="2"/>
  <c r="P209" i="2"/>
  <c r="P208" i="2"/>
  <c r="P205" i="2"/>
  <c r="P204" i="2"/>
  <c r="P203" i="2"/>
  <c r="P202" i="2"/>
  <c r="P201" i="2"/>
  <c r="P200" i="2"/>
  <c r="P199" i="2"/>
  <c r="P198" i="2"/>
  <c r="P177" i="2"/>
  <c r="P176" i="2"/>
  <c r="P175" i="2"/>
  <c r="P173" i="2"/>
  <c r="P172" i="2"/>
  <c r="P170" i="2"/>
  <c r="P167" i="2"/>
  <c r="P165" i="2"/>
  <c r="P163" i="2"/>
  <c r="P161" i="2"/>
  <c r="P137" i="2"/>
  <c r="P136" i="2"/>
  <c r="P135" i="2"/>
  <c r="Q123" i="2"/>
  <c r="P123" i="2"/>
  <c r="Q97" i="2"/>
  <c r="P97" i="2"/>
  <c r="Q96" i="2"/>
  <c r="P96" i="2"/>
  <c r="Q95" i="2"/>
  <c r="P95" i="2"/>
  <c r="Q94" i="2"/>
  <c r="P94" i="2"/>
  <c r="Q93" i="2"/>
  <c r="P93" i="2"/>
  <c r="Q92" i="2"/>
  <c r="P92" i="2"/>
  <c r="P52" i="2"/>
  <c r="Q72" i="2"/>
  <c r="P72" i="2"/>
  <c r="Q71" i="2"/>
  <c r="P71" i="2"/>
  <c r="Q70" i="2"/>
  <c r="P70" i="2"/>
  <c r="Q69" i="2"/>
  <c r="P69" i="2"/>
  <c r="Q68" i="2"/>
  <c r="P68" i="2"/>
  <c r="Q67" i="2"/>
  <c r="P67" i="2"/>
  <c r="Q66" i="2"/>
  <c r="P66" i="2"/>
  <c r="Q65" i="2"/>
  <c r="P65" i="2"/>
  <c r="Q64" i="2"/>
  <c r="P64" i="2"/>
  <c r="Q63" i="2"/>
  <c r="P63" i="2"/>
  <c r="Q62" i="2"/>
  <c r="P62" i="2"/>
  <c r="Q61" i="2"/>
  <c r="P61" i="2"/>
  <c r="Q60" i="2"/>
  <c r="P60" i="2"/>
  <c r="Q59" i="2"/>
  <c r="P59" i="2"/>
  <c r="Q58" i="2"/>
  <c r="P58" i="2"/>
  <c r="Q56" i="2"/>
  <c r="P56" i="2"/>
  <c r="Q55" i="2"/>
  <c r="P55" i="2"/>
  <c r="Q53" i="2"/>
  <c r="P53" i="2"/>
  <c r="Q52" i="2"/>
  <c r="Q29" i="2"/>
  <c r="P29" i="2"/>
  <c r="Q28" i="2"/>
  <c r="P28" i="2"/>
  <c r="Q27" i="2"/>
  <c r="P27" i="2"/>
  <c r="Q24" i="2"/>
  <c r="P24" i="2"/>
  <c r="Q23" i="2"/>
  <c r="P23" i="2"/>
  <c r="Q22" i="2"/>
  <c r="P22" i="2"/>
  <c r="Q21" i="2"/>
  <c r="P21" i="2"/>
  <c r="Q20" i="2"/>
  <c r="P20" i="2"/>
  <c r="Q19" i="2"/>
  <c r="P19" i="2"/>
  <c r="R217" i="2"/>
  <c r="B217" i="2" s="1"/>
  <c r="R216" i="2"/>
  <c r="B216" i="2" s="1"/>
  <c r="R213" i="2"/>
  <c r="B213" i="2" s="1"/>
  <c r="R212" i="2"/>
  <c r="B212" i="2" s="1"/>
  <c r="R210" i="2"/>
  <c r="B210" i="2" s="1"/>
  <c r="R209" i="2"/>
  <c r="B209" i="2" s="1"/>
  <c r="R208" i="2"/>
  <c r="B208" i="2" s="1"/>
  <c r="R205" i="2"/>
  <c r="B205" i="2" s="1"/>
  <c r="R204" i="2"/>
  <c r="B204" i="2" s="1"/>
  <c r="R203" i="2"/>
  <c r="B203" i="2" s="1"/>
  <c r="R202" i="2"/>
  <c r="B202" i="2" s="1"/>
  <c r="R201" i="2"/>
  <c r="B201" i="2" s="1"/>
  <c r="R200" i="2"/>
  <c r="B200" i="2" s="1"/>
  <c r="R199" i="2"/>
  <c r="B199" i="2" s="1"/>
  <c r="R198" i="2"/>
  <c r="B198" i="2" s="1"/>
  <c r="R177" i="2"/>
  <c r="B177" i="2" s="1"/>
  <c r="R176" i="2"/>
  <c r="B176" i="2" s="1"/>
  <c r="R173" i="2"/>
  <c r="B173" i="2" s="1"/>
  <c r="R137" i="2"/>
  <c r="B137" i="2" s="1"/>
  <c r="R136" i="2"/>
  <c r="B136" i="2" s="1"/>
  <c r="R135" i="2"/>
  <c r="B135" i="2" s="1"/>
  <c r="R134" i="2"/>
  <c r="B134" i="2" s="1"/>
  <c r="B128" i="2"/>
  <c r="B126" i="2"/>
  <c r="B125" i="2"/>
  <c r="B124" i="2"/>
  <c r="R123" i="2"/>
  <c r="B123" i="2" s="1"/>
  <c r="R97" i="2"/>
  <c r="B97" i="2" s="1"/>
  <c r="R96" i="2"/>
  <c r="B96" i="2" s="1"/>
  <c r="R95" i="2"/>
  <c r="B95" i="2" s="1"/>
  <c r="R94" i="2"/>
  <c r="B94" i="2" s="1"/>
  <c r="R93" i="2"/>
  <c r="B93" i="2" s="1"/>
  <c r="R72" i="2"/>
  <c r="B72" i="2" s="1"/>
  <c r="R71" i="2"/>
  <c r="B71" i="2" s="1"/>
  <c r="R70" i="2"/>
  <c r="B70" i="2" s="1"/>
  <c r="R69" i="2"/>
  <c r="B69" i="2" s="1"/>
  <c r="R68" i="2"/>
  <c r="B68" i="2" s="1"/>
  <c r="R66" i="2"/>
  <c r="B66" i="2" s="1"/>
  <c r="R65" i="2"/>
  <c r="B65" i="2" s="1"/>
  <c r="R64" i="2"/>
  <c r="B64" i="2" s="1"/>
  <c r="R63" i="2"/>
  <c r="B63" i="2" s="1"/>
  <c r="R62" i="2"/>
  <c r="B62" i="2" s="1"/>
  <c r="R61" i="2"/>
  <c r="B61" i="2" s="1"/>
  <c r="R60" i="2"/>
  <c r="B60" i="2" s="1"/>
  <c r="R59" i="2"/>
  <c r="B59" i="2" s="1"/>
  <c r="R58" i="2"/>
  <c r="B58" i="2" s="1"/>
  <c r="R56" i="2"/>
  <c r="B56" i="2" s="1"/>
  <c r="R55" i="2"/>
  <c r="B55" i="2" s="1"/>
  <c r="R53" i="2"/>
  <c r="B53" i="2" s="1"/>
  <c r="R52" i="2"/>
  <c r="B52" i="2" s="1"/>
  <c r="R29" i="2"/>
  <c r="B29" i="2" s="1"/>
  <c r="R28" i="2"/>
  <c r="B28" i="2" s="1"/>
  <c r="R27" i="2"/>
  <c r="B27" i="2" s="1"/>
  <c r="R24" i="2"/>
  <c r="B24" i="2" s="1"/>
  <c r="R23" i="2"/>
  <c r="B23" i="2" s="1"/>
  <c r="R22" i="2"/>
  <c r="B22" i="2" s="1"/>
  <c r="R21" i="2"/>
  <c r="B21" i="2" s="1"/>
  <c r="R20" i="2"/>
  <c r="B20" i="2" s="1"/>
  <c r="R19" i="2"/>
  <c r="B19" i="2" s="1"/>
  <c r="W17" i="26"/>
  <c r="V17" i="26"/>
  <c r="U17" i="26"/>
  <c r="W17" i="37"/>
  <c r="V17" i="37"/>
  <c r="U17" i="37"/>
  <c r="U36" i="37" s="1"/>
  <c r="W17" i="19"/>
  <c r="V17" i="19"/>
  <c r="U17" i="19"/>
  <c r="AC20" i="19"/>
  <c r="S20" i="19"/>
  <c r="AG17" i="19"/>
  <c r="AF17" i="19"/>
  <c r="AE17" i="19"/>
  <c r="AD17" i="19"/>
  <c r="T17" i="19"/>
  <c r="E38" i="37"/>
  <c r="E37" i="37"/>
  <c r="E36" i="37"/>
  <c r="E34" i="37"/>
  <c r="E33" i="37"/>
  <c r="E32" i="37"/>
  <c r="E30" i="37"/>
  <c r="E29" i="37"/>
  <c r="E28" i="37"/>
  <c r="E26" i="37"/>
  <c r="E25" i="37"/>
  <c r="E22" i="37"/>
  <c r="AC20" i="37"/>
  <c r="AC25" i="37" s="1"/>
  <c r="S20" i="37"/>
  <c r="S38" i="37" s="1"/>
  <c r="E20" i="37"/>
  <c r="AG17" i="37"/>
  <c r="AG29" i="37" s="1"/>
  <c r="AF17" i="37"/>
  <c r="AF28" i="37" s="1"/>
  <c r="AE17" i="37"/>
  <c r="AD17" i="37"/>
  <c r="AD36" i="37" s="1"/>
  <c r="T17" i="37"/>
  <c r="D6" i="5"/>
  <c r="D4" i="5"/>
  <c r="C4" i="5"/>
  <c r="Q21" i="33" s="1"/>
  <c r="R12" i="27" l="1"/>
  <c r="R12" i="41"/>
  <c r="B130" i="2"/>
  <c r="B54" i="2"/>
  <c r="U33" i="37"/>
  <c r="L32" i="19"/>
  <c r="L26" i="19"/>
  <c r="L21" i="19"/>
  <c r="L34" i="19"/>
  <c r="L30" i="19"/>
  <c r="L25" i="19"/>
  <c r="L29" i="19"/>
  <c r="L24" i="19"/>
  <c r="L33" i="19"/>
  <c r="L28" i="19"/>
  <c r="L22" i="19"/>
  <c r="U29" i="37"/>
  <c r="J17" i="39"/>
  <c r="T20" i="37"/>
  <c r="AG36" i="37"/>
  <c r="U21" i="37"/>
  <c r="U20" i="37"/>
  <c r="U22" i="37"/>
  <c r="AF21" i="37"/>
  <c r="AC26" i="37"/>
  <c r="AG37" i="37"/>
  <c r="S32" i="37"/>
  <c r="S25" i="37"/>
  <c r="S28" i="37"/>
  <c r="S36" i="37"/>
  <c r="U38" i="37"/>
  <c r="S21" i="37"/>
  <c r="S22" i="37"/>
  <c r="U24" i="37"/>
  <c r="U25" i="37"/>
  <c r="S26" i="37"/>
  <c r="U28" i="37"/>
  <c r="S30" i="37"/>
  <c r="S33" i="37"/>
  <c r="U34" i="37"/>
  <c r="S37" i="37"/>
  <c r="AC34" i="37"/>
  <c r="AC24" i="37"/>
  <c r="AD25" i="37"/>
  <c r="AD32" i="37"/>
  <c r="AC21" i="37"/>
  <c r="AD33" i="37"/>
  <c r="AD30" i="37"/>
  <c r="AD22" i="37"/>
  <c r="AD21" i="37"/>
  <c r="AG21" i="37"/>
  <c r="AG25" i="37"/>
  <c r="AG26" i="37"/>
  <c r="V38" i="37"/>
  <c r="V33" i="37"/>
  <c r="V28" i="37"/>
  <c r="V22" i="37"/>
  <c r="V34" i="37"/>
  <c r="V24" i="37"/>
  <c r="V29" i="37"/>
  <c r="V37" i="37"/>
  <c r="V36" i="37"/>
  <c r="V26" i="37"/>
  <c r="V25" i="37"/>
  <c r="V20" i="37"/>
  <c r="V21" i="37"/>
  <c r="AE36" i="37"/>
  <c r="AE30" i="37"/>
  <c r="AE25" i="37"/>
  <c r="AE34" i="37"/>
  <c r="AE33" i="37"/>
  <c r="AE32" i="37"/>
  <c r="AE22" i="37"/>
  <c r="AE38" i="37"/>
  <c r="AE37" i="37"/>
  <c r="AE29" i="37"/>
  <c r="AE28" i="37"/>
  <c r="AE26" i="37"/>
  <c r="AE21" i="37"/>
  <c r="AE24" i="37"/>
  <c r="AE20" i="37"/>
  <c r="AD26" i="37"/>
  <c r="T26" i="37"/>
  <c r="T29" i="37"/>
  <c r="V32" i="37"/>
  <c r="AD37" i="37"/>
  <c r="W34" i="37"/>
  <c r="W29" i="37"/>
  <c r="W24" i="37"/>
  <c r="W33" i="37"/>
  <c r="W32" i="37"/>
  <c r="W30" i="37"/>
  <c r="W38" i="37"/>
  <c r="W37" i="37"/>
  <c r="W36" i="37"/>
  <c r="W28" i="37"/>
  <c r="W26" i="37"/>
  <c r="W25" i="37"/>
  <c r="W20" i="37"/>
  <c r="W21" i="37"/>
  <c r="W22" i="37"/>
  <c r="AF37" i="37"/>
  <c r="AF32" i="37"/>
  <c r="AF26" i="37"/>
  <c r="AF30" i="37"/>
  <c r="AF20" i="37"/>
  <c r="AF36" i="37"/>
  <c r="AF25" i="37"/>
  <c r="AF34" i="37"/>
  <c r="AF33" i="37"/>
  <c r="AF24" i="37"/>
  <c r="AF22" i="37"/>
  <c r="AF29" i="37"/>
  <c r="V30" i="37"/>
  <c r="AD38" i="37"/>
  <c r="AD28" i="37"/>
  <c r="T28" i="37"/>
  <c r="AF38" i="37"/>
  <c r="T36" i="37"/>
  <c r="T30" i="37"/>
  <c r="T25" i="37"/>
  <c r="AG38" i="37"/>
  <c r="AG33" i="37"/>
  <c r="AG28" i="37"/>
  <c r="AG22" i="37"/>
  <c r="AC38" i="37"/>
  <c r="AC33" i="37"/>
  <c r="AC28" i="37"/>
  <c r="AC22" i="37"/>
  <c r="AG20" i="37"/>
  <c r="AC29" i="37"/>
  <c r="AG30" i="37"/>
  <c r="AG32" i="37"/>
  <c r="U37" i="37"/>
  <c r="U32" i="37"/>
  <c r="U26" i="37"/>
  <c r="AD34" i="37"/>
  <c r="AD29" i="37"/>
  <c r="AD24" i="37"/>
  <c r="S34" i="37"/>
  <c r="S29" i="37"/>
  <c r="S24" i="37"/>
  <c r="AD20" i="37"/>
  <c r="T21" i="37"/>
  <c r="T22" i="37"/>
  <c r="T24" i="37"/>
  <c r="AG24" i="37"/>
  <c r="U30" i="37"/>
  <c r="AC30" i="37"/>
  <c r="T32" i="37"/>
  <c r="AC32" i="37"/>
  <c r="T33" i="37"/>
  <c r="T34" i="37"/>
  <c r="AG34" i="37"/>
  <c r="AC36" i="37"/>
  <c r="T37" i="37"/>
  <c r="AC37" i="37"/>
  <c r="T38" i="37"/>
  <c r="I33" i="41" l="1"/>
  <c r="I35" i="41"/>
  <c r="I31" i="41"/>
  <c r="I25" i="41"/>
  <c r="I23" i="41"/>
  <c r="I21" i="41"/>
  <c r="I27" i="41"/>
  <c r="I29" i="41"/>
  <c r="J18" i="39"/>
  <c r="AH33" i="37"/>
  <c r="X22" i="37"/>
  <c r="G22" i="37" s="1"/>
  <c r="X33" i="37"/>
  <c r="G33" i="37" s="1"/>
  <c r="AH34" i="37"/>
  <c r="H34" i="37" s="1"/>
  <c r="AH32" i="37"/>
  <c r="H32" i="37" s="1"/>
  <c r="X25" i="37"/>
  <c r="G25" i="37" s="1"/>
  <c r="AH37" i="37"/>
  <c r="H37" i="37" s="1"/>
  <c r="AH24" i="37"/>
  <c r="H24" i="37" s="1"/>
  <c r="AH21" i="37"/>
  <c r="H21" i="37" s="1"/>
  <c r="X28" i="37"/>
  <c r="G28" i="37" s="1"/>
  <c r="X32" i="37"/>
  <c r="G32" i="37" s="1"/>
  <c r="AH20" i="37"/>
  <c r="H20" i="37" s="1"/>
  <c r="AH25" i="37"/>
  <c r="H25" i="37" s="1"/>
  <c r="X20" i="37"/>
  <c r="G20" i="37" s="1"/>
  <c r="X30" i="37"/>
  <c r="G30" i="37" s="1"/>
  <c r="X36" i="37"/>
  <c r="G36" i="37" s="1"/>
  <c r="X21" i="37"/>
  <c r="G21" i="37" s="1"/>
  <c r="X26" i="37"/>
  <c r="G26" i="37" s="1"/>
  <c r="X38" i="37"/>
  <c r="G38" i="37" s="1"/>
  <c r="X24" i="37"/>
  <c r="G24" i="37" s="1"/>
  <c r="X37" i="37"/>
  <c r="G37" i="37" s="1"/>
  <c r="AH38" i="37"/>
  <c r="AH36" i="37"/>
  <c r="AH30" i="37"/>
  <c r="X34" i="37"/>
  <c r="G34" i="37" s="1"/>
  <c r="AH29" i="37"/>
  <c r="AH22" i="37"/>
  <c r="X29" i="37"/>
  <c r="G29" i="37" s="1"/>
  <c r="AH26" i="37"/>
  <c r="AH28" i="37"/>
  <c r="J25" i="41" l="1"/>
  <c r="K25" i="41"/>
  <c r="J31" i="41"/>
  <c r="K31" i="41"/>
  <c r="L31" i="41" s="1"/>
  <c r="J21" i="41"/>
  <c r="K21" i="41"/>
  <c r="K35" i="41"/>
  <c r="J35" i="41"/>
  <c r="J29" i="41"/>
  <c r="K29" i="41"/>
  <c r="J27" i="41"/>
  <c r="K27" i="41"/>
  <c r="L27" i="41" s="1"/>
  <c r="J23" i="41"/>
  <c r="K23" i="41"/>
  <c r="J33" i="41"/>
  <c r="K33" i="41"/>
  <c r="L33" i="41" s="1"/>
  <c r="J19" i="39"/>
  <c r="AK25" i="37"/>
  <c r="AM33" i="37"/>
  <c r="AK33" i="37"/>
  <c r="H33" i="37"/>
  <c r="I33" i="37" s="1"/>
  <c r="J33" i="37" s="1"/>
  <c r="AK21" i="37"/>
  <c r="AK32" i="37"/>
  <c r="AM32" i="37"/>
  <c r="AM21" i="37"/>
  <c r="AM25" i="37"/>
  <c r="AK20" i="37"/>
  <c r="AM20" i="37"/>
  <c r="AK24" i="37"/>
  <c r="AM24" i="37"/>
  <c r="I32" i="37"/>
  <c r="J32" i="37" s="1"/>
  <c r="I21" i="37"/>
  <c r="J21" i="37" s="1"/>
  <c r="I25" i="37"/>
  <c r="J25" i="37" s="1"/>
  <c r="I20" i="37"/>
  <c r="J20" i="37" s="1"/>
  <c r="AK34" i="37"/>
  <c r="AM30" i="37"/>
  <c r="H30" i="37"/>
  <c r="AK30" i="37"/>
  <c r="I24" i="37"/>
  <c r="J24" i="37" s="1"/>
  <c r="AM37" i="37"/>
  <c r="AM28" i="37"/>
  <c r="H28" i="37"/>
  <c r="AK28" i="37"/>
  <c r="AM22" i="37"/>
  <c r="H22" i="37"/>
  <c r="AK22" i="37"/>
  <c r="H36" i="37"/>
  <c r="AM36" i="37"/>
  <c r="AK36" i="37"/>
  <c r="I37" i="37"/>
  <c r="J37" i="37" s="1"/>
  <c r="I34" i="37"/>
  <c r="J34" i="37" s="1"/>
  <c r="AK26" i="37"/>
  <c r="AM26" i="37"/>
  <c r="H26" i="37"/>
  <c r="AK29" i="37"/>
  <c r="H29" i="37"/>
  <c r="AM29" i="37"/>
  <c r="AM38" i="37"/>
  <c r="H38" i="37"/>
  <c r="AK38" i="37"/>
  <c r="AK37" i="37"/>
  <c r="AM34" i="37"/>
  <c r="L35" i="41" l="1"/>
  <c r="L23" i="41"/>
  <c r="L29" i="41"/>
  <c r="L21" i="41"/>
  <c r="L25" i="41"/>
  <c r="I26" i="37"/>
  <c r="J26" i="37" s="1"/>
  <c r="I28" i="37"/>
  <c r="J28" i="37" s="1"/>
  <c r="I36" i="37"/>
  <c r="J36" i="37" s="1"/>
  <c r="I29" i="37"/>
  <c r="J29" i="37" s="1"/>
  <c r="I30" i="37"/>
  <c r="J30" i="37" s="1"/>
  <c r="I38" i="37"/>
  <c r="J38" i="37" s="1"/>
  <c r="I22" i="37"/>
  <c r="J22" i="37" s="1"/>
  <c r="J57" i="5" l="1"/>
  <c r="J55" i="5"/>
  <c r="J54" i="5"/>
  <c r="J53" i="5"/>
  <c r="J52" i="5"/>
  <c r="J51" i="5"/>
  <c r="J50" i="5"/>
  <c r="J48" i="5"/>
  <c r="G59" i="5" l="1"/>
  <c r="S129" i="2" l="1"/>
  <c r="S127" i="2"/>
  <c r="S128" i="2"/>
  <c r="S54" i="2"/>
  <c r="S130" i="2"/>
  <c r="S203" i="2"/>
  <c r="G203" i="2" s="1"/>
  <c r="S163" i="2"/>
  <c r="G163" i="2" s="1"/>
  <c r="S94" i="2"/>
  <c r="G94" i="2" s="1"/>
  <c r="S55" i="2"/>
  <c r="G55" i="2" s="1"/>
  <c r="S209" i="2"/>
  <c r="G209" i="2" s="1"/>
  <c r="S176" i="2"/>
  <c r="G176" i="2" s="1"/>
  <c r="S93" i="2"/>
  <c r="G93" i="2" s="1"/>
  <c r="S172" i="2"/>
  <c r="G172" i="2" s="1"/>
  <c r="S125" i="2"/>
  <c r="G125" i="2" s="1"/>
  <c r="S211" i="2"/>
  <c r="G211" i="2" s="1"/>
  <c r="S216" i="2"/>
  <c r="G216" i="2" s="1"/>
  <c r="S124" i="2"/>
  <c r="G124" i="2" s="1"/>
  <c r="S136" i="2"/>
  <c r="G136" i="2" s="1"/>
  <c r="S210" i="2"/>
  <c r="G210" i="2" s="1"/>
  <c r="S170" i="2"/>
  <c r="G170" i="2" s="1"/>
  <c r="S177" i="2"/>
  <c r="G177" i="2" s="1"/>
  <c r="S135" i="2"/>
  <c r="G135" i="2" s="1"/>
  <c r="S205" i="2"/>
  <c r="G205" i="2" s="1"/>
  <c r="S217" i="2"/>
  <c r="G217" i="2" s="1"/>
  <c r="S57" i="2"/>
  <c r="G57" i="2" s="1"/>
  <c r="S208" i="2"/>
  <c r="G208" i="2" s="1"/>
  <c r="S56" i="2"/>
  <c r="G56" i="2" s="1"/>
  <c r="S204" i="2"/>
  <c r="G204" i="2" s="1"/>
  <c r="S212" i="2"/>
  <c r="G212" i="2" s="1"/>
  <c r="S123" i="2"/>
  <c r="G123" i="2" s="1"/>
  <c r="S213" i="2"/>
  <c r="G213" i="2" s="1"/>
  <c r="S58" i="2"/>
  <c r="G58" i="2" s="1"/>
  <c r="G33" i="35"/>
  <c r="N7" i="2"/>
  <c r="G33" i="34"/>
  <c r="S92" i="2"/>
  <c r="G92" i="2" s="1"/>
  <c r="G127" i="2" l="1"/>
  <c r="G54" i="2"/>
  <c r="G129" i="2"/>
  <c r="G31" i="34"/>
  <c r="G25" i="35"/>
  <c r="G31" i="35"/>
  <c r="G29" i="34"/>
  <c r="G27" i="35"/>
  <c r="G29" i="35"/>
  <c r="G23" i="35"/>
  <c r="G25" i="34"/>
  <c r="G27" i="34"/>
  <c r="G21" i="34"/>
  <c r="G23" i="34"/>
  <c r="G21" i="35"/>
  <c r="G35" i="35"/>
  <c r="G35" i="34"/>
  <c r="H59" i="5"/>
  <c r="I59" i="5"/>
  <c r="E64" i="5"/>
  <c r="E72" i="5" s="1"/>
  <c r="D64" i="5"/>
  <c r="D72" i="5" s="1"/>
  <c r="C64" i="5"/>
  <c r="C72" i="5" s="1"/>
  <c r="B64" i="5"/>
  <c r="B66" i="5" s="1"/>
  <c r="T12" i="31"/>
  <c r="T11" i="31"/>
  <c r="T10" i="31"/>
  <c r="I57" i="5"/>
  <c r="T12" i="26" s="1"/>
  <c r="H57" i="5"/>
  <c r="T11" i="26" s="1"/>
  <c r="G57" i="5"/>
  <c r="T10" i="26" s="1"/>
  <c r="I55" i="5"/>
  <c r="H55" i="5"/>
  <c r="G55" i="5"/>
  <c r="I54" i="5"/>
  <c r="T12" i="25" s="1"/>
  <c r="H54" i="5"/>
  <c r="T11" i="25" s="1"/>
  <c r="G54" i="5"/>
  <c r="T10" i="25" s="1"/>
  <c r="I53" i="5"/>
  <c r="T12" i="24" s="1"/>
  <c r="H53" i="5"/>
  <c r="T11" i="24" s="1"/>
  <c r="G53" i="5"/>
  <c r="T10" i="24" s="1"/>
  <c r="I52" i="5"/>
  <c r="T12" i="15" s="1"/>
  <c r="H52" i="5"/>
  <c r="T11" i="15" s="1"/>
  <c r="G52" i="5"/>
  <c r="T10" i="15" s="1"/>
  <c r="I51" i="5"/>
  <c r="H51" i="5"/>
  <c r="G51" i="5"/>
  <c r="I50" i="5"/>
  <c r="H50" i="5"/>
  <c r="G50" i="5"/>
  <c r="I48" i="5"/>
  <c r="T12" i="32" s="1"/>
  <c r="H48" i="5"/>
  <c r="T11" i="32" s="1"/>
  <c r="G48" i="5"/>
  <c r="T10" i="32" s="1"/>
  <c r="T129" i="2" l="1"/>
  <c r="T127" i="2"/>
  <c r="T128" i="2"/>
  <c r="T130" i="2"/>
  <c r="T54" i="2"/>
  <c r="L25" i="24"/>
  <c r="L30" i="24"/>
  <c r="L34" i="24"/>
  <c r="L24" i="24"/>
  <c r="L22" i="24"/>
  <c r="L26" i="24"/>
  <c r="L21" i="24"/>
  <c r="L30" i="31"/>
  <c r="L25" i="31"/>
  <c r="L33" i="31"/>
  <c r="L22" i="31"/>
  <c r="L34" i="31"/>
  <c r="L29" i="31"/>
  <c r="L24" i="31"/>
  <c r="L28" i="31"/>
  <c r="L26" i="31"/>
  <c r="L21" i="31"/>
  <c r="L32" i="31"/>
  <c r="L34" i="25"/>
  <c r="L29" i="25"/>
  <c r="L24" i="25"/>
  <c r="L32" i="25"/>
  <c r="L21" i="25"/>
  <c r="L33" i="25"/>
  <c r="L28" i="25"/>
  <c r="L22" i="25"/>
  <c r="L26" i="25"/>
  <c r="L25" i="25"/>
  <c r="L30" i="25"/>
  <c r="L22" i="15"/>
  <c r="L21" i="15"/>
  <c r="R12" i="4"/>
  <c r="I21" i="4" s="1"/>
  <c r="I67" i="5"/>
  <c r="I66" i="5"/>
  <c r="G66" i="5"/>
  <c r="G67" i="5"/>
  <c r="H67" i="5"/>
  <c r="H66" i="5"/>
  <c r="T12" i="37"/>
  <c r="T10" i="37"/>
  <c r="R10" i="4"/>
  <c r="G35" i="4" s="1"/>
  <c r="T11" i="37"/>
  <c r="T203" i="2"/>
  <c r="H203" i="2" s="1"/>
  <c r="T209" i="2"/>
  <c r="H209" i="2" s="1"/>
  <c r="T172" i="2"/>
  <c r="H172" i="2" s="1"/>
  <c r="T170" i="2"/>
  <c r="H170" i="2" s="1"/>
  <c r="T94" i="2"/>
  <c r="H94" i="2" s="1"/>
  <c r="T55" i="2"/>
  <c r="H55" i="2" s="1"/>
  <c r="T125" i="2"/>
  <c r="H125" i="2" s="1"/>
  <c r="T135" i="2"/>
  <c r="H135" i="2" s="1"/>
  <c r="H54" i="2"/>
  <c r="T58" i="2"/>
  <c r="H58" i="2" s="1"/>
  <c r="T123" i="2"/>
  <c r="H123" i="2" s="1"/>
  <c r="T176" i="2"/>
  <c r="H176" i="2" s="1"/>
  <c r="T208" i="2"/>
  <c r="H208" i="2" s="1"/>
  <c r="T56" i="2"/>
  <c r="H56" i="2" s="1"/>
  <c r="T205" i="2"/>
  <c r="H205" i="2" s="1"/>
  <c r="T204" i="2"/>
  <c r="H204" i="2" s="1"/>
  <c r="T210" i="2"/>
  <c r="H210" i="2" s="1"/>
  <c r="T217" i="2"/>
  <c r="H217" i="2" s="1"/>
  <c r="T57" i="2"/>
  <c r="H57" i="2" s="1"/>
  <c r="T124" i="2"/>
  <c r="H124" i="2" s="1"/>
  <c r="T136" i="2"/>
  <c r="H136" i="2" s="1"/>
  <c r="T213" i="2"/>
  <c r="H213" i="2" s="1"/>
  <c r="T93" i="2"/>
  <c r="H93" i="2" s="1"/>
  <c r="T216" i="2"/>
  <c r="H216" i="2" s="1"/>
  <c r="T212" i="2"/>
  <c r="H212" i="2" s="1"/>
  <c r="T177" i="2"/>
  <c r="H177" i="2" s="1"/>
  <c r="T163" i="2"/>
  <c r="H163" i="2" s="1"/>
  <c r="T211" i="2"/>
  <c r="H211" i="2" s="1"/>
  <c r="G33" i="27"/>
  <c r="G35" i="27"/>
  <c r="G27" i="27"/>
  <c r="G21" i="27"/>
  <c r="G29" i="27"/>
  <c r="I35" i="27"/>
  <c r="I31" i="27"/>
  <c r="I27" i="27"/>
  <c r="I23" i="27"/>
  <c r="I21" i="27"/>
  <c r="I33" i="27"/>
  <c r="I29" i="27"/>
  <c r="I25" i="27"/>
  <c r="T92" i="2"/>
  <c r="H92" i="2" s="1"/>
  <c r="N8" i="2"/>
  <c r="G23" i="27"/>
  <c r="R11" i="4"/>
  <c r="H27" i="4" s="1"/>
  <c r="G25" i="27"/>
  <c r="H35" i="27"/>
  <c r="H31" i="27"/>
  <c r="H27" i="27"/>
  <c r="H23" i="27"/>
  <c r="H33" i="27"/>
  <c r="H29" i="27"/>
  <c r="H25" i="27"/>
  <c r="H21" i="27"/>
  <c r="J64" i="5"/>
  <c r="G31" i="27"/>
  <c r="F64" i="5"/>
  <c r="I64" i="5" s="1"/>
  <c r="U128" i="2" l="1"/>
  <c r="V128" i="2"/>
  <c r="H127" i="2"/>
  <c r="U127" i="2"/>
  <c r="C127" i="2" s="1"/>
  <c r="I127" i="2" s="1"/>
  <c r="V127" i="2"/>
  <c r="D127" i="2" s="1"/>
  <c r="V130" i="2"/>
  <c r="U130" i="2"/>
  <c r="V54" i="2"/>
  <c r="D54" i="2" s="1"/>
  <c r="U54" i="2"/>
  <c r="C54" i="2" s="1"/>
  <c r="H129" i="2"/>
  <c r="V129" i="2"/>
  <c r="D129" i="2" s="1"/>
  <c r="U129" i="2"/>
  <c r="C129" i="2" s="1"/>
  <c r="I129" i="2" s="1"/>
  <c r="G33" i="4"/>
  <c r="G21" i="4"/>
  <c r="L33" i="37"/>
  <c r="L28" i="37"/>
  <c r="L22" i="37"/>
  <c r="L30" i="37"/>
  <c r="L32" i="37"/>
  <c r="L26" i="37"/>
  <c r="L21" i="37"/>
  <c r="L25" i="37"/>
  <c r="L34" i="37"/>
  <c r="L29" i="37"/>
  <c r="L24" i="37"/>
  <c r="L24" i="32"/>
  <c r="G29" i="4"/>
  <c r="I31" i="4"/>
  <c r="I35" i="4"/>
  <c r="I27" i="4"/>
  <c r="I29" i="4"/>
  <c r="I33" i="4"/>
  <c r="I25" i="4"/>
  <c r="I23" i="4"/>
  <c r="G33" i="33"/>
  <c r="G21" i="33"/>
  <c r="G27" i="4"/>
  <c r="G23" i="4"/>
  <c r="H69" i="5"/>
  <c r="H29" i="4"/>
  <c r="G27" i="33"/>
  <c r="G31" i="33"/>
  <c r="G25" i="33"/>
  <c r="G23" i="33"/>
  <c r="G35" i="33"/>
  <c r="G29" i="33"/>
  <c r="H21" i="4"/>
  <c r="G25" i="4"/>
  <c r="H35" i="4"/>
  <c r="G31" i="4"/>
  <c r="H23" i="4"/>
  <c r="U213" i="2"/>
  <c r="C213" i="2" s="1"/>
  <c r="I213" i="2" s="1"/>
  <c r="V213" i="2"/>
  <c r="D213" i="2" s="1"/>
  <c r="V56" i="2"/>
  <c r="D56" i="2" s="1"/>
  <c r="U56" i="2"/>
  <c r="C56" i="2" s="1"/>
  <c r="I56" i="2" s="1"/>
  <c r="V135" i="2"/>
  <c r="D135" i="2" s="1"/>
  <c r="U135" i="2"/>
  <c r="C135" i="2" s="1"/>
  <c r="I135" i="2" s="1"/>
  <c r="L36" i="37"/>
  <c r="L38" i="37"/>
  <c r="L20" i="37"/>
  <c r="L37" i="37"/>
  <c r="V136" i="2"/>
  <c r="D136" i="2" s="1"/>
  <c r="U136" i="2"/>
  <c r="C136" i="2" s="1"/>
  <c r="I136" i="2" s="1"/>
  <c r="V210" i="2"/>
  <c r="D210" i="2" s="1"/>
  <c r="U210" i="2"/>
  <c r="C210" i="2" s="1"/>
  <c r="I210" i="2" s="1"/>
  <c r="V125" i="2"/>
  <c r="D125" i="2" s="1"/>
  <c r="U125" i="2"/>
  <c r="C125" i="2" s="1"/>
  <c r="I125" i="2" s="1"/>
  <c r="V172" i="2"/>
  <c r="D172" i="2" s="1"/>
  <c r="U172" i="2"/>
  <c r="C172" i="2" s="1"/>
  <c r="I172" i="2" s="1"/>
  <c r="V211" i="2"/>
  <c r="D211" i="2" s="1"/>
  <c r="U211" i="2"/>
  <c r="C211" i="2" s="1"/>
  <c r="I211" i="2" s="1"/>
  <c r="V216" i="2"/>
  <c r="D216" i="2" s="1"/>
  <c r="U216" i="2"/>
  <c r="C216" i="2" s="1"/>
  <c r="I216" i="2" s="1"/>
  <c r="U124" i="2"/>
  <c r="C124" i="2" s="1"/>
  <c r="I124" i="2" s="1"/>
  <c r="V124" i="2"/>
  <c r="D124" i="2" s="1"/>
  <c r="V204" i="2"/>
  <c r="D204" i="2" s="1"/>
  <c r="U204" i="2"/>
  <c r="C204" i="2" s="1"/>
  <c r="I204" i="2" s="1"/>
  <c r="U176" i="2"/>
  <c r="C176" i="2" s="1"/>
  <c r="I176" i="2" s="1"/>
  <c r="V176" i="2"/>
  <c r="D176" i="2" s="1"/>
  <c r="V58" i="2"/>
  <c r="D58" i="2" s="1"/>
  <c r="U58" i="2"/>
  <c r="C58" i="2" s="1"/>
  <c r="I58" i="2" s="1"/>
  <c r="V55" i="2"/>
  <c r="D55" i="2" s="1"/>
  <c r="U55" i="2"/>
  <c r="C55" i="2" s="1"/>
  <c r="I55" i="2" s="1"/>
  <c r="U209" i="2"/>
  <c r="C209" i="2" s="1"/>
  <c r="I209" i="2" s="1"/>
  <c r="V209" i="2"/>
  <c r="D209" i="2" s="1"/>
  <c r="K28" i="37"/>
  <c r="K30" i="37"/>
  <c r="K20" i="37"/>
  <c r="K21" i="37"/>
  <c r="K29" i="37"/>
  <c r="K38" i="37"/>
  <c r="K34" i="37"/>
  <c r="K36" i="37"/>
  <c r="K24" i="37"/>
  <c r="K32" i="37"/>
  <c r="K37" i="37"/>
  <c r="K26" i="37"/>
  <c r="K25" i="37"/>
  <c r="K22" i="37"/>
  <c r="K33" i="37"/>
  <c r="M24" i="37"/>
  <c r="M33" i="37"/>
  <c r="M20" i="37"/>
  <c r="M25" i="37"/>
  <c r="M34" i="37"/>
  <c r="M37" i="37"/>
  <c r="M30" i="37"/>
  <c r="M28" i="37"/>
  <c r="M32" i="37"/>
  <c r="M29" i="37"/>
  <c r="M38" i="37"/>
  <c r="M21" i="37"/>
  <c r="M36" i="37"/>
  <c r="M26" i="37"/>
  <c r="M22" i="37"/>
  <c r="V177" i="2"/>
  <c r="D177" i="2" s="1"/>
  <c r="U177" i="2"/>
  <c r="C177" i="2" s="1"/>
  <c r="I177" i="2" s="1"/>
  <c r="U217" i="2"/>
  <c r="C217" i="2" s="1"/>
  <c r="I217" i="2" s="1"/>
  <c r="V217" i="2"/>
  <c r="D217" i="2" s="1"/>
  <c r="V123" i="2"/>
  <c r="D123" i="2" s="1"/>
  <c r="U123" i="2"/>
  <c r="C123" i="2" s="1"/>
  <c r="I123" i="2" s="1"/>
  <c r="U170" i="2"/>
  <c r="C170" i="2" s="1"/>
  <c r="I170" i="2" s="1"/>
  <c r="V170" i="2"/>
  <c r="D170" i="2" s="1"/>
  <c r="V212" i="2"/>
  <c r="D212" i="2" s="1"/>
  <c r="U212" i="2"/>
  <c r="C212" i="2" s="1"/>
  <c r="I212" i="2" s="1"/>
  <c r="V208" i="2"/>
  <c r="D208" i="2" s="1"/>
  <c r="U208" i="2"/>
  <c r="C208" i="2" s="1"/>
  <c r="I208" i="2" s="1"/>
  <c r="V163" i="2"/>
  <c r="D163" i="2" s="1"/>
  <c r="U163" i="2"/>
  <c r="C163" i="2" s="1"/>
  <c r="I163" i="2" s="1"/>
  <c r="U93" i="2"/>
  <c r="C93" i="2" s="1"/>
  <c r="I93" i="2" s="1"/>
  <c r="V93" i="2"/>
  <c r="D93" i="2" s="1"/>
  <c r="V57" i="2"/>
  <c r="D57" i="2" s="1"/>
  <c r="U57" i="2"/>
  <c r="C57" i="2" s="1"/>
  <c r="I57" i="2" s="1"/>
  <c r="U205" i="2"/>
  <c r="C205" i="2" s="1"/>
  <c r="I205" i="2" s="1"/>
  <c r="V205" i="2"/>
  <c r="D205" i="2" s="1"/>
  <c r="I54" i="2"/>
  <c r="U94" i="2"/>
  <c r="C94" i="2" s="1"/>
  <c r="I94" i="2" s="1"/>
  <c r="V94" i="2"/>
  <c r="D94" i="2" s="1"/>
  <c r="U203" i="2"/>
  <c r="C203" i="2" s="1"/>
  <c r="I203" i="2" s="1"/>
  <c r="V203" i="2"/>
  <c r="D203" i="2" s="1"/>
  <c r="I29" i="33"/>
  <c r="I21" i="33"/>
  <c r="I31" i="33"/>
  <c r="I23" i="33"/>
  <c r="I33" i="33"/>
  <c r="I25" i="33"/>
  <c r="I35" i="33"/>
  <c r="I27" i="33"/>
  <c r="H21" i="33"/>
  <c r="H35" i="33"/>
  <c r="H27" i="33"/>
  <c r="H29" i="33"/>
  <c r="H31" i="33"/>
  <c r="H23" i="33"/>
  <c r="H33" i="33"/>
  <c r="H25" i="33"/>
  <c r="H33" i="35"/>
  <c r="H27" i="35"/>
  <c r="H29" i="35"/>
  <c r="H31" i="35"/>
  <c r="H35" i="35"/>
  <c r="H21" i="35"/>
  <c r="H23" i="35"/>
  <c r="H25" i="35"/>
  <c r="H31" i="4"/>
  <c r="H25" i="4"/>
  <c r="H33" i="4"/>
  <c r="H33" i="34"/>
  <c r="H35" i="34"/>
  <c r="H21" i="34"/>
  <c r="H23" i="34"/>
  <c r="H25" i="34"/>
  <c r="H27" i="34"/>
  <c r="H29" i="34"/>
  <c r="H31" i="34"/>
  <c r="H64" i="5"/>
  <c r="H68" i="5" s="1"/>
  <c r="G64" i="5"/>
  <c r="G69" i="5" s="1"/>
  <c r="I69" i="5"/>
  <c r="J129" i="2" l="1"/>
  <c r="K129" i="2" s="1"/>
  <c r="E129" i="2"/>
  <c r="F129" i="2" s="1"/>
  <c r="J127" i="2"/>
  <c r="K127" i="2" s="1"/>
  <c r="E127" i="2"/>
  <c r="F127" i="2" s="1"/>
  <c r="E208" i="2"/>
  <c r="F208" i="2" s="1"/>
  <c r="J208" i="2"/>
  <c r="K208" i="2" s="1"/>
  <c r="E211" i="2"/>
  <c r="F211" i="2" s="1"/>
  <c r="J211" i="2"/>
  <c r="K211" i="2" s="1"/>
  <c r="E136" i="2"/>
  <c r="F136" i="2" s="1"/>
  <c r="J136" i="2"/>
  <c r="K136" i="2" s="1"/>
  <c r="J56" i="2"/>
  <c r="K56" i="2" s="1"/>
  <c r="E56" i="2"/>
  <c r="F56" i="2" s="1"/>
  <c r="J54" i="2"/>
  <c r="K54" i="2" s="1"/>
  <c r="E54" i="2"/>
  <c r="F54" i="2" s="1"/>
  <c r="J57" i="2"/>
  <c r="K57" i="2" s="1"/>
  <c r="E57" i="2"/>
  <c r="F57" i="2" s="1"/>
  <c r="J163" i="2"/>
  <c r="E163" i="2"/>
  <c r="F163" i="2" s="1"/>
  <c r="J212" i="2"/>
  <c r="K212" i="2" s="1"/>
  <c r="E212" i="2"/>
  <c r="F212" i="2" s="1"/>
  <c r="E123" i="2"/>
  <c r="F123" i="2" s="1"/>
  <c r="J123" i="2"/>
  <c r="E177" i="2"/>
  <c r="F177" i="2" s="1"/>
  <c r="J177" i="2"/>
  <c r="K177" i="2" s="1"/>
  <c r="E58" i="2"/>
  <c r="F58" i="2" s="1"/>
  <c r="J58" i="2"/>
  <c r="K58" i="2" s="1"/>
  <c r="J204" i="2"/>
  <c r="K204" i="2" s="1"/>
  <c r="E204" i="2"/>
  <c r="F204" i="2" s="1"/>
  <c r="E216" i="2"/>
  <c r="F216" i="2" s="1"/>
  <c r="J216" i="2"/>
  <c r="K216" i="2" s="1"/>
  <c r="E172" i="2"/>
  <c r="F172" i="2" s="1"/>
  <c r="J172" i="2"/>
  <c r="K172" i="2" s="1"/>
  <c r="J210" i="2"/>
  <c r="K210" i="2" s="1"/>
  <c r="E210" i="2"/>
  <c r="F210" i="2" s="1"/>
  <c r="E135" i="2"/>
  <c r="F135" i="2" s="1"/>
  <c r="J135" i="2"/>
  <c r="K135" i="2" s="1"/>
  <c r="E94" i="2"/>
  <c r="F94" i="2" s="1"/>
  <c r="J94" i="2"/>
  <c r="K94" i="2" s="1"/>
  <c r="E205" i="2"/>
  <c r="F205" i="2" s="1"/>
  <c r="J205" i="2"/>
  <c r="K205" i="2" s="1"/>
  <c r="J93" i="2"/>
  <c r="K93" i="2" s="1"/>
  <c r="E93" i="2"/>
  <c r="F93" i="2" s="1"/>
  <c r="E170" i="2"/>
  <c r="F170" i="2" s="1"/>
  <c r="J170" i="2"/>
  <c r="K170" i="2" s="1"/>
  <c r="E217" i="2"/>
  <c r="F217" i="2" s="1"/>
  <c r="J217" i="2"/>
  <c r="K217" i="2" s="1"/>
  <c r="J176" i="2"/>
  <c r="K176" i="2" s="1"/>
  <c r="E176" i="2"/>
  <c r="F176" i="2" s="1"/>
  <c r="E124" i="2"/>
  <c r="F124" i="2" s="1"/>
  <c r="J124" i="2"/>
  <c r="K124" i="2" s="1"/>
  <c r="E55" i="2"/>
  <c r="F55" i="2" s="1"/>
  <c r="J55" i="2"/>
  <c r="K55" i="2" s="1"/>
  <c r="E125" i="2"/>
  <c r="F125" i="2" s="1"/>
  <c r="J125" i="2"/>
  <c r="K125" i="2" s="1"/>
  <c r="E203" i="2"/>
  <c r="F203" i="2" s="1"/>
  <c r="J203" i="2"/>
  <c r="K203" i="2" s="1"/>
  <c r="K163" i="2"/>
  <c r="K123" i="2"/>
  <c r="E209" i="2"/>
  <c r="F209" i="2" s="1"/>
  <c r="J209" i="2"/>
  <c r="K209" i="2" s="1"/>
  <c r="E213" i="2"/>
  <c r="F213" i="2" s="1"/>
  <c r="J213" i="2"/>
  <c r="K213" i="2" s="1"/>
  <c r="N26" i="37"/>
  <c r="O26" i="37"/>
  <c r="N21" i="37"/>
  <c r="O21" i="37"/>
  <c r="N37" i="37"/>
  <c r="O37" i="37"/>
  <c r="N20" i="37"/>
  <c r="O20" i="37"/>
  <c r="N22" i="37"/>
  <c r="O22" i="37"/>
  <c r="O32" i="37"/>
  <c r="N32" i="37"/>
  <c r="N38" i="37"/>
  <c r="O38" i="37"/>
  <c r="N30" i="37"/>
  <c r="O30" i="37"/>
  <c r="N36" i="37"/>
  <c r="O36" i="37"/>
  <c r="N33" i="37"/>
  <c r="O33" i="37"/>
  <c r="N34" i="37"/>
  <c r="O34" i="37"/>
  <c r="N25" i="37"/>
  <c r="O25" i="37"/>
  <c r="N24" i="37"/>
  <c r="O24" i="37"/>
  <c r="N29" i="37"/>
  <c r="O29" i="37"/>
  <c r="N28" i="37"/>
  <c r="O28" i="37"/>
  <c r="G68" i="5"/>
  <c r="I68" i="5"/>
  <c r="P20" i="37" l="1"/>
  <c r="P21" i="37"/>
  <c r="P28" i="37"/>
  <c r="P24" i="37"/>
  <c r="P34" i="37"/>
  <c r="P36" i="37"/>
  <c r="P38" i="37"/>
  <c r="P22" i="37"/>
  <c r="P32" i="37"/>
  <c r="P29" i="37"/>
  <c r="P25" i="37"/>
  <c r="P33" i="37"/>
  <c r="P30" i="37"/>
  <c r="P37" i="37"/>
  <c r="P26" i="37"/>
  <c r="O18" i="36"/>
  <c r="O35" i="36" s="1"/>
  <c r="Q35" i="36" s="1"/>
  <c r="D35" i="36" s="1"/>
  <c r="K18" i="36"/>
  <c r="K35" i="36" s="1"/>
  <c r="M35" i="36" s="1"/>
  <c r="C35" i="36" s="1"/>
  <c r="AA18" i="33"/>
  <c r="Y18" i="33"/>
  <c r="T21" i="35"/>
  <c r="T31" i="35" s="1"/>
  <c r="P21" i="35"/>
  <c r="P27" i="35" s="1"/>
  <c r="U18" i="35"/>
  <c r="U31" i="35" s="1"/>
  <c r="Q18" i="35"/>
  <c r="Q31" i="35" s="1"/>
  <c r="T33" i="35"/>
  <c r="U18" i="34"/>
  <c r="U35" i="34" s="1"/>
  <c r="Q18" i="34"/>
  <c r="Q31" i="34" s="1"/>
  <c r="T21" i="34"/>
  <c r="P21" i="34"/>
  <c r="J31" i="39" l="1"/>
  <c r="L20" i="39" s="1"/>
  <c r="AA33" i="33"/>
  <c r="AA25" i="33"/>
  <c r="AA35" i="33"/>
  <c r="AA31" i="33"/>
  <c r="AA23" i="33"/>
  <c r="AA29" i="33"/>
  <c r="AA21" i="33"/>
  <c r="AA27" i="33"/>
  <c r="Y35" i="33"/>
  <c r="Y27" i="33"/>
  <c r="Y21" i="33"/>
  <c r="Y31" i="33"/>
  <c r="Y25" i="33"/>
  <c r="Y29" i="33"/>
  <c r="Y33" i="33"/>
  <c r="Y23" i="33"/>
  <c r="Q27" i="34"/>
  <c r="T23" i="35"/>
  <c r="Q35" i="34"/>
  <c r="T29" i="35"/>
  <c r="U21" i="35"/>
  <c r="V21" i="35" s="1"/>
  <c r="D21" i="35" s="1"/>
  <c r="U35" i="35"/>
  <c r="U23" i="35"/>
  <c r="E35" i="36"/>
  <c r="F35" i="36" s="1"/>
  <c r="Q21" i="34"/>
  <c r="V31" i="35"/>
  <c r="D31" i="35" s="1"/>
  <c r="U29" i="34"/>
  <c r="K25" i="36"/>
  <c r="M25" i="36" s="1"/>
  <c r="C25" i="36" s="1"/>
  <c r="U25" i="34"/>
  <c r="P29" i="35"/>
  <c r="P33" i="35"/>
  <c r="K23" i="36"/>
  <c r="M23" i="36" s="1"/>
  <c r="C23" i="36" s="1"/>
  <c r="K33" i="36"/>
  <c r="M33" i="36" s="1"/>
  <c r="C33" i="36" s="1"/>
  <c r="O25" i="36"/>
  <c r="Q25" i="36" s="1"/>
  <c r="D25" i="36" s="1"/>
  <c r="O29" i="36"/>
  <c r="Q29" i="36" s="1"/>
  <c r="D29" i="36" s="1"/>
  <c r="U21" i="34"/>
  <c r="V21" i="34" s="1"/>
  <c r="D21" i="34" s="1"/>
  <c r="U31" i="34"/>
  <c r="P23" i="35"/>
  <c r="P25" i="35"/>
  <c r="P31" i="35"/>
  <c r="R31" i="35" s="1"/>
  <c r="P35" i="35"/>
  <c r="K29" i="36"/>
  <c r="M29" i="36" s="1"/>
  <c r="C29" i="36" s="1"/>
  <c r="O21" i="36"/>
  <c r="Q21" i="36" s="1"/>
  <c r="O31" i="36"/>
  <c r="Q31" i="36" s="1"/>
  <c r="D31" i="36" s="1"/>
  <c r="U23" i="34"/>
  <c r="U33" i="34"/>
  <c r="K21" i="36"/>
  <c r="M21" i="36" s="1"/>
  <c r="C21" i="36" s="1"/>
  <c r="K31" i="36"/>
  <c r="M31" i="36" s="1"/>
  <c r="C31" i="36" s="1"/>
  <c r="O23" i="36"/>
  <c r="Q23" i="36" s="1"/>
  <c r="D23" i="36" s="1"/>
  <c r="O33" i="36"/>
  <c r="Q33" i="36" s="1"/>
  <c r="D33" i="36" s="1"/>
  <c r="O27" i="36"/>
  <c r="Q27" i="36" s="1"/>
  <c r="D27" i="36" s="1"/>
  <c r="V35" i="36"/>
  <c r="T35" i="36"/>
  <c r="K27" i="36"/>
  <c r="M27" i="36" s="1"/>
  <c r="C27" i="36" s="1"/>
  <c r="Q25" i="35"/>
  <c r="Q27" i="35"/>
  <c r="R27" i="35" s="1"/>
  <c r="C27" i="35" s="1"/>
  <c r="T25" i="35"/>
  <c r="Q29" i="35"/>
  <c r="Q33" i="35"/>
  <c r="Q35" i="35"/>
  <c r="Q21" i="35"/>
  <c r="R21" i="35" s="1"/>
  <c r="C21" i="35" s="1"/>
  <c r="I21" i="35" s="1"/>
  <c r="U29" i="35"/>
  <c r="Q23" i="35"/>
  <c r="U25" i="35"/>
  <c r="T27" i="35"/>
  <c r="U33" i="35"/>
  <c r="V33" i="35" s="1"/>
  <c r="T35" i="35"/>
  <c r="U27" i="35"/>
  <c r="Q25" i="34"/>
  <c r="Q33" i="34"/>
  <c r="T23" i="34"/>
  <c r="T31" i="34"/>
  <c r="T25" i="34"/>
  <c r="T33" i="34"/>
  <c r="T27" i="34"/>
  <c r="T35" i="34"/>
  <c r="V35" i="34" s="1"/>
  <c r="Q23" i="34"/>
  <c r="Q29" i="34"/>
  <c r="U27" i="34"/>
  <c r="T29" i="34"/>
  <c r="R21" i="34"/>
  <c r="C21" i="34" s="1"/>
  <c r="P33" i="34"/>
  <c r="P29" i="34"/>
  <c r="P23" i="34"/>
  <c r="P35" i="34"/>
  <c r="P31" i="34"/>
  <c r="R31" i="34" s="1"/>
  <c r="C31" i="34" s="1"/>
  <c r="P25" i="34"/>
  <c r="P27" i="34"/>
  <c r="S16" i="2"/>
  <c r="L9" i="39" l="1"/>
  <c r="L8" i="33" s="1"/>
  <c r="L8" i="39"/>
  <c r="L8" i="4" s="1"/>
  <c r="L10" i="39"/>
  <c r="P8" i="32" s="1"/>
  <c r="L11" i="39"/>
  <c r="L8" i="27" s="1"/>
  <c r="L12" i="39"/>
  <c r="L8" i="41" s="1"/>
  <c r="L13" i="39"/>
  <c r="P8" i="15" s="1"/>
  <c r="L14" i="39"/>
  <c r="P8" i="24" s="1"/>
  <c r="L15" i="39"/>
  <c r="P8" i="25" s="1"/>
  <c r="L16" i="39"/>
  <c r="P8" i="37" s="1"/>
  <c r="L17" i="39"/>
  <c r="P8" i="19" s="1"/>
  <c r="L18" i="39"/>
  <c r="P8" i="26" s="1"/>
  <c r="L19" i="39"/>
  <c r="L21" i="39"/>
  <c r="K7" i="2" s="1"/>
  <c r="L22" i="39"/>
  <c r="K41" i="2" s="1"/>
  <c r="L23" i="39"/>
  <c r="K82" i="2" s="1"/>
  <c r="L24" i="39"/>
  <c r="K112" i="2" s="1"/>
  <c r="L25" i="39"/>
  <c r="K149" i="2" s="1"/>
  <c r="L26" i="39"/>
  <c r="K189" i="2" s="1"/>
  <c r="L27" i="39"/>
  <c r="K8" i="35" s="1"/>
  <c r="L28" i="39"/>
  <c r="K8" i="34" s="1"/>
  <c r="L29" i="39"/>
  <c r="H8" i="36" s="1"/>
  <c r="R27" i="34"/>
  <c r="C27" i="34" s="1"/>
  <c r="I27" i="34" s="1"/>
  <c r="V35" i="35"/>
  <c r="R23" i="35"/>
  <c r="R35" i="35"/>
  <c r="C35" i="35" s="1"/>
  <c r="I35" i="35" s="1"/>
  <c r="V25" i="36"/>
  <c r="E29" i="36"/>
  <c r="F29" i="36" s="1"/>
  <c r="T31" i="36"/>
  <c r="E23" i="36"/>
  <c r="F23" i="36" s="1"/>
  <c r="V23" i="35"/>
  <c r="D23" i="35" s="1"/>
  <c r="V29" i="35"/>
  <c r="D29" i="35" s="1"/>
  <c r="T29" i="36"/>
  <c r="R33" i="35"/>
  <c r="C33" i="35" s="1"/>
  <c r="I33" i="35" s="1"/>
  <c r="V29" i="34"/>
  <c r="D29" i="34" s="1"/>
  <c r="V23" i="34"/>
  <c r="D23" i="34" s="1"/>
  <c r="R25" i="35"/>
  <c r="C25" i="35" s="1"/>
  <c r="I25" i="35" s="1"/>
  <c r="V29" i="36"/>
  <c r="T23" i="36"/>
  <c r="R35" i="34"/>
  <c r="C35" i="34" s="1"/>
  <c r="V25" i="34"/>
  <c r="D25" i="34" s="1"/>
  <c r="V23" i="36"/>
  <c r="T25" i="36"/>
  <c r="E25" i="36"/>
  <c r="F25" i="36" s="1"/>
  <c r="V21" i="36"/>
  <c r="V31" i="34"/>
  <c r="D31" i="34" s="1"/>
  <c r="J31" i="34" s="1"/>
  <c r="R23" i="34"/>
  <c r="C23" i="34" s="1"/>
  <c r="I23" i="34" s="1"/>
  <c r="R29" i="34"/>
  <c r="C29" i="34" s="1"/>
  <c r="T21" i="36"/>
  <c r="C31" i="35"/>
  <c r="I31" i="35" s="1"/>
  <c r="AA31" i="35"/>
  <c r="V33" i="34"/>
  <c r="D33" i="34" s="1"/>
  <c r="R29" i="35"/>
  <c r="C29" i="35" s="1"/>
  <c r="I29" i="35" s="1"/>
  <c r="E27" i="36"/>
  <c r="F27" i="36" s="1"/>
  <c r="V33" i="36"/>
  <c r="D21" i="36"/>
  <c r="E21" i="36" s="1"/>
  <c r="F21" i="36" s="1"/>
  <c r="D35" i="34"/>
  <c r="J35" i="34" s="1"/>
  <c r="Y21" i="35"/>
  <c r="T33" i="36"/>
  <c r="V31" i="36"/>
  <c r="I27" i="35"/>
  <c r="E33" i="36"/>
  <c r="F33" i="36" s="1"/>
  <c r="Y21" i="34"/>
  <c r="E31" i="36"/>
  <c r="F31" i="36" s="1"/>
  <c r="AA21" i="34"/>
  <c r="J21" i="34"/>
  <c r="T27" i="36"/>
  <c r="V27" i="36"/>
  <c r="C23" i="35"/>
  <c r="I23" i="35" s="1"/>
  <c r="Y31" i="35"/>
  <c r="AA21" i="35"/>
  <c r="V25" i="35"/>
  <c r="D25" i="35" s="1"/>
  <c r="D33" i="35"/>
  <c r="V27" i="35"/>
  <c r="J21" i="35"/>
  <c r="K21" i="35" s="1"/>
  <c r="E21" i="35"/>
  <c r="F21" i="35" s="1"/>
  <c r="J31" i="35"/>
  <c r="R33" i="34"/>
  <c r="V27" i="34"/>
  <c r="R25" i="34"/>
  <c r="I21" i="34"/>
  <c r="E21" i="34"/>
  <c r="F21" i="34" s="1"/>
  <c r="I31" i="34"/>
  <c r="P8" i="42" l="1"/>
  <c r="K31" i="34"/>
  <c r="K21" i="34"/>
  <c r="K31" i="35"/>
  <c r="AA35" i="34"/>
  <c r="AA35" i="35"/>
  <c r="Y31" i="34"/>
  <c r="Y35" i="35"/>
  <c r="D35" i="35"/>
  <c r="E35" i="35" s="1"/>
  <c r="F35" i="35" s="1"/>
  <c r="AA23" i="35"/>
  <c r="E31" i="34"/>
  <c r="F31" i="34" s="1"/>
  <c r="AA31" i="34"/>
  <c r="Y25" i="35"/>
  <c r="Y29" i="34"/>
  <c r="AA33" i="34"/>
  <c r="Y23" i="35"/>
  <c r="Y33" i="34"/>
  <c r="Y33" i="35"/>
  <c r="AA29" i="34"/>
  <c r="AA33" i="35"/>
  <c r="E29" i="35"/>
  <c r="F29" i="35" s="1"/>
  <c r="E23" i="34"/>
  <c r="F23" i="34" s="1"/>
  <c r="J23" i="34"/>
  <c r="K23" i="34" s="1"/>
  <c r="Y35" i="34"/>
  <c r="E31" i="35"/>
  <c r="F31" i="35" s="1"/>
  <c r="AA23" i="34"/>
  <c r="T20" i="2"/>
  <c r="H20" i="2" s="1"/>
  <c r="S20" i="2"/>
  <c r="G20" i="2" s="1"/>
  <c r="T24" i="2"/>
  <c r="H24" i="2" s="1"/>
  <c r="S24" i="2"/>
  <c r="G24" i="2" s="1"/>
  <c r="T28" i="2"/>
  <c r="H28" i="2" s="1"/>
  <c r="S28" i="2"/>
  <c r="G28" i="2" s="1"/>
  <c r="T53" i="2"/>
  <c r="H53" i="2" s="1"/>
  <c r="S53" i="2"/>
  <c r="G53" i="2" s="1"/>
  <c r="T60" i="2"/>
  <c r="H60" i="2" s="1"/>
  <c r="S60" i="2"/>
  <c r="G60" i="2" s="1"/>
  <c r="T64" i="2"/>
  <c r="H64" i="2" s="1"/>
  <c r="S64" i="2"/>
  <c r="G64" i="2" s="1"/>
  <c r="T68" i="2"/>
  <c r="H68" i="2" s="1"/>
  <c r="S68" i="2"/>
  <c r="G68" i="2" s="1"/>
  <c r="T72" i="2"/>
  <c r="H72" i="2" s="1"/>
  <c r="S72" i="2"/>
  <c r="G72" i="2" s="1"/>
  <c r="T97" i="2"/>
  <c r="H97" i="2" s="1"/>
  <c r="S97" i="2"/>
  <c r="G97" i="2" s="1"/>
  <c r="T137" i="2"/>
  <c r="H137" i="2" s="1"/>
  <c r="S137" i="2"/>
  <c r="G137" i="2" s="1"/>
  <c r="T166" i="2"/>
  <c r="S166" i="2"/>
  <c r="T200" i="2"/>
  <c r="H200" i="2" s="1"/>
  <c r="S200" i="2"/>
  <c r="G200" i="2" s="1"/>
  <c r="T21" i="2"/>
  <c r="H21" i="2" s="1"/>
  <c r="S21" i="2"/>
  <c r="G21" i="2" s="1"/>
  <c r="S29" i="2"/>
  <c r="G29" i="2" s="1"/>
  <c r="T29" i="2"/>
  <c r="H29" i="2" s="1"/>
  <c r="S61" i="2"/>
  <c r="G61" i="2" s="1"/>
  <c r="T61" i="2"/>
  <c r="H61" i="2" s="1"/>
  <c r="S65" i="2"/>
  <c r="G65" i="2" s="1"/>
  <c r="T65" i="2"/>
  <c r="H65" i="2" s="1"/>
  <c r="S69" i="2"/>
  <c r="G69" i="2" s="1"/>
  <c r="T69" i="2"/>
  <c r="H69" i="2" s="1"/>
  <c r="S126" i="2"/>
  <c r="G126" i="2" s="1"/>
  <c r="T126" i="2"/>
  <c r="H126" i="2" s="1"/>
  <c r="S161" i="2"/>
  <c r="G161" i="2" s="1"/>
  <c r="T161" i="2"/>
  <c r="H161" i="2" s="1"/>
  <c r="S167" i="2"/>
  <c r="G167" i="2" s="1"/>
  <c r="T167" i="2"/>
  <c r="H167" i="2" s="1"/>
  <c r="S175" i="2"/>
  <c r="G175" i="2" s="1"/>
  <c r="T175" i="2"/>
  <c r="H175" i="2" s="1"/>
  <c r="S201" i="2"/>
  <c r="G201" i="2" s="1"/>
  <c r="T201" i="2"/>
  <c r="H201" i="2" s="1"/>
  <c r="E35" i="34"/>
  <c r="F35" i="34" s="1"/>
  <c r="E23" i="35"/>
  <c r="F23" i="35" s="1"/>
  <c r="Y29" i="35"/>
  <c r="T22" i="2"/>
  <c r="H22" i="2" s="1"/>
  <c r="S22" i="2"/>
  <c r="G22" i="2" s="1"/>
  <c r="T62" i="2"/>
  <c r="H62" i="2" s="1"/>
  <c r="S62" i="2"/>
  <c r="G62" i="2" s="1"/>
  <c r="T66" i="2"/>
  <c r="H66" i="2" s="1"/>
  <c r="S66" i="2"/>
  <c r="G66" i="2" s="1"/>
  <c r="T70" i="2"/>
  <c r="H70" i="2" s="1"/>
  <c r="S70" i="2"/>
  <c r="G70" i="2" s="1"/>
  <c r="T95" i="2"/>
  <c r="H95" i="2" s="1"/>
  <c r="S95" i="2"/>
  <c r="G95" i="2" s="1"/>
  <c r="H128" i="2"/>
  <c r="G128" i="2"/>
  <c r="T134" i="2"/>
  <c r="H134" i="2" s="1"/>
  <c r="S134" i="2"/>
  <c r="G134" i="2" s="1"/>
  <c r="T158" i="2"/>
  <c r="S158" i="2"/>
  <c r="T198" i="2"/>
  <c r="H198" i="2" s="1"/>
  <c r="S198" i="2"/>
  <c r="G198" i="2" s="1"/>
  <c r="T202" i="2"/>
  <c r="H202" i="2" s="1"/>
  <c r="S202" i="2"/>
  <c r="G202" i="2" s="1"/>
  <c r="S19" i="2"/>
  <c r="G19" i="2" s="1"/>
  <c r="T19" i="2"/>
  <c r="S23" i="2"/>
  <c r="G23" i="2" s="1"/>
  <c r="T23" i="2"/>
  <c r="H23" i="2" s="1"/>
  <c r="S27" i="2"/>
  <c r="G27" i="2" s="1"/>
  <c r="T27" i="2"/>
  <c r="H27" i="2" s="1"/>
  <c r="S52" i="2"/>
  <c r="G52" i="2" s="1"/>
  <c r="T52" i="2"/>
  <c r="H52" i="2" s="1"/>
  <c r="S59" i="2"/>
  <c r="G59" i="2" s="1"/>
  <c r="T59" i="2"/>
  <c r="H59" i="2" s="1"/>
  <c r="S63" i="2"/>
  <c r="G63" i="2" s="1"/>
  <c r="T63" i="2"/>
  <c r="H63" i="2" s="1"/>
  <c r="S67" i="2"/>
  <c r="G67" i="2" s="1"/>
  <c r="T67" i="2"/>
  <c r="H67" i="2" s="1"/>
  <c r="S71" i="2"/>
  <c r="G71" i="2" s="1"/>
  <c r="T71" i="2"/>
  <c r="H71" i="2" s="1"/>
  <c r="S96" i="2"/>
  <c r="G96" i="2" s="1"/>
  <c r="T96" i="2"/>
  <c r="H96" i="2" s="1"/>
  <c r="G130" i="2"/>
  <c r="H130" i="2"/>
  <c r="S159" i="2"/>
  <c r="T159" i="2"/>
  <c r="S165" i="2"/>
  <c r="G165" i="2" s="1"/>
  <c r="T165" i="2"/>
  <c r="H165" i="2" s="1"/>
  <c r="S173" i="2"/>
  <c r="G173" i="2" s="1"/>
  <c r="T173" i="2"/>
  <c r="H173" i="2" s="1"/>
  <c r="S199" i="2"/>
  <c r="G199" i="2" s="1"/>
  <c r="T199" i="2"/>
  <c r="H199" i="2" s="1"/>
  <c r="I35" i="34"/>
  <c r="K35" i="34" s="1"/>
  <c r="AA29" i="35"/>
  <c r="Y23" i="34"/>
  <c r="J29" i="35"/>
  <c r="K29" i="35" s="1"/>
  <c r="J23" i="35"/>
  <c r="K23" i="35" s="1"/>
  <c r="AA25" i="35"/>
  <c r="E25" i="35"/>
  <c r="F25" i="35" s="1"/>
  <c r="J25" i="35"/>
  <c r="K25" i="35" s="1"/>
  <c r="D27" i="35"/>
  <c r="AA27" i="35"/>
  <c r="Y27" i="35"/>
  <c r="E33" i="35"/>
  <c r="F33" i="35" s="1"/>
  <c r="J33" i="35"/>
  <c r="K33" i="35" s="1"/>
  <c r="D27" i="34"/>
  <c r="AA27" i="34"/>
  <c r="Y27" i="34"/>
  <c r="C33" i="34"/>
  <c r="E33" i="34" s="1"/>
  <c r="F33" i="34" s="1"/>
  <c r="C25" i="34"/>
  <c r="Y25" i="34"/>
  <c r="AA25" i="34"/>
  <c r="J29" i="34"/>
  <c r="E29" i="34"/>
  <c r="F29" i="34" s="1"/>
  <c r="V92" i="2"/>
  <c r="D92" i="2" s="1"/>
  <c r="Z18" i="33"/>
  <c r="U21" i="33"/>
  <c r="V20" i="32"/>
  <c r="V21" i="32"/>
  <c r="V22" i="32"/>
  <c r="V24" i="32"/>
  <c r="V25" i="32"/>
  <c r="V26" i="32"/>
  <c r="V28" i="32"/>
  <c r="V29" i="32"/>
  <c r="V30" i="32"/>
  <c r="V32" i="32"/>
  <c r="V33" i="32"/>
  <c r="V34" i="32"/>
  <c r="V36" i="32"/>
  <c r="V37" i="32"/>
  <c r="V38" i="32"/>
  <c r="W17" i="32"/>
  <c r="W25" i="32" s="1"/>
  <c r="U17" i="32"/>
  <c r="AC20" i="32"/>
  <c r="AC37" i="32" s="1"/>
  <c r="AD17" i="32"/>
  <c r="AD25" i="32" s="1"/>
  <c r="AG17" i="32"/>
  <c r="AG37" i="32" s="1"/>
  <c r="AE17" i="32"/>
  <c r="AE36" i="32" s="1"/>
  <c r="E38" i="32"/>
  <c r="E37" i="32"/>
  <c r="E36" i="32"/>
  <c r="E34" i="32"/>
  <c r="L34" i="32" s="1"/>
  <c r="E33" i="32"/>
  <c r="L33" i="32" s="1"/>
  <c r="E32" i="32"/>
  <c r="L32" i="32" s="1"/>
  <c r="E30" i="32"/>
  <c r="L30" i="32" s="1"/>
  <c r="E29" i="32"/>
  <c r="L29" i="32" s="1"/>
  <c r="E28" i="32"/>
  <c r="L28" i="32" s="1"/>
  <c r="E26" i="32"/>
  <c r="L26" i="32" s="1"/>
  <c r="E25" i="32"/>
  <c r="L25" i="32" s="1"/>
  <c r="E22" i="32"/>
  <c r="L22" i="32" s="1"/>
  <c r="E21" i="32"/>
  <c r="L21" i="32" s="1"/>
  <c r="E20" i="32"/>
  <c r="AG33" i="31"/>
  <c r="AF22" i="31"/>
  <c r="W34" i="31"/>
  <c r="V34" i="31"/>
  <c r="T36" i="31"/>
  <c r="W38" i="31"/>
  <c r="W33" i="31"/>
  <c r="W29" i="31"/>
  <c r="AC21" i="31"/>
  <c r="S36" i="31"/>
  <c r="T17" i="32"/>
  <c r="T36" i="32" s="1"/>
  <c r="S20" i="32"/>
  <c r="J92" i="2" l="1"/>
  <c r="K20" i="31"/>
  <c r="L20" i="31"/>
  <c r="M20" i="31"/>
  <c r="K28" i="31"/>
  <c r="M28" i="31"/>
  <c r="M26" i="32"/>
  <c r="K26" i="32"/>
  <c r="K29" i="31"/>
  <c r="M29" i="31"/>
  <c r="K37" i="31"/>
  <c r="L37" i="31"/>
  <c r="M37" i="31"/>
  <c r="M22" i="32"/>
  <c r="K22" i="32"/>
  <c r="K33" i="32"/>
  <c r="M33" i="32"/>
  <c r="M38" i="32"/>
  <c r="L38" i="32"/>
  <c r="K38" i="32"/>
  <c r="M25" i="31"/>
  <c r="K25" i="31"/>
  <c r="L38" i="31"/>
  <c r="K38" i="31"/>
  <c r="M38" i="31"/>
  <c r="M24" i="32"/>
  <c r="K24" i="32"/>
  <c r="M29" i="32"/>
  <c r="K29" i="32"/>
  <c r="M34" i="32"/>
  <c r="K34" i="32"/>
  <c r="M22" i="31"/>
  <c r="K22" i="31"/>
  <c r="K32" i="31"/>
  <c r="M32" i="31"/>
  <c r="L36" i="31"/>
  <c r="K36" i="31"/>
  <c r="M36" i="31"/>
  <c r="M21" i="32"/>
  <c r="K21" i="32"/>
  <c r="M32" i="32"/>
  <c r="K32" i="32"/>
  <c r="L37" i="32"/>
  <c r="K37" i="32"/>
  <c r="M37" i="32"/>
  <c r="K24" i="31"/>
  <c r="M24" i="31"/>
  <c r="K33" i="31"/>
  <c r="M33" i="31"/>
  <c r="M28" i="32"/>
  <c r="K28" i="32"/>
  <c r="K21" i="31"/>
  <c r="M21" i="31"/>
  <c r="K26" i="31"/>
  <c r="M26" i="31"/>
  <c r="K30" i="31"/>
  <c r="M30" i="31"/>
  <c r="K34" i="31"/>
  <c r="M34" i="31"/>
  <c r="M20" i="32"/>
  <c r="K20" i="32"/>
  <c r="L20" i="32"/>
  <c r="K25" i="32"/>
  <c r="M25" i="32"/>
  <c r="M30" i="32"/>
  <c r="K30" i="32"/>
  <c r="K36" i="32"/>
  <c r="L36" i="32"/>
  <c r="M36" i="32"/>
  <c r="J35" i="35"/>
  <c r="K35" i="35" s="1"/>
  <c r="AC29" i="32"/>
  <c r="AG20" i="31"/>
  <c r="W24" i="31"/>
  <c r="W28" i="31"/>
  <c r="V137" i="2"/>
  <c r="D137" i="2" s="1"/>
  <c r="AC38" i="32"/>
  <c r="U200" i="2"/>
  <c r="C200" i="2" s="1"/>
  <c r="I200" i="2" s="1"/>
  <c r="AF20" i="31"/>
  <c r="U158" i="2"/>
  <c r="I29" i="34"/>
  <c r="K29" i="34" s="1"/>
  <c r="J27" i="35"/>
  <c r="K27" i="35" s="1"/>
  <c r="E27" i="35"/>
  <c r="F27" i="35" s="1"/>
  <c r="V167" i="2"/>
  <c r="D167" i="2" s="1"/>
  <c r="J27" i="34"/>
  <c r="K27" i="34" s="1"/>
  <c r="E27" i="34"/>
  <c r="F27" i="34" s="1"/>
  <c r="J33" i="34"/>
  <c r="J25" i="34"/>
  <c r="E25" i="34"/>
  <c r="F25" i="34" s="1"/>
  <c r="V166" i="2"/>
  <c r="V199" i="2"/>
  <c r="D199" i="2" s="1"/>
  <c r="U202" i="2"/>
  <c r="C202" i="2" s="1"/>
  <c r="I202" i="2" s="1"/>
  <c r="C128" i="2"/>
  <c r="I128" i="2" s="1"/>
  <c r="U175" i="2"/>
  <c r="C175" i="2" s="1"/>
  <c r="I175" i="2" s="1"/>
  <c r="V201" i="2"/>
  <c r="D201" i="2" s="1"/>
  <c r="J201" i="2" s="1"/>
  <c r="U165" i="2"/>
  <c r="C165" i="2" s="1"/>
  <c r="I165" i="2" s="1"/>
  <c r="V165" i="2"/>
  <c r="D165" i="2" s="1"/>
  <c r="V198" i="2"/>
  <c r="D198" i="2" s="1"/>
  <c r="V158" i="2"/>
  <c r="V161" i="2"/>
  <c r="D161" i="2" s="1"/>
  <c r="U137" i="2"/>
  <c r="C137" i="2" s="1"/>
  <c r="I137" i="2" s="1"/>
  <c r="U159" i="2"/>
  <c r="D130" i="2"/>
  <c r="U166" i="2"/>
  <c r="U92" i="2"/>
  <c r="C92" i="2" s="1"/>
  <c r="I92" i="2" s="1"/>
  <c r="V59" i="2"/>
  <c r="D59" i="2" s="1"/>
  <c r="U71" i="2"/>
  <c r="C71" i="2" s="1"/>
  <c r="I71" i="2" s="1"/>
  <c r="V173" i="2"/>
  <c r="D173" i="2" s="1"/>
  <c r="V66" i="2"/>
  <c r="D66" i="2" s="1"/>
  <c r="AF21" i="31"/>
  <c r="V36" i="31"/>
  <c r="V38" i="31"/>
  <c r="V25" i="31"/>
  <c r="V30" i="31"/>
  <c r="W37" i="31"/>
  <c r="V21" i="31"/>
  <c r="V29" i="31"/>
  <c r="AG37" i="31"/>
  <c r="AC22" i="31"/>
  <c r="S32" i="31"/>
  <c r="AE38" i="31"/>
  <c r="AE33" i="31"/>
  <c r="AE28" i="31"/>
  <c r="AE22" i="31"/>
  <c r="AE30" i="31"/>
  <c r="AE25" i="31"/>
  <c r="AE24" i="31"/>
  <c r="AE37" i="31"/>
  <c r="AE32" i="31"/>
  <c r="AE26" i="31"/>
  <c r="AE21" i="31"/>
  <c r="AE36" i="31"/>
  <c r="AE20" i="31"/>
  <c r="AE34" i="31"/>
  <c r="AE29" i="31"/>
  <c r="AC24" i="32"/>
  <c r="S26" i="31"/>
  <c r="U37" i="31"/>
  <c r="U32" i="31"/>
  <c r="U26" i="31"/>
  <c r="U21" i="31"/>
  <c r="U34" i="31"/>
  <c r="U29" i="31"/>
  <c r="U28" i="31"/>
  <c r="U22" i="31"/>
  <c r="U36" i="31"/>
  <c r="U30" i="31"/>
  <c r="U25" i="31"/>
  <c r="U20" i="31"/>
  <c r="U24" i="31"/>
  <c r="U38" i="31"/>
  <c r="U33" i="31"/>
  <c r="S38" i="31"/>
  <c r="S28" i="31"/>
  <c r="S33" i="31"/>
  <c r="S37" i="31"/>
  <c r="AG24" i="32"/>
  <c r="T26" i="32"/>
  <c r="AG20" i="32"/>
  <c r="AG30" i="32"/>
  <c r="T37" i="32"/>
  <c r="AG36" i="32"/>
  <c r="AG22" i="32"/>
  <c r="T33" i="32"/>
  <c r="AD22" i="32"/>
  <c r="AD30" i="32"/>
  <c r="AD36" i="32"/>
  <c r="Q25" i="33"/>
  <c r="U25" i="33" s="1"/>
  <c r="X35" i="33"/>
  <c r="X31" i="33"/>
  <c r="X29" i="33"/>
  <c r="X27" i="33"/>
  <c r="X23" i="33"/>
  <c r="X33" i="33"/>
  <c r="X25" i="33"/>
  <c r="Q35" i="33"/>
  <c r="U35" i="33" s="1"/>
  <c r="Q31" i="33"/>
  <c r="U31" i="33" s="1"/>
  <c r="Q29" i="33"/>
  <c r="U29" i="33" s="1"/>
  <c r="Q27" i="33"/>
  <c r="U27" i="33" s="1"/>
  <c r="Q23" i="33"/>
  <c r="U23" i="33" s="1"/>
  <c r="Q33" i="33"/>
  <c r="U33" i="33" s="1"/>
  <c r="AC28" i="32"/>
  <c r="AE22" i="32"/>
  <c r="AE32" i="32"/>
  <c r="AE21" i="32"/>
  <c r="AE24" i="32"/>
  <c r="AE25" i="32"/>
  <c r="AE26" i="32"/>
  <c r="AE30" i="32"/>
  <c r="AE34" i="32"/>
  <c r="AE29" i="32"/>
  <c r="AG25" i="32"/>
  <c r="AG33" i="32"/>
  <c r="AG34" i="32"/>
  <c r="AG38" i="32"/>
  <c r="AG21" i="32"/>
  <c r="AG28" i="32"/>
  <c r="AG29" i="32"/>
  <c r="T38" i="32"/>
  <c r="AD37" i="32"/>
  <c r="T32" i="32"/>
  <c r="AD32" i="32"/>
  <c r="AD28" i="32"/>
  <c r="T28" i="32"/>
  <c r="AD26" i="32"/>
  <c r="T20" i="32"/>
  <c r="AF38" i="32"/>
  <c r="AF37" i="32"/>
  <c r="AF36" i="32"/>
  <c r="AF34" i="32"/>
  <c r="AF33" i="32"/>
  <c r="AF32" i="32"/>
  <c r="AF30" i="32"/>
  <c r="AF29" i="32"/>
  <c r="AF28" i="32"/>
  <c r="AF26" i="32"/>
  <c r="AF25" i="32"/>
  <c r="AF24" i="32"/>
  <c r="AF22" i="32"/>
  <c r="AF21" i="32"/>
  <c r="AF20" i="32"/>
  <c r="S37" i="32"/>
  <c r="S32" i="32"/>
  <c r="S26" i="32"/>
  <c r="S36" i="32"/>
  <c r="W21" i="32"/>
  <c r="S28" i="32"/>
  <c r="W34" i="32"/>
  <c r="T24" i="32"/>
  <c r="W38" i="32"/>
  <c r="W33" i="32"/>
  <c r="W28" i="32"/>
  <c r="W37" i="32"/>
  <c r="S24" i="32"/>
  <c r="S25" i="32"/>
  <c r="S29" i="32"/>
  <c r="S30" i="32"/>
  <c r="AC36" i="32"/>
  <c r="AC30" i="32"/>
  <c r="AC25" i="32"/>
  <c r="AC34" i="32"/>
  <c r="S21" i="32"/>
  <c r="W22" i="32"/>
  <c r="T29" i="32"/>
  <c r="S38" i="32"/>
  <c r="U38" i="32"/>
  <c r="U37" i="32"/>
  <c r="U36" i="32"/>
  <c r="U34" i="32"/>
  <c r="U33" i="32"/>
  <c r="U32" i="32"/>
  <c r="U30" i="32"/>
  <c r="U29" i="32"/>
  <c r="U28" i="32"/>
  <c r="U26" i="32"/>
  <c r="U25" i="32"/>
  <c r="U24" i="32"/>
  <c r="U22" i="32"/>
  <c r="U21" i="32"/>
  <c r="U20" i="32"/>
  <c r="AD34" i="32"/>
  <c r="AD29" i="32"/>
  <c r="AD24" i="32"/>
  <c r="AD33" i="32"/>
  <c r="AD38" i="32"/>
  <c r="AD20" i="32"/>
  <c r="T21" i="32"/>
  <c r="AC21" i="32"/>
  <c r="S22" i="32"/>
  <c r="W24" i="32"/>
  <c r="W26" i="32"/>
  <c r="W29" i="32"/>
  <c r="W30" i="32"/>
  <c r="W32" i="32"/>
  <c r="AC33" i="32"/>
  <c r="T34" i="32"/>
  <c r="AE38" i="32"/>
  <c r="AE33" i="32"/>
  <c r="AE28" i="32"/>
  <c r="AE37" i="32"/>
  <c r="W20" i="32"/>
  <c r="AE20" i="32"/>
  <c r="AD21" i="32"/>
  <c r="T22" i="32"/>
  <c r="AC22" i="32"/>
  <c r="AC26" i="32"/>
  <c r="AC32" i="32"/>
  <c r="S33" i="32"/>
  <c r="S34" i="32"/>
  <c r="W36" i="32"/>
  <c r="T25" i="32"/>
  <c r="AG26" i="32"/>
  <c r="T30" i="32"/>
  <c r="AG32" i="32"/>
  <c r="T30" i="31"/>
  <c r="T32" i="31"/>
  <c r="V20" i="31"/>
  <c r="V22" i="31"/>
  <c r="V24" i="31"/>
  <c r="T25" i="31"/>
  <c r="T26" i="31"/>
  <c r="AD38" i="31"/>
  <c r="AD33" i="31"/>
  <c r="AD28" i="31"/>
  <c r="AD37" i="31"/>
  <c r="AD32" i="31"/>
  <c r="AD26" i="31"/>
  <c r="AD22" i="31"/>
  <c r="AD21" i="31"/>
  <c r="AD20" i="31"/>
  <c r="AC34" i="31"/>
  <c r="AC29" i="31"/>
  <c r="AC24" i="31"/>
  <c r="AC38" i="31"/>
  <c r="AC33" i="31"/>
  <c r="AC28" i="31"/>
  <c r="AC37" i="31"/>
  <c r="AG22" i="31"/>
  <c r="AC25" i="31"/>
  <c r="AC26" i="31"/>
  <c r="AG28" i="31"/>
  <c r="AC30" i="31"/>
  <c r="AC32" i="31"/>
  <c r="AC36" i="31"/>
  <c r="T34" i="31"/>
  <c r="T29" i="31"/>
  <c r="T24" i="31"/>
  <c r="T22" i="31"/>
  <c r="T21" i="31"/>
  <c r="T20" i="31"/>
  <c r="T37" i="31"/>
  <c r="T38" i="31"/>
  <c r="T33" i="31"/>
  <c r="T28" i="31"/>
  <c r="AG36" i="31"/>
  <c r="AG30" i="31"/>
  <c r="AG25" i="31"/>
  <c r="AG34" i="31"/>
  <c r="AG29" i="31"/>
  <c r="AG24" i="31"/>
  <c r="AG38" i="31"/>
  <c r="AG21" i="31"/>
  <c r="AD24" i="31"/>
  <c r="AD25" i="31"/>
  <c r="AG26" i="31"/>
  <c r="AD29" i="31"/>
  <c r="AD30" i="31"/>
  <c r="AG32" i="31"/>
  <c r="AD34" i="31"/>
  <c r="AD36" i="31"/>
  <c r="W20" i="31"/>
  <c r="S21" i="31"/>
  <c r="W21" i="31"/>
  <c r="S22" i="31"/>
  <c r="W22" i="31"/>
  <c r="S24" i="31"/>
  <c r="W25" i="31"/>
  <c r="V26" i="31"/>
  <c r="S29" i="31"/>
  <c r="W30" i="31"/>
  <c r="V32" i="31"/>
  <c r="S34" i="31"/>
  <c r="W36" i="31"/>
  <c r="V37" i="31"/>
  <c r="AF38" i="31"/>
  <c r="AF37" i="31"/>
  <c r="AF36" i="31"/>
  <c r="AF34" i="31"/>
  <c r="AF33" i="31"/>
  <c r="AF32" i="31"/>
  <c r="AF30" i="31"/>
  <c r="AF29" i="31"/>
  <c r="AF28" i="31"/>
  <c r="AF26" i="31"/>
  <c r="AF25" i="31"/>
  <c r="AF24" i="31"/>
  <c r="S25" i="31"/>
  <c r="W26" i="31"/>
  <c r="V28" i="31"/>
  <c r="S30" i="31"/>
  <c r="W32" i="31"/>
  <c r="V33" i="31"/>
  <c r="V21" i="27"/>
  <c r="V33" i="27" s="1"/>
  <c r="Q21" i="27"/>
  <c r="Q35" i="27" s="1"/>
  <c r="W18" i="27"/>
  <c r="W31" i="27" s="1"/>
  <c r="R18" i="27"/>
  <c r="U27" i="4"/>
  <c r="AG17" i="26"/>
  <c r="AG34" i="26" s="1"/>
  <c r="AF17" i="26"/>
  <c r="AF36" i="26" s="1"/>
  <c r="AE17" i="26"/>
  <c r="AD17" i="26"/>
  <c r="W22" i="26"/>
  <c r="T17" i="26"/>
  <c r="L34" i="26"/>
  <c r="L33" i="26"/>
  <c r="L32" i="26"/>
  <c r="L30" i="26"/>
  <c r="L29" i="26"/>
  <c r="L28" i="26"/>
  <c r="L26" i="26"/>
  <c r="L25" i="26"/>
  <c r="L24" i="26"/>
  <c r="L22" i="26"/>
  <c r="L21" i="26"/>
  <c r="AC37" i="26"/>
  <c r="S22" i="26"/>
  <c r="V18" i="4"/>
  <c r="Q21" i="4"/>
  <c r="Q25" i="4" s="1"/>
  <c r="R18" i="4"/>
  <c r="R35" i="4" s="1"/>
  <c r="U21" i="4"/>
  <c r="U23" i="4"/>
  <c r="U25" i="4"/>
  <c r="U29" i="4"/>
  <c r="U31" i="4"/>
  <c r="U33" i="4"/>
  <c r="U35" i="4"/>
  <c r="AG17" i="25"/>
  <c r="AF17" i="25"/>
  <c r="AE17" i="25"/>
  <c r="AD17" i="25"/>
  <c r="T17" i="25"/>
  <c r="T38" i="25" s="1"/>
  <c r="J173" i="2" l="1"/>
  <c r="J198" i="2"/>
  <c r="E137" i="2"/>
  <c r="F137" i="2" s="1"/>
  <c r="J137" i="2"/>
  <c r="K137" i="2" s="1"/>
  <c r="K92" i="2"/>
  <c r="J161" i="2"/>
  <c r="E165" i="2"/>
  <c r="F165" i="2" s="1"/>
  <c r="J165" i="2"/>
  <c r="K165" i="2" s="1"/>
  <c r="E92" i="2"/>
  <c r="F92" i="2" s="1"/>
  <c r="J167" i="2"/>
  <c r="J199" i="2"/>
  <c r="J66" i="2"/>
  <c r="J59" i="2"/>
  <c r="J130" i="2"/>
  <c r="M30" i="26"/>
  <c r="K30" i="26"/>
  <c r="K21" i="26"/>
  <c r="M21" i="26"/>
  <c r="M32" i="26"/>
  <c r="K32" i="26"/>
  <c r="L20" i="26"/>
  <c r="M20" i="26"/>
  <c r="K20" i="26"/>
  <c r="M22" i="26"/>
  <c r="K22" i="26"/>
  <c r="K28" i="26"/>
  <c r="M28" i="26"/>
  <c r="K33" i="26"/>
  <c r="M33" i="26"/>
  <c r="M38" i="26"/>
  <c r="K38" i="26"/>
  <c r="L38" i="26"/>
  <c r="K25" i="26"/>
  <c r="M25" i="26"/>
  <c r="M36" i="26"/>
  <c r="L36" i="26"/>
  <c r="K36" i="26"/>
  <c r="K26" i="26"/>
  <c r="M26" i="26"/>
  <c r="M37" i="26"/>
  <c r="K37" i="26"/>
  <c r="L37" i="26"/>
  <c r="K24" i="26"/>
  <c r="M24" i="26"/>
  <c r="M29" i="26"/>
  <c r="K29" i="26"/>
  <c r="M34" i="26"/>
  <c r="K34" i="26"/>
  <c r="V200" i="2"/>
  <c r="D200" i="2" s="1"/>
  <c r="V35" i="4"/>
  <c r="W35" i="4" s="1"/>
  <c r="D35" i="4" s="1"/>
  <c r="V27" i="4"/>
  <c r="W27" i="4" s="1"/>
  <c r="D27" i="4" s="1"/>
  <c r="V33" i="4"/>
  <c r="W33" i="4" s="1"/>
  <c r="D33" i="4" s="1"/>
  <c r="V25" i="4"/>
  <c r="W25" i="4" s="1"/>
  <c r="D25" i="4" s="1"/>
  <c r="V31" i="4"/>
  <c r="W31" i="4" s="1"/>
  <c r="D31" i="4" s="1"/>
  <c r="V23" i="4"/>
  <c r="W23" i="4" s="1"/>
  <c r="D23" i="4" s="1"/>
  <c r="V29" i="4"/>
  <c r="W29" i="4" s="1"/>
  <c r="D29" i="4" s="1"/>
  <c r="V21" i="4"/>
  <c r="W21" i="4" s="1"/>
  <c r="D21" i="4" s="1"/>
  <c r="V29" i="2"/>
  <c r="D29" i="2" s="1"/>
  <c r="U72" i="2"/>
  <c r="C72" i="2" s="1"/>
  <c r="I72" i="2" s="1"/>
  <c r="AB21" i="33"/>
  <c r="D21" i="33" s="1"/>
  <c r="U167" i="2"/>
  <c r="C167" i="2" s="1"/>
  <c r="I167" i="2" s="1"/>
  <c r="V175" i="2"/>
  <c r="D175" i="2" s="1"/>
  <c r="I25" i="34"/>
  <c r="K25" i="34" s="1"/>
  <c r="I33" i="34"/>
  <c r="K33" i="34" s="1"/>
  <c r="D128" i="2"/>
  <c r="V202" i="2"/>
  <c r="D202" i="2" s="1"/>
  <c r="U199" i="2"/>
  <c r="C199" i="2" s="1"/>
  <c r="I199" i="2" s="1"/>
  <c r="U201" i="2"/>
  <c r="C201" i="2" s="1"/>
  <c r="I201" i="2" s="1"/>
  <c r="K201" i="2" s="1"/>
  <c r="U20" i="2"/>
  <c r="C20" i="2" s="1"/>
  <c r="I20" i="2" s="1"/>
  <c r="V64" i="2"/>
  <c r="D64" i="2" s="1"/>
  <c r="U126" i="2"/>
  <c r="C126" i="2" s="1"/>
  <c r="I126" i="2" s="1"/>
  <c r="U134" i="2"/>
  <c r="C134" i="2" s="1"/>
  <c r="I134" i="2" s="1"/>
  <c r="V159" i="2"/>
  <c r="U52" i="2"/>
  <c r="C52" i="2" s="1"/>
  <c r="I52" i="2" s="1"/>
  <c r="U64" i="2"/>
  <c r="C64" i="2" s="1"/>
  <c r="I64" i="2" s="1"/>
  <c r="V72" i="2"/>
  <c r="D72" i="2" s="1"/>
  <c r="V134" i="2"/>
  <c r="D134" i="2" s="1"/>
  <c r="U173" i="2"/>
  <c r="C173" i="2" s="1"/>
  <c r="I173" i="2" s="1"/>
  <c r="V52" i="2"/>
  <c r="D52" i="2" s="1"/>
  <c r="U65" i="2"/>
  <c r="C65" i="2" s="1"/>
  <c r="I65" i="2" s="1"/>
  <c r="V61" i="2"/>
  <c r="D61" i="2" s="1"/>
  <c r="V126" i="2"/>
  <c r="D126" i="2" s="1"/>
  <c r="C130" i="2"/>
  <c r="I130" i="2" s="1"/>
  <c r="U161" i="2"/>
  <c r="C161" i="2" s="1"/>
  <c r="I161" i="2" s="1"/>
  <c r="U198" i="2"/>
  <c r="C198" i="2" s="1"/>
  <c r="I198" i="2" s="1"/>
  <c r="U63" i="2"/>
  <c r="C63" i="2" s="1"/>
  <c r="I63" i="2" s="1"/>
  <c r="V68" i="2"/>
  <c r="D68" i="2" s="1"/>
  <c r="V53" i="2"/>
  <c r="D53" i="2" s="1"/>
  <c r="V60" i="2"/>
  <c r="D60" i="2" s="1"/>
  <c r="V95" i="2"/>
  <c r="D95" i="2" s="1"/>
  <c r="V24" i="2"/>
  <c r="D24" i="2" s="1"/>
  <c r="U22" i="2"/>
  <c r="C22" i="2" s="1"/>
  <c r="I22" i="2" s="1"/>
  <c r="U62" i="2"/>
  <c r="C62" i="2" s="1"/>
  <c r="I62" i="2" s="1"/>
  <c r="V27" i="2"/>
  <c r="D27" i="2" s="1"/>
  <c r="V63" i="2"/>
  <c r="D63" i="2" s="1"/>
  <c r="U28" i="2"/>
  <c r="C28" i="2" s="1"/>
  <c r="I28" i="2" s="1"/>
  <c r="U66" i="2"/>
  <c r="C66" i="2" s="1"/>
  <c r="I66" i="2" s="1"/>
  <c r="U21" i="2"/>
  <c r="C21" i="2" s="1"/>
  <c r="I21" i="2" s="1"/>
  <c r="V70" i="2"/>
  <c r="D70" i="2" s="1"/>
  <c r="V20" i="2"/>
  <c r="D20" i="2" s="1"/>
  <c r="V97" i="2"/>
  <c r="D97" i="2" s="1"/>
  <c r="V65" i="2"/>
  <c r="D65" i="2" s="1"/>
  <c r="U96" i="2"/>
  <c r="C96" i="2" s="1"/>
  <c r="I96" i="2" s="1"/>
  <c r="U29" i="2"/>
  <c r="C29" i="2" s="1"/>
  <c r="I29" i="2" s="1"/>
  <c r="V22" i="2"/>
  <c r="D22" i="2" s="1"/>
  <c r="U61" i="2"/>
  <c r="C61" i="2" s="1"/>
  <c r="I61" i="2" s="1"/>
  <c r="U67" i="2"/>
  <c r="C67" i="2" s="1"/>
  <c r="I67" i="2" s="1"/>
  <c r="V71" i="2"/>
  <c r="D71" i="2" s="1"/>
  <c r="V19" i="2"/>
  <c r="D19" i="2" s="1"/>
  <c r="H19" i="2"/>
  <c r="U23" i="2"/>
  <c r="C23" i="2" s="1"/>
  <c r="I23" i="2" s="1"/>
  <c r="U68" i="2"/>
  <c r="C68" i="2" s="1"/>
  <c r="I68" i="2" s="1"/>
  <c r="V67" i="2"/>
  <c r="D67" i="2" s="1"/>
  <c r="U60" i="2"/>
  <c r="C60" i="2" s="1"/>
  <c r="I60" i="2" s="1"/>
  <c r="U95" i="2"/>
  <c r="C95" i="2" s="1"/>
  <c r="I95" i="2" s="1"/>
  <c r="U59" i="2"/>
  <c r="C59" i="2" s="1"/>
  <c r="I59" i="2" s="1"/>
  <c r="V96" i="2"/>
  <c r="D96" i="2" s="1"/>
  <c r="V69" i="2"/>
  <c r="D69" i="2" s="1"/>
  <c r="V62" i="2"/>
  <c r="D62" i="2" s="1"/>
  <c r="U27" i="2"/>
  <c r="C27" i="2" s="1"/>
  <c r="I27" i="2" s="1"/>
  <c r="U24" i="2"/>
  <c r="C24" i="2" s="1"/>
  <c r="I24" i="2" s="1"/>
  <c r="V28" i="2"/>
  <c r="D28" i="2" s="1"/>
  <c r="U53" i="2"/>
  <c r="C53" i="2" s="1"/>
  <c r="I53" i="2" s="1"/>
  <c r="V21" i="2"/>
  <c r="D21" i="2" s="1"/>
  <c r="U70" i="2"/>
  <c r="C70" i="2" s="1"/>
  <c r="I70" i="2" s="1"/>
  <c r="U97" i="2"/>
  <c r="C97" i="2" s="1"/>
  <c r="I97" i="2" s="1"/>
  <c r="U69" i="2"/>
  <c r="C69" i="2" s="1"/>
  <c r="I69" i="2" s="1"/>
  <c r="U19" i="2"/>
  <c r="C19" i="2" s="1"/>
  <c r="V23" i="2"/>
  <c r="D23" i="2" s="1"/>
  <c r="X36" i="31"/>
  <c r="X38" i="31"/>
  <c r="G38" i="31" s="1"/>
  <c r="AH20" i="31"/>
  <c r="H20" i="31" s="1"/>
  <c r="U38" i="26"/>
  <c r="U22" i="26"/>
  <c r="U28" i="26"/>
  <c r="U33" i="26"/>
  <c r="U20" i="26"/>
  <c r="U36" i="26"/>
  <c r="U21" i="26"/>
  <c r="U32" i="26"/>
  <c r="U24" i="26"/>
  <c r="U29" i="26"/>
  <c r="U34" i="26"/>
  <c r="U25" i="26"/>
  <c r="U30" i="26"/>
  <c r="U26" i="26"/>
  <c r="V29" i="27"/>
  <c r="AH37" i="31"/>
  <c r="H37" i="31" s="1"/>
  <c r="AH21" i="31"/>
  <c r="H21" i="31" s="1"/>
  <c r="AD36" i="26"/>
  <c r="AH28" i="32"/>
  <c r="H28" i="32" s="1"/>
  <c r="AH36" i="32"/>
  <c r="H36" i="32" s="1"/>
  <c r="AB27" i="33"/>
  <c r="D27" i="33" s="1"/>
  <c r="AB29" i="33"/>
  <c r="D29" i="33" s="1"/>
  <c r="AB31" i="33"/>
  <c r="D31" i="33" s="1"/>
  <c r="AB33" i="33"/>
  <c r="AB23" i="33"/>
  <c r="D23" i="33" s="1"/>
  <c r="AB25" i="33"/>
  <c r="AB35" i="33"/>
  <c r="D35" i="33" s="1"/>
  <c r="C27" i="33"/>
  <c r="C25" i="33"/>
  <c r="C29" i="33"/>
  <c r="C21" i="33"/>
  <c r="C23" i="33"/>
  <c r="AH30" i="32"/>
  <c r="H30" i="32" s="1"/>
  <c r="X33" i="32"/>
  <c r="G33" i="32" s="1"/>
  <c r="X37" i="32"/>
  <c r="G37" i="32" s="1"/>
  <c r="AH38" i="32"/>
  <c r="H38" i="32" s="1"/>
  <c r="AH24" i="32"/>
  <c r="AH37" i="32"/>
  <c r="H37" i="32" s="1"/>
  <c r="AH29" i="32"/>
  <c r="X29" i="32"/>
  <c r="AH25" i="32"/>
  <c r="H25" i="32" s="1"/>
  <c r="X26" i="32"/>
  <c r="X20" i="32"/>
  <c r="AH20" i="32"/>
  <c r="H24" i="32"/>
  <c r="AH26" i="32"/>
  <c r="X22" i="32"/>
  <c r="AH32" i="32"/>
  <c r="AH21" i="32"/>
  <c r="X21" i="32"/>
  <c r="X24" i="32"/>
  <c r="X38" i="32"/>
  <c r="X25" i="32"/>
  <c r="X32" i="32"/>
  <c r="X34" i="32"/>
  <c r="AH22" i="32"/>
  <c r="AH33" i="32"/>
  <c r="AH34" i="32"/>
  <c r="X30" i="32"/>
  <c r="X28" i="32"/>
  <c r="X36" i="32"/>
  <c r="AH38" i="31"/>
  <c r="AH22" i="31"/>
  <c r="H22" i="31" s="1"/>
  <c r="X34" i="31"/>
  <c r="G34" i="31" s="1"/>
  <c r="X22" i="31"/>
  <c r="X33" i="31"/>
  <c r="X29" i="31"/>
  <c r="G29" i="31" s="1"/>
  <c r="X20" i="31"/>
  <c r="G20" i="31" s="1"/>
  <c r="X26" i="31"/>
  <c r="G26" i="31" s="1"/>
  <c r="X32" i="31"/>
  <c r="G32" i="31" s="1"/>
  <c r="X24" i="31"/>
  <c r="G24" i="31" s="1"/>
  <c r="AH36" i="31"/>
  <c r="AH24" i="31"/>
  <c r="X30" i="31"/>
  <c r="X21" i="31"/>
  <c r="X37" i="31"/>
  <c r="AH32" i="31"/>
  <c r="AH26" i="31"/>
  <c r="AH28" i="31"/>
  <c r="AH29" i="31"/>
  <c r="X25" i="31"/>
  <c r="X28" i="31"/>
  <c r="AH30" i="31"/>
  <c r="AH25" i="31"/>
  <c r="AH33" i="31"/>
  <c r="AH34" i="31"/>
  <c r="W21" i="26"/>
  <c r="AC24" i="26"/>
  <c r="V31" i="27"/>
  <c r="X31" i="27" s="1"/>
  <c r="R27" i="4"/>
  <c r="V25" i="27"/>
  <c r="V35" i="27"/>
  <c r="U37" i="26"/>
  <c r="V23" i="27"/>
  <c r="AF37" i="26"/>
  <c r="R33" i="4"/>
  <c r="V27" i="27"/>
  <c r="AF21" i="26"/>
  <c r="AF22" i="26"/>
  <c r="W27" i="27"/>
  <c r="AF20" i="26"/>
  <c r="AF30" i="26"/>
  <c r="W33" i="27"/>
  <c r="X33" i="27" s="1"/>
  <c r="AF25" i="26"/>
  <c r="Q27" i="4"/>
  <c r="Q29" i="27"/>
  <c r="W21" i="27"/>
  <c r="W35" i="27"/>
  <c r="R33" i="27"/>
  <c r="R31" i="27"/>
  <c r="R25" i="27"/>
  <c r="R21" i="27"/>
  <c r="S21" i="27" s="1"/>
  <c r="AC36" i="26"/>
  <c r="AC38" i="26"/>
  <c r="W20" i="26"/>
  <c r="W30" i="26"/>
  <c r="R23" i="27"/>
  <c r="AC33" i="26"/>
  <c r="AC34" i="26"/>
  <c r="R27" i="27"/>
  <c r="R35" i="27"/>
  <c r="S35" i="27" s="1"/>
  <c r="C35" i="27" s="1"/>
  <c r="AC30" i="26"/>
  <c r="R31" i="4"/>
  <c r="R23" i="4"/>
  <c r="R29" i="4"/>
  <c r="R21" i="4"/>
  <c r="S21" i="4" s="1"/>
  <c r="C21" i="4" s="1"/>
  <c r="AC25" i="26"/>
  <c r="AC28" i="26"/>
  <c r="AC29" i="26"/>
  <c r="R29" i="27"/>
  <c r="R25" i="4"/>
  <c r="S25" i="4" s="1"/>
  <c r="C25" i="4" s="1"/>
  <c r="AD20" i="26"/>
  <c r="AD29" i="26"/>
  <c r="AD37" i="26"/>
  <c r="W23" i="27"/>
  <c r="W29" i="27"/>
  <c r="AD26" i="26"/>
  <c r="W25" i="27"/>
  <c r="Q33" i="27"/>
  <c r="Q27" i="27"/>
  <c r="Q25" i="27"/>
  <c r="Q31" i="27"/>
  <c r="Q23" i="27"/>
  <c r="AG29" i="26"/>
  <c r="W37" i="26"/>
  <c r="AG36" i="26"/>
  <c r="AD21" i="26"/>
  <c r="AG24" i="26"/>
  <c r="W25" i="26"/>
  <c r="W36" i="26"/>
  <c r="AD32" i="26"/>
  <c r="AD34" i="26"/>
  <c r="AD24" i="26"/>
  <c r="S36" i="26"/>
  <c r="S30" i="26"/>
  <c r="S25" i="26"/>
  <c r="S38" i="26"/>
  <c r="S33" i="26"/>
  <c r="S28" i="26"/>
  <c r="S37" i="26"/>
  <c r="S32" i="26"/>
  <c r="S26" i="26"/>
  <c r="S24" i="26"/>
  <c r="V38" i="26"/>
  <c r="V33" i="26"/>
  <c r="V28" i="26"/>
  <c r="V37" i="26"/>
  <c r="V36" i="26"/>
  <c r="V30" i="26"/>
  <c r="V25" i="26"/>
  <c r="V22" i="26"/>
  <c r="V21" i="26"/>
  <c r="V20" i="26"/>
  <c r="V34" i="26"/>
  <c r="V29" i="26"/>
  <c r="V24" i="26"/>
  <c r="AE38" i="26"/>
  <c r="AE37" i="26"/>
  <c r="AE36" i="26"/>
  <c r="AE34" i="26"/>
  <c r="AE33" i="26"/>
  <c r="AE32" i="26"/>
  <c r="AE30" i="26"/>
  <c r="AE29" i="26"/>
  <c r="AE28" i="26"/>
  <c r="AE26" i="26"/>
  <c r="AE25" i="26"/>
  <c r="AE24" i="26"/>
  <c r="AE22" i="26"/>
  <c r="AE21" i="26"/>
  <c r="AE20" i="26"/>
  <c r="V26" i="26"/>
  <c r="S29" i="26"/>
  <c r="S21" i="26"/>
  <c r="AD22" i="26"/>
  <c r="V32" i="26"/>
  <c r="S34" i="26"/>
  <c r="T38" i="26"/>
  <c r="T37" i="26"/>
  <c r="T36" i="26"/>
  <c r="T34" i="26"/>
  <c r="T33" i="26"/>
  <c r="T32" i="26"/>
  <c r="T30" i="26"/>
  <c r="T29" i="26"/>
  <c r="T28" i="26"/>
  <c r="T26" i="26"/>
  <c r="T25" i="26"/>
  <c r="T24" i="26"/>
  <c r="AG26" i="26"/>
  <c r="W28" i="26"/>
  <c r="AF28" i="26"/>
  <c r="AG32" i="26"/>
  <c r="W33" i="26"/>
  <c r="AF33" i="26"/>
  <c r="AG37" i="26"/>
  <c r="W38" i="26"/>
  <c r="AF38" i="26"/>
  <c r="AG20" i="26"/>
  <c r="AC21" i="26"/>
  <c r="AG21" i="26"/>
  <c r="AC22" i="26"/>
  <c r="AG22" i="26"/>
  <c r="W24" i="26"/>
  <c r="AF24" i="26"/>
  <c r="AD25" i="26"/>
  <c r="AC26" i="26"/>
  <c r="AG28" i="26"/>
  <c r="W29" i="26"/>
  <c r="AF29" i="26"/>
  <c r="AD30" i="26"/>
  <c r="AC32" i="26"/>
  <c r="AG33" i="26"/>
  <c r="W34" i="26"/>
  <c r="AF34" i="26"/>
  <c r="AG38" i="26"/>
  <c r="T20" i="26"/>
  <c r="T21" i="26"/>
  <c r="T22" i="26"/>
  <c r="AG25" i="26"/>
  <c r="W26" i="26"/>
  <c r="AF26" i="26"/>
  <c r="AD28" i="26"/>
  <c r="AG30" i="26"/>
  <c r="W32" i="26"/>
  <c r="AF32" i="26"/>
  <c r="AD33" i="26"/>
  <c r="AD38" i="26"/>
  <c r="Q35" i="4"/>
  <c r="Q33" i="4"/>
  <c r="Q31" i="4"/>
  <c r="Q29" i="4"/>
  <c r="Q23" i="4"/>
  <c r="E199" i="2" l="1"/>
  <c r="F199" i="2" s="1"/>
  <c r="E59" i="2"/>
  <c r="F59" i="2" s="1"/>
  <c r="E201" i="2"/>
  <c r="F201" i="2" s="1"/>
  <c r="K130" i="2"/>
  <c r="E28" i="2"/>
  <c r="F28" i="2" s="1"/>
  <c r="J28" i="2"/>
  <c r="K28" i="2" s="1"/>
  <c r="J65" i="2"/>
  <c r="K65" i="2" s="1"/>
  <c r="E65" i="2"/>
  <c r="F65" i="2" s="1"/>
  <c r="J27" i="2"/>
  <c r="K27" i="2" s="1"/>
  <c r="E27" i="2"/>
  <c r="F27" i="2" s="1"/>
  <c r="J95" i="2"/>
  <c r="K95" i="2" s="1"/>
  <c r="E95" i="2"/>
  <c r="F95" i="2" s="1"/>
  <c r="E126" i="2"/>
  <c r="F126" i="2" s="1"/>
  <c r="J126" i="2"/>
  <c r="K126" i="2" s="1"/>
  <c r="J202" i="2"/>
  <c r="K202" i="2" s="1"/>
  <c r="E202" i="2"/>
  <c r="F202" i="2" s="1"/>
  <c r="E175" i="2"/>
  <c r="F175" i="2" s="1"/>
  <c r="J175" i="2"/>
  <c r="K175" i="2" s="1"/>
  <c r="K173" i="2"/>
  <c r="E67" i="2"/>
  <c r="F67" i="2" s="1"/>
  <c r="J67" i="2"/>
  <c r="K67" i="2" s="1"/>
  <c r="E22" i="2"/>
  <c r="F22" i="2" s="1"/>
  <c r="J22" i="2"/>
  <c r="K22" i="2" s="1"/>
  <c r="E134" i="2"/>
  <c r="F134" i="2" s="1"/>
  <c r="J134" i="2"/>
  <c r="K134" i="2" s="1"/>
  <c r="J128" i="2"/>
  <c r="K128" i="2" s="1"/>
  <c r="E128" i="2"/>
  <c r="F128" i="2" s="1"/>
  <c r="J200" i="2"/>
  <c r="K200" i="2" s="1"/>
  <c r="E200" i="2"/>
  <c r="F200" i="2" s="1"/>
  <c r="E66" i="2"/>
  <c r="F66" i="2" s="1"/>
  <c r="I19" i="2"/>
  <c r="E21" i="2"/>
  <c r="F21" i="2" s="1"/>
  <c r="J21" i="2"/>
  <c r="E71" i="2"/>
  <c r="F71" i="2" s="1"/>
  <c r="J71" i="2"/>
  <c r="K71" i="2" s="1"/>
  <c r="J20" i="2"/>
  <c r="K20" i="2" s="1"/>
  <c r="E20" i="2"/>
  <c r="F20" i="2" s="1"/>
  <c r="J53" i="2"/>
  <c r="K53" i="2" s="1"/>
  <c r="E53" i="2"/>
  <c r="F53" i="2" s="1"/>
  <c r="E72" i="2"/>
  <c r="F72" i="2" s="1"/>
  <c r="J72" i="2"/>
  <c r="K72" i="2" s="1"/>
  <c r="E130" i="2"/>
  <c r="F130" i="2" s="1"/>
  <c r="K66" i="2"/>
  <c r="E167" i="2"/>
  <c r="F167" i="2" s="1"/>
  <c r="K161" i="2"/>
  <c r="E198" i="2"/>
  <c r="F198" i="2" s="1"/>
  <c r="E69" i="2"/>
  <c r="F69" i="2" s="1"/>
  <c r="J69" i="2"/>
  <c r="K69" i="2" s="1"/>
  <c r="K21" i="2"/>
  <c r="E64" i="2"/>
  <c r="F64" i="2" s="1"/>
  <c r="J64" i="2"/>
  <c r="K64" i="2" s="1"/>
  <c r="J29" i="2"/>
  <c r="K29" i="2" s="1"/>
  <c r="E29" i="2"/>
  <c r="F29" i="2" s="1"/>
  <c r="E23" i="2"/>
  <c r="F23" i="2" s="1"/>
  <c r="J23" i="2"/>
  <c r="K23" i="2" s="1"/>
  <c r="E96" i="2"/>
  <c r="F96" i="2" s="1"/>
  <c r="J96" i="2"/>
  <c r="K96" i="2" s="1"/>
  <c r="E19" i="2"/>
  <c r="F19" i="2" s="1"/>
  <c r="J19" i="2"/>
  <c r="E97" i="2"/>
  <c r="F97" i="2" s="1"/>
  <c r="J97" i="2"/>
  <c r="K97" i="2" s="1"/>
  <c r="J60" i="2"/>
  <c r="K60" i="2" s="1"/>
  <c r="E60" i="2"/>
  <c r="F60" i="2" s="1"/>
  <c r="J61" i="2"/>
  <c r="K61" i="2" s="1"/>
  <c r="E61" i="2"/>
  <c r="F61" i="2" s="1"/>
  <c r="K167" i="2"/>
  <c r="E173" i="2"/>
  <c r="F173" i="2" s="1"/>
  <c r="J62" i="2"/>
  <c r="K62" i="2" s="1"/>
  <c r="E62" i="2"/>
  <c r="F62" i="2" s="1"/>
  <c r="J70" i="2"/>
  <c r="K70" i="2" s="1"/>
  <c r="E70" i="2"/>
  <c r="F70" i="2" s="1"/>
  <c r="E63" i="2"/>
  <c r="F63" i="2" s="1"/>
  <c r="J63" i="2"/>
  <c r="K63" i="2" s="1"/>
  <c r="E24" i="2"/>
  <c r="F24" i="2" s="1"/>
  <c r="J24" i="2"/>
  <c r="K24" i="2" s="1"/>
  <c r="J68" i="2"/>
  <c r="K68" i="2" s="1"/>
  <c r="E68" i="2"/>
  <c r="F68" i="2" s="1"/>
  <c r="J52" i="2"/>
  <c r="K52" i="2" s="1"/>
  <c r="E52" i="2"/>
  <c r="F52" i="2" s="1"/>
  <c r="K59" i="2"/>
  <c r="K199" i="2"/>
  <c r="E161" i="2"/>
  <c r="F161" i="2" s="1"/>
  <c r="K198" i="2"/>
  <c r="AG21" i="33"/>
  <c r="AK38" i="31"/>
  <c r="AI21" i="33"/>
  <c r="G36" i="31"/>
  <c r="N36" i="31" s="1"/>
  <c r="AG23" i="33"/>
  <c r="AM20" i="31"/>
  <c r="N34" i="31"/>
  <c r="N24" i="31"/>
  <c r="AK36" i="32"/>
  <c r="X29" i="27"/>
  <c r="D29" i="27" s="1"/>
  <c r="AK28" i="32"/>
  <c r="AM24" i="32"/>
  <c r="AM37" i="31"/>
  <c r="AK20" i="31"/>
  <c r="AI29" i="33"/>
  <c r="AG27" i="33"/>
  <c r="AK25" i="32"/>
  <c r="AK22" i="31"/>
  <c r="AM38" i="31"/>
  <c r="N29" i="31"/>
  <c r="AK21" i="31"/>
  <c r="N32" i="31"/>
  <c r="H38" i="31"/>
  <c r="O38" i="31" s="1"/>
  <c r="AM22" i="31"/>
  <c r="O20" i="31"/>
  <c r="O22" i="31"/>
  <c r="N26" i="31"/>
  <c r="G22" i="31"/>
  <c r="AG29" i="33"/>
  <c r="AI23" i="33"/>
  <c r="AI27" i="33"/>
  <c r="K29" i="33"/>
  <c r="O37" i="32"/>
  <c r="K27" i="33"/>
  <c r="K21" i="33"/>
  <c r="K23" i="33"/>
  <c r="AI31" i="33"/>
  <c r="AI35" i="33"/>
  <c r="C31" i="33"/>
  <c r="AG31" i="33"/>
  <c r="C35" i="33"/>
  <c r="AG35" i="33"/>
  <c r="D33" i="33"/>
  <c r="J23" i="33"/>
  <c r="E21" i="33"/>
  <c r="F21" i="33" s="1"/>
  <c r="E29" i="33"/>
  <c r="F29" i="33" s="1"/>
  <c r="AI25" i="33"/>
  <c r="D25" i="33"/>
  <c r="K25" i="33" s="1"/>
  <c r="AG25" i="33"/>
  <c r="E27" i="33"/>
  <c r="F27" i="33" s="1"/>
  <c r="J21" i="33"/>
  <c r="E23" i="33"/>
  <c r="F23" i="33" s="1"/>
  <c r="C33" i="33"/>
  <c r="J29" i="33"/>
  <c r="J25" i="33"/>
  <c r="G29" i="32"/>
  <c r="H20" i="32"/>
  <c r="AK20" i="32"/>
  <c r="G26" i="32"/>
  <c r="H29" i="32"/>
  <c r="AM37" i="32"/>
  <c r="AM25" i="32"/>
  <c r="G20" i="32"/>
  <c r="AM29" i="32"/>
  <c r="AK37" i="32"/>
  <c r="AK29" i="32"/>
  <c r="AM20" i="32"/>
  <c r="G30" i="32"/>
  <c r="G34" i="32"/>
  <c r="I37" i="32"/>
  <c r="J37" i="32" s="1"/>
  <c r="AK34" i="32"/>
  <c r="H34" i="32"/>
  <c r="AM34" i="32"/>
  <c r="G32" i="32"/>
  <c r="G38" i="32"/>
  <c r="G21" i="32"/>
  <c r="AK26" i="32"/>
  <c r="H26" i="32"/>
  <c r="AM26" i="32"/>
  <c r="AK38" i="32"/>
  <c r="N33" i="32"/>
  <c r="AK24" i="32"/>
  <c r="G36" i="32"/>
  <c r="AK33" i="32"/>
  <c r="H33" i="32"/>
  <c r="O33" i="32" s="1"/>
  <c r="AM33" i="32"/>
  <c r="G25" i="32"/>
  <c r="AK30" i="32"/>
  <c r="N37" i="32"/>
  <c r="AM36" i="32"/>
  <c r="AK21" i="32"/>
  <c r="H21" i="32"/>
  <c r="AM21" i="32"/>
  <c r="G24" i="32"/>
  <c r="O24" i="32" s="1"/>
  <c r="G22" i="32"/>
  <c r="G28" i="32"/>
  <c r="O28" i="32" s="1"/>
  <c r="AK22" i="32"/>
  <c r="AM22" i="32"/>
  <c r="H22" i="32"/>
  <c r="AM30" i="32"/>
  <c r="AK32" i="32"/>
  <c r="H32" i="32"/>
  <c r="O32" i="32" s="1"/>
  <c r="AM32" i="32"/>
  <c r="AM38" i="32"/>
  <c r="AM28" i="32"/>
  <c r="G33" i="31"/>
  <c r="N33" i="31" s="1"/>
  <c r="AK37" i="31"/>
  <c r="AK30" i="31"/>
  <c r="H30" i="31"/>
  <c r="AM30" i="31"/>
  <c r="AK32" i="31"/>
  <c r="H32" i="31"/>
  <c r="O32" i="31" s="1"/>
  <c r="AM32" i="31"/>
  <c r="AK29" i="31"/>
  <c r="H29" i="31"/>
  <c r="AM29" i="31"/>
  <c r="G30" i="31"/>
  <c r="AK33" i="31"/>
  <c r="H33" i="31"/>
  <c r="O33" i="31" s="1"/>
  <c r="AM33" i="31"/>
  <c r="G25" i="31"/>
  <c r="AK28" i="31"/>
  <c r="H28" i="31"/>
  <c r="AM28" i="31"/>
  <c r="G21" i="31"/>
  <c r="I21" i="31" s="1"/>
  <c r="J21" i="31" s="1"/>
  <c r="O21" i="31"/>
  <c r="AK24" i="31"/>
  <c r="H24" i="31"/>
  <c r="AM24" i="31"/>
  <c r="AK34" i="31"/>
  <c r="H34" i="31"/>
  <c r="AM34" i="31"/>
  <c r="G28" i="31"/>
  <c r="G37" i="31"/>
  <c r="O37" i="31"/>
  <c r="AK36" i="31"/>
  <c r="H36" i="31"/>
  <c r="O36" i="31" s="1"/>
  <c r="AM36" i="31"/>
  <c r="AK25" i="31"/>
  <c r="H25" i="31"/>
  <c r="AM25" i="31"/>
  <c r="N38" i="31"/>
  <c r="AM21" i="31"/>
  <c r="AK26" i="31"/>
  <c r="H26" i="31"/>
  <c r="AM26" i="31"/>
  <c r="I20" i="31"/>
  <c r="J20" i="31" s="1"/>
  <c r="N20" i="31"/>
  <c r="S23" i="4"/>
  <c r="Z23" i="4" s="1"/>
  <c r="X20" i="26"/>
  <c r="G20" i="26" s="1"/>
  <c r="X23" i="27"/>
  <c r="D23" i="27" s="1"/>
  <c r="S33" i="4"/>
  <c r="C33" i="4" s="1"/>
  <c r="E33" i="4" s="1"/>
  <c r="F33" i="4" s="1"/>
  <c r="X25" i="27"/>
  <c r="D25" i="27" s="1"/>
  <c r="X35" i="27"/>
  <c r="D35" i="27" s="1"/>
  <c r="S33" i="27"/>
  <c r="C33" i="27" s="1"/>
  <c r="X27" i="27"/>
  <c r="D27" i="27" s="1"/>
  <c r="S27" i="4"/>
  <c r="C27" i="4" s="1"/>
  <c r="J27" i="4" s="1"/>
  <c r="S29" i="27"/>
  <c r="J35" i="27"/>
  <c r="X29" i="26"/>
  <c r="AH24" i="26"/>
  <c r="H24" i="26" s="1"/>
  <c r="AH29" i="26"/>
  <c r="AH20" i="26"/>
  <c r="AH36" i="26"/>
  <c r="D31" i="27"/>
  <c r="S23" i="27"/>
  <c r="C23" i="27" s="1"/>
  <c r="S31" i="27"/>
  <c r="C31" i="27" s="1"/>
  <c r="D33" i="27"/>
  <c r="S27" i="27"/>
  <c r="C27" i="27" s="1"/>
  <c r="C21" i="27"/>
  <c r="S25" i="27"/>
  <c r="AB25" i="4"/>
  <c r="J21" i="4"/>
  <c r="E25" i="4"/>
  <c r="F25" i="4" s="1"/>
  <c r="J25" i="4"/>
  <c r="M25" i="4" s="1"/>
  <c r="E21" i="4"/>
  <c r="F21" i="4" s="1"/>
  <c r="AH33" i="26"/>
  <c r="X22" i="26"/>
  <c r="G22" i="26" s="1"/>
  <c r="AH25" i="26"/>
  <c r="AH21" i="26"/>
  <c r="AH37" i="26"/>
  <c r="AH38" i="26"/>
  <c r="AH30" i="26"/>
  <c r="AH28" i="26"/>
  <c r="AH34" i="26"/>
  <c r="X21" i="26"/>
  <c r="AH32" i="26"/>
  <c r="X37" i="26"/>
  <c r="AH26" i="26"/>
  <c r="AH22" i="26"/>
  <c r="X28" i="26"/>
  <c r="X25" i="26"/>
  <c r="X34" i="26"/>
  <c r="X24" i="26"/>
  <c r="X26" i="26"/>
  <c r="X33" i="26"/>
  <c r="X30" i="26"/>
  <c r="X32" i="26"/>
  <c r="X38" i="26"/>
  <c r="X36" i="26"/>
  <c r="S29" i="4"/>
  <c r="Z29" i="4" s="1"/>
  <c r="Z21" i="4"/>
  <c r="AB21" i="4"/>
  <c r="S31" i="4"/>
  <c r="C31" i="4" s="1"/>
  <c r="J31" i="4" s="1"/>
  <c r="S35" i="4"/>
  <c r="Z25" i="4"/>
  <c r="L25" i="33" l="1"/>
  <c r="L29" i="33"/>
  <c r="L23" i="33"/>
  <c r="L21" i="33"/>
  <c r="AB23" i="4"/>
  <c r="I38" i="31"/>
  <c r="J38" i="31" s="1"/>
  <c r="AE29" i="27"/>
  <c r="O21" i="32"/>
  <c r="O34" i="31"/>
  <c r="P34" i="31" s="1"/>
  <c r="E31" i="33"/>
  <c r="F31" i="33" s="1"/>
  <c r="K31" i="33"/>
  <c r="K35" i="33"/>
  <c r="J27" i="33"/>
  <c r="L27" i="33" s="1"/>
  <c r="K19" i="2"/>
  <c r="K31" i="4"/>
  <c r="L31" i="4" s="1"/>
  <c r="C23" i="4"/>
  <c r="E23" i="4" s="1"/>
  <c r="F23" i="4" s="1"/>
  <c r="G29" i="26"/>
  <c r="N29" i="26" s="1"/>
  <c r="O24" i="31"/>
  <c r="P24" i="31" s="1"/>
  <c r="K25" i="27"/>
  <c r="N22" i="31"/>
  <c r="P22" i="31" s="1"/>
  <c r="P38" i="31"/>
  <c r="O29" i="31"/>
  <c r="P29" i="31" s="1"/>
  <c r="O26" i="31"/>
  <c r="P26" i="31" s="1"/>
  <c r="I22" i="31"/>
  <c r="J22" i="31" s="1"/>
  <c r="O25" i="31"/>
  <c r="O30" i="31"/>
  <c r="O28" i="31"/>
  <c r="K35" i="27"/>
  <c r="L35" i="27" s="1"/>
  <c r="I25" i="32"/>
  <c r="J25" i="32" s="1"/>
  <c r="O25" i="32"/>
  <c r="I36" i="32"/>
  <c r="J36" i="32" s="1"/>
  <c r="O36" i="32"/>
  <c r="I38" i="32"/>
  <c r="J38" i="32" s="1"/>
  <c r="O38" i="32"/>
  <c r="I20" i="32"/>
  <c r="J20" i="32" s="1"/>
  <c r="O20" i="32"/>
  <c r="O22" i="32"/>
  <c r="O26" i="32"/>
  <c r="O34" i="32"/>
  <c r="I30" i="32"/>
  <c r="J30" i="32" s="1"/>
  <c r="O30" i="32"/>
  <c r="O29" i="32"/>
  <c r="K33" i="33"/>
  <c r="K25" i="4"/>
  <c r="K21" i="4"/>
  <c r="L21" i="4" s="1"/>
  <c r="K27" i="4"/>
  <c r="L27" i="4" s="1"/>
  <c r="E35" i="33"/>
  <c r="F35" i="33" s="1"/>
  <c r="J33" i="33"/>
  <c r="E25" i="33"/>
  <c r="F25" i="33" s="1"/>
  <c r="E33" i="33"/>
  <c r="F33" i="33" s="1"/>
  <c r="I29" i="32"/>
  <c r="J29" i="32" s="1"/>
  <c r="P37" i="32"/>
  <c r="N28" i="32"/>
  <c r="P28" i="32" s="1"/>
  <c r="N24" i="32"/>
  <c r="P24" i="32" s="1"/>
  <c r="P33" i="32"/>
  <c r="I33" i="32"/>
  <c r="J33" i="32" s="1"/>
  <c r="N34" i="32"/>
  <c r="I24" i="32"/>
  <c r="J24" i="32" s="1"/>
  <c r="N22" i="32"/>
  <c r="I26" i="32"/>
  <c r="J26" i="32" s="1"/>
  <c r="N32" i="32"/>
  <c r="I34" i="32"/>
  <c r="J34" i="32" s="1"/>
  <c r="I28" i="32"/>
  <c r="J28" i="32" s="1"/>
  <c r="I21" i="32"/>
  <c r="J21" i="32" s="1"/>
  <c r="I22" i="32"/>
  <c r="J22" i="32" s="1"/>
  <c r="N21" i="32"/>
  <c r="I32" i="32"/>
  <c r="J32" i="32" s="1"/>
  <c r="I26" i="31"/>
  <c r="J26" i="31" s="1"/>
  <c r="I25" i="31"/>
  <c r="J25" i="31" s="1"/>
  <c r="N37" i="31"/>
  <c r="P37" i="31" s="1"/>
  <c r="I28" i="31"/>
  <c r="J28" i="31" s="1"/>
  <c r="P36" i="31"/>
  <c r="I36" i="31"/>
  <c r="J36" i="31" s="1"/>
  <c r="N21" i="31"/>
  <c r="P21" i="31" s="1"/>
  <c r="N30" i="31"/>
  <c r="I29" i="31"/>
  <c r="J29" i="31" s="1"/>
  <c r="P32" i="31"/>
  <c r="I32" i="31"/>
  <c r="J32" i="31" s="1"/>
  <c r="I30" i="31"/>
  <c r="J30" i="31" s="1"/>
  <c r="I34" i="31"/>
  <c r="J34" i="31" s="1"/>
  <c r="N28" i="31"/>
  <c r="P20" i="31"/>
  <c r="I37" i="31"/>
  <c r="J37" i="31" s="1"/>
  <c r="I24" i="31"/>
  <c r="J24" i="31" s="1"/>
  <c r="N25" i="31"/>
  <c r="P33" i="31"/>
  <c r="I33" i="31"/>
  <c r="J33" i="31" s="1"/>
  <c r="AB33" i="4"/>
  <c r="N20" i="26"/>
  <c r="AM20" i="26"/>
  <c r="Z33" i="4"/>
  <c r="H29" i="26"/>
  <c r="H25" i="26"/>
  <c r="K29" i="27"/>
  <c r="C29" i="27"/>
  <c r="AE33" i="27"/>
  <c r="E27" i="4"/>
  <c r="F27" i="4" s="1"/>
  <c r="AE31" i="27"/>
  <c r="Z27" i="4"/>
  <c r="J33" i="27"/>
  <c r="AB27" i="4"/>
  <c r="H37" i="26"/>
  <c r="E27" i="27"/>
  <c r="F27" i="27" s="1"/>
  <c r="AC29" i="27"/>
  <c r="N22" i="26"/>
  <c r="H34" i="26"/>
  <c r="AC33" i="27"/>
  <c r="H21" i="26"/>
  <c r="AM21" i="26"/>
  <c r="AK38" i="26"/>
  <c r="H20" i="26"/>
  <c r="AK29" i="26"/>
  <c r="H36" i="26"/>
  <c r="H30" i="26"/>
  <c r="AM29" i="26"/>
  <c r="AK20" i="26"/>
  <c r="J27" i="27"/>
  <c r="AK36" i="26"/>
  <c r="AK24" i="26"/>
  <c r="AK30" i="26"/>
  <c r="AC31" i="27"/>
  <c r="J23" i="27"/>
  <c r="J31" i="27"/>
  <c r="E35" i="27"/>
  <c r="F35" i="27" s="1"/>
  <c r="E23" i="27"/>
  <c r="F23" i="27" s="1"/>
  <c r="AE23" i="27"/>
  <c r="AC23" i="27"/>
  <c r="E31" i="27"/>
  <c r="F31" i="27" s="1"/>
  <c r="E33" i="27"/>
  <c r="F33" i="27" s="1"/>
  <c r="J21" i="27"/>
  <c r="AC27" i="27"/>
  <c r="AE27" i="27"/>
  <c r="C25" i="27"/>
  <c r="AE25" i="27"/>
  <c r="AC25" i="27"/>
  <c r="E31" i="4"/>
  <c r="F31" i="4" s="1"/>
  <c r="AB35" i="4"/>
  <c r="C35" i="4"/>
  <c r="AB29" i="4"/>
  <c r="C29" i="4"/>
  <c r="AM34" i="26"/>
  <c r="H33" i="26"/>
  <c r="AM28" i="26"/>
  <c r="H28" i="26"/>
  <c r="AK21" i="26"/>
  <c r="G21" i="26"/>
  <c r="AM30" i="26"/>
  <c r="H38" i="26"/>
  <c r="AK34" i="26"/>
  <c r="G32" i="26"/>
  <c r="G33" i="26"/>
  <c r="G25" i="26"/>
  <c r="G37" i="26"/>
  <c r="AM25" i="26"/>
  <c r="AM33" i="26"/>
  <c r="G26" i="26"/>
  <c r="G28" i="26"/>
  <c r="AK37" i="26"/>
  <c r="AM32" i="26"/>
  <c r="H32" i="26"/>
  <c r="AK32" i="26"/>
  <c r="AK25" i="26"/>
  <c r="G36" i="26"/>
  <c r="G24" i="26"/>
  <c r="O24" i="26"/>
  <c r="AK22" i="26"/>
  <c r="AM22" i="26"/>
  <c r="H22" i="26"/>
  <c r="AM37" i="26"/>
  <c r="AM36" i="26"/>
  <c r="AK28" i="26"/>
  <c r="AK33" i="26"/>
  <c r="AM24" i="26"/>
  <c r="G38" i="26"/>
  <c r="G30" i="26"/>
  <c r="G34" i="26"/>
  <c r="AM26" i="26"/>
  <c r="H26" i="26"/>
  <c r="AK26" i="26"/>
  <c r="AM38" i="26"/>
  <c r="Z35" i="4"/>
  <c r="AB31" i="4"/>
  <c r="Z31" i="4"/>
  <c r="L25" i="4" l="1"/>
  <c r="N25" i="4"/>
  <c r="L33" i="33"/>
  <c r="N25" i="32"/>
  <c r="P25" i="32" s="1"/>
  <c r="P34" i="32"/>
  <c r="J31" i="33"/>
  <c r="L31" i="33" s="1"/>
  <c r="J35" i="33"/>
  <c r="L35" i="33" s="1"/>
  <c r="N26" i="32"/>
  <c r="P26" i="32" s="1"/>
  <c r="N38" i="32"/>
  <c r="P38" i="32" s="1"/>
  <c r="K27" i="27"/>
  <c r="L27" i="27" s="1"/>
  <c r="O22" i="26"/>
  <c r="P22" i="26" s="1"/>
  <c r="P28" i="31"/>
  <c r="O34" i="26"/>
  <c r="O26" i="26"/>
  <c r="O36" i="26"/>
  <c r="O38" i="26"/>
  <c r="O33" i="26"/>
  <c r="O28" i="26"/>
  <c r="I20" i="26"/>
  <c r="J20" i="26" s="1"/>
  <c r="O20" i="26"/>
  <c r="P20" i="26" s="1"/>
  <c r="O32" i="26"/>
  <c r="O30" i="26"/>
  <c r="O21" i="26"/>
  <c r="O37" i="26"/>
  <c r="O25" i="26"/>
  <c r="I29" i="26"/>
  <c r="J29" i="26" s="1"/>
  <c r="O29" i="26"/>
  <c r="P29" i="26" s="1"/>
  <c r="K23" i="27"/>
  <c r="L23" i="27" s="1"/>
  <c r="K33" i="27"/>
  <c r="L33" i="27" s="1"/>
  <c r="K31" i="27"/>
  <c r="L31" i="27" s="1"/>
  <c r="N20" i="32"/>
  <c r="P20" i="32" s="1"/>
  <c r="N36" i="32"/>
  <c r="P36" i="32" s="1"/>
  <c r="N30" i="32"/>
  <c r="P30" i="32" s="1"/>
  <c r="N29" i="32"/>
  <c r="P29" i="32" s="1"/>
  <c r="J23" i="4"/>
  <c r="K23" i="4"/>
  <c r="J33" i="4"/>
  <c r="K33" i="4"/>
  <c r="P32" i="32"/>
  <c r="P22" i="32"/>
  <c r="P21" i="32"/>
  <c r="P30" i="31"/>
  <c r="P25" i="31"/>
  <c r="J29" i="27"/>
  <c r="L29" i="27" s="1"/>
  <c r="I37" i="26"/>
  <c r="J37" i="26" s="1"/>
  <c r="I25" i="26"/>
  <c r="J25" i="26" s="1"/>
  <c r="E29" i="27"/>
  <c r="F29" i="27" s="1"/>
  <c r="I21" i="26"/>
  <c r="J21" i="26" s="1"/>
  <c r="I28" i="26"/>
  <c r="J28" i="26" s="1"/>
  <c r="I34" i="26"/>
  <c r="J34" i="26" s="1"/>
  <c r="N21" i="26"/>
  <c r="N30" i="26"/>
  <c r="N38" i="26"/>
  <c r="J25" i="27"/>
  <c r="L25" i="27" s="1"/>
  <c r="E25" i="27"/>
  <c r="F25" i="27" s="1"/>
  <c r="E35" i="4"/>
  <c r="F35" i="4" s="1"/>
  <c r="E29" i="4"/>
  <c r="F29" i="4" s="1"/>
  <c r="I38" i="26"/>
  <c r="J38" i="26" s="1"/>
  <c r="N34" i="26"/>
  <c r="I22" i="26"/>
  <c r="J22" i="26" s="1"/>
  <c r="I30" i="26"/>
  <c r="J30" i="26" s="1"/>
  <c r="N26" i="26"/>
  <c r="N33" i="26"/>
  <c r="I26" i="26"/>
  <c r="J26" i="26" s="1"/>
  <c r="N36" i="26"/>
  <c r="I32" i="26"/>
  <c r="J32" i="26" s="1"/>
  <c r="I36" i="26"/>
  <c r="J36" i="26" s="1"/>
  <c r="N24" i="26"/>
  <c r="P24" i="26" s="1"/>
  <c r="I33" i="26"/>
  <c r="J33" i="26" s="1"/>
  <c r="N28" i="26"/>
  <c r="I24" i="26"/>
  <c r="J24" i="26" s="1"/>
  <c r="N37" i="26"/>
  <c r="N25" i="26"/>
  <c r="N32" i="26"/>
  <c r="E38" i="25"/>
  <c r="E37" i="25"/>
  <c r="E36" i="25"/>
  <c r="E34" i="25"/>
  <c r="E33" i="25"/>
  <c r="E32" i="25"/>
  <c r="E29" i="25"/>
  <c r="E28" i="25"/>
  <c r="E26" i="25"/>
  <c r="E25" i="25"/>
  <c r="E24" i="25"/>
  <c r="W22" i="25"/>
  <c r="AG21" i="25"/>
  <c r="E21" i="25"/>
  <c r="AF20" i="25"/>
  <c r="AC28" i="25"/>
  <c r="U20" i="25"/>
  <c r="S22" i="25"/>
  <c r="E20" i="25"/>
  <c r="AG38" i="25"/>
  <c r="AF32" i="25"/>
  <c r="AE30" i="25"/>
  <c r="W29" i="25"/>
  <c r="E36" i="19"/>
  <c r="E34" i="19"/>
  <c r="E33" i="19"/>
  <c r="E29" i="19"/>
  <c r="E28" i="19"/>
  <c r="E25" i="19"/>
  <c r="E24" i="19"/>
  <c r="E22" i="19"/>
  <c r="E21" i="19"/>
  <c r="AD18" i="24"/>
  <c r="AD17" i="24"/>
  <c r="AC17" i="24"/>
  <c r="T17" i="24"/>
  <c r="E38" i="24"/>
  <c r="E37" i="24"/>
  <c r="E36" i="24"/>
  <c r="E33" i="24"/>
  <c r="L33" i="24" s="1"/>
  <c r="E32" i="24"/>
  <c r="L32" i="24" s="1"/>
  <c r="E29" i="24"/>
  <c r="L29" i="24" s="1"/>
  <c r="E28" i="24"/>
  <c r="L28" i="24" s="1"/>
  <c r="E26" i="24"/>
  <c r="E25" i="24"/>
  <c r="E24" i="24"/>
  <c r="E22" i="24"/>
  <c r="E21" i="24"/>
  <c r="S38" i="24"/>
  <c r="E20" i="24"/>
  <c r="L23" i="4" l="1"/>
  <c r="L33" i="4"/>
  <c r="K25" i="24"/>
  <c r="M25" i="24"/>
  <c r="K30" i="24"/>
  <c r="M30" i="24"/>
  <c r="M36" i="24"/>
  <c r="K36" i="24"/>
  <c r="L36" i="24"/>
  <c r="M28" i="19"/>
  <c r="K28" i="19"/>
  <c r="K38" i="19"/>
  <c r="L38" i="19"/>
  <c r="M38" i="19"/>
  <c r="K30" i="25"/>
  <c r="M30" i="25"/>
  <c r="M29" i="19"/>
  <c r="K29" i="19"/>
  <c r="K26" i="25"/>
  <c r="M26" i="25"/>
  <c r="M37" i="25"/>
  <c r="K37" i="25"/>
  <c r="L37" i="25"/>
  <c r="K24" i="24"/>
  <c r="M24" i="24"/>
  <c r="K26" i="24"/>
  <c r="M26" i="24"/>
  <c r="K29" i="24"/>
  <c r="M29" i="24"/>
  <c r="K32" i="24"/>
  <c r="M32" i="24"/>
  <c r="K34" i="24"/>
  <c r="M34" i="24"/>
  <c r="M37" i="24"/>
  <c r="L37" i="24"/>
  <c r="K37" i="24"/>
  <c r="K20" i="19"/>
  <c r="L20" i="19"/>
  <c r="M20" i="19"/>
  <c r="M25" i="19"/>
  <c r="K25" i="19"/>
  <c r="M30" i="19"/>
  <c r="K30" i="19"/>
  <c r="K36" i="19"/>
  <c r="M36" i="19"/>
  <c r="L36" i="19"/>
  <c r="K20" i="25"/>
  <c r="M20" i="25"/>
  <c r="L20" i="25"/>
  <c r="M28" i="25"/>
  <c r="K28" i="25"/>
  <c r="K33" i="25"/>
  <c r="M33" i="25"/>
  <c r="L38" i="25"/>
  <c r="M38" i="25"/>
  <c r="K38" i="25"/>
  <c r="K22" i="24"/>
  <c r="M22" i="24"/>
  <c r="K28" i="24"/>
  <c r="M28" i="24"/>
  <c r="K33" i="24"/>
  <c r="M33" i="24"/>
  <c r="L38" i="24"/>
  <c r="M38" i="24"/>
  <c r="K38" i="24"/>
  <c r="K22" i="19"/>
  <c r="M22" i="19"/>
  <c r="M33" i="19"/>
  <c r="K33" i="19"/>
  <c r="M25" i="25"/>
  <c r="K25" i="25"/>
  <c r="K36" i="25"/>
  <c r="M36" i="25"/>
  <c r="L36" i="25"/>
  <c r="M24" i="19"/>
  <c r="K24" i="19"/>
  <c r="K34" i="19"/>
  <c r="M34" i="19"/>
  <c r="T30" i="25"/>
  <c r="M22" i="25"/>
  <c r="K22" i="25"/>
  <c r="M32" i="25"/>
  <c r="K32" i="25"/>
  <c r="M21" i="24"/>
  <c r="K21" i="24"/>
  <c r="K20" i="24"/>
  <c r="M20" i="24"/>
  <c r="L20" i="24"/>
  <c r="M21" i="19"/>
  <c r="K21" i="19"/>
  <c r="M26" i="19"/>
  <c r="K26" i="19"/>
  <c r="K32" i="19"/>
  <c r="M32" i="19"/>
  <c r="M37" i="19"/>
  <c r="L37" i="19"/>
  <c r="K37" i="19"/>
  <c r="M21" i="25"/>
  <c r="K21" i="25"/>
  <c r="M24" i="25"/>
  <c r="K24" i="25"/>
  <c r="AD29" i="25"/>
  <c r="M29" i="25"/>
  <c r="K29" i="25"/>
  <c r="K34" i="25"/>
  <c r="M34" i="25"/>
  <c r="AC25" i="24"/>
  <c r="P34" i="26"/>
  <c r="P30" i="26"/>
  <c r="P33" i="26"/>
  <c r="P25" i="26"/>
  <c r="P28" i="26"/>
  <c r="P37" i="26"/>
  <c r="P36" i="26"/>
  <c r="P21" i="26"/>
  <c r="AC26" i="24"/>
  <c r="J35" i="4"/>
  <c r="K35" i="4"/>
  <c r="J29" i="4"/>
  <c r="K29" i="4"/>
  <c r="U29" i="24"/>
  <c r="P26" i="26"/>
  <c r="P38" i="26"/>
  <c r="AC32" i="24"/>
  <c r="AC21" i="24"/>
  <c r="AC34" i="24"/>
  <c r="T25" i="24"/>
  <c r="AD36" i="24"/>
  <c r="S24" i="25"/>
  <c r="S34" i="24"/>
  <c r="S32" i="24"/>
  <c r="P32" i="26"/>
  <c r="S21" i="24"/>
  <c r="S26" i="24"/>
  <c r="S28" i="24"/>
  <c r="T33" i="24"/>
  <c r="U24" i="24"/>
  <c r="S22" i="24"/>
  <c r="S24" i="24"/>
  <c r="S29" i="24"/>
  <c r="S37" i="24"/>
  <c r="AC38" i="25"/>
  <c r="AC21" i="25"/>
  <c r="S34" i="25"/>
  <c r="V34" i="25"/>
  <c r="V29" i="25"/>
  <c r="V24" i="25"/>
  <c r="V36" i="25"/>
  <c r="V30" i="25"/>
  <c r="V25" i="25"/>
  <c r="V37" i="25"/>
  <c r="V32" i="25"/>
  <c r="V26" i="25"/>
  <c r="V21" i="25"/>
  <c r="U38" i="25"/>
  <c r="U33" i="25"/>
  <c r="U28" i="25"/>
  <c r="U22" i="25"/>
  <c r="U34" i="25"/>
  <c r="U29" i="25"/>
  <c r="U24" i="25"/>
  <c r="U36" i="25"/>
  <c r="U30" i="25"/>
  <c r="U25" i="25"/>
  <c r="AD36" i="25"/>
  <c r="AD30" i="25"/>
  <c r="AD25" i="25"/>
  <c r="AD37" i="25"/>
  <c r="AD32" i="25"/>
  <c r="AD26" i="25"/>
  <c r="AD38" i="25"/>
  <c r="AD33" i="25"/>
  <c r="AD28" i="25"/>
  <c r="T20" i="25"/>
  <c r="AE20" i="25"/>
  <c r="U21" i="25"/>
  <c r="AF21" i="25"/>
  <c r="V22" i="25"/>
  <c r="AG22" i="25"/>
  <c r="T25" i="25"/>
  <c r="U26" i="25"/>
  <c r="V28" i="25"/>
  <c r="AG33" i="25"/>
  <c r="T36" i="25"/>
  <c r="U37" i="25"/>
  <c r="V38" i="25"/>
  <c r="AE37" i="25"/>
  <c r="AE32" i="25"/>
  <c r="AE26" i="25"/>
  <c r="AE38" i="25"/>
  <c r="AE33" i="25"/>
  <c r="AE28" i="25"/>
  <c r="AE22" i="25"/>
  <c r="AE34" i="25"/>
  <c r="AE29" i="25"/>
  <c r="AE24" i="25"/>
  <c r="W36" i="25"/>
  <c r="W30" i="25"/>
  <c r="W25" i="25"/>
  <c r="W37" i="25"/>
  <c r="W32" i="25"/>
  <c r="W26" i="25"/>
  <c r="W38" i="25"/>
  <c r="W33" i="25"/>
  <c r="W28" i="25"/>
  <c r="AF38" i="25"/>
  <c r="AF33" i="25"/>
  <c r="AF28" i="25"/>
  <c r="AF22" i="25"/>
  <c r="AF34" i="25"/>
  <c r="AF29" i="25"/>
  <c r="AF24" i="25"/>
  <c r="AF36" i="25"/>
  <c r="AF30" i="25"/>
  <c r="AF25" i="25"/>
  <c r="V20" i="25"/>
  <c r="AC34" i="25"/>
  <c r="AC29" i="25"/>
  <c r="AC24" i="25"/>
  <c r="AC36" i="25"/>
  <c r="AC30" i="25"/>
  <c r="AC25" i="25"/>
  <c r="AC37" i="25"/>
  <c r="AC32" i="25"/>
  <c r="AC26" i="25"/>
  <c r="AG20" i="25"/>
  <c r="S21" i="25"/>
  <c r="W21" i="25"/>
  <c r="AD21" i="25"/>
  <c r="AC22" i="25"/>
  <c r="W24" i="25"/>
  <c r="AE25" i="25"/>
  <c r="AF26" i="25"/>
  <c r="AG28" i="25"/>
  <c r="U32" i="25"/>
  <c r="V33" i="25"/>
  <c r="W34" i="25"/>
  <c r="AE36" i="25"/>
  <c r="AF37" i="25"/>
  <c r="T37" i="25"/>
  <c r="T32" i="25"/>
  <c r="T26" i="25"/>
  <c r="T33" i="25"/>
  <c r="T28" i="25"/>
  <c r="T34" i="25"/>
  <c r="T29" i="25"/>
  <c r="T24" i="25"/>
  <c r="AG34" i="25"/>
  <c r="AG29" i="25"/>
  <c r="AG24" i="25"/>
  <c r="AG36" i="25"/>
  <c r="AG30" i="25"/>
  <c r="AG25" i="25"/>
  <c r="AG37" i="25"/>
  <c r="AG32" i="25"/>
  <c r="AG26" i="25"/>
  <c r="S36" i="25"/>
  <c r="S30" i="25"/>
  <c r="S25" i="25"/>
  <c r="S37" i="25"/>
  <c r="S32" i="25"/>
  <c r="S26" i="25"/>
  <c r="S38" i="25"/>
  <c r="S33" i="25"/>
  <c r="S28" i="25"/>
  <c r="W20" i="25"/>
  <c r="AD20" i="25"/>
  <c r="T21" i="25"/>
  <c r="AE21" i="25"/>
  <c r="T22" i="25"/>
  <c r="AD22" i="25"/>
  <c r="AD24" i="25"/>
  <c r="S29" i="25"/>
  <c r="AC33" i="25"/>
  <c r="AD34" i="25"/>
  <c r="AC20" i="24"/>
  <c r="AD37" i="24"/>
  <c r="AD32" i="24"/>
  <c r="AD26" i="24"/>
  <c r="AD34" i="24"/>
  <c r="AD29" i="24"/>
  <c r="AD24" i="24"/>
  <c r="AD38" i="24"/>
  <c r="AD30" i="24"/>
  <c r="AD28" i="24"/>
  <c r="AD22" i="24"/>
  <c r="AD20" i="24"/>
  <c r="T30" i="24"/>
  <c r="U36" i="24"/>
  <c r="U30" i="24"/>
  <c r="U38" i="24"/>
  <c r="U33" i="24"/>
  <c r="U28" i="24"/>
  <c r="U22" i="24"/>
  <c r="U37" i="24"/>
  <c r="U34" i="24"/>
  <c r="U26" i="24"/>
  <c r="U20" i="24"/>
  <c r="T20" i="24"/>
  <c r="U21" i="24"/>
  <c r="AD25" i="24"/>
  <c r="U32" i="24"/>
  <c r="AD33" i="24"/>
  <c r="AD21" i="24"/>
  <c r="U25" i="24"/>
  <c r="T34" i="24"/>
  <c r="T29" i="24"/>
  <c r="T37" i="24"/>
  <c r="T32" i="24"/>
  <c r="T26" i="24"/>
  <c r="T21" i="24"/>
  <c r="T38" i="24"/>
  <c r="T28" i="24"/>
  <c r="T24" i="24"/>
  <c r="T36" i="24"/>
  <c r="T22" i="24"/>
  <c r="AC36" i="24"/>
  <c r="AC30" i="24"/>
  <c r="AC38" i="24"/>
  <c r="AC33" i="24"/>
  <c r="AC28" i="24"/>
  <c r="AC22" i="24"/>
  <c r="AC24" i="24"/>
  <c r="AC29" i="24"/>
  <c r="AC37" i="24"/>
  <c r="S25" i="24"/>
  <c r="S30" i="24"/>
  <c r="S36" i="24"/>
  <c r="S33" i="24"/>
  <c r="AF21" i="24" l="1"/>
  <c r="H21" i="24" s="1"/>
  <c r="O21" i="24" s="1"/>
  <c r="L29" i="4"/>
  <c r="L35" i="4"/>
  <c r="AF25" i="24"/>
  <c r="H25" i="24" s="1"/>
  <c r="AF24" i="24"/>
  <c r="H24" i="24" s="1"/>
  <c r="AF26" i="24"/>
  <c r="H26" i="24" s="1"/>
  <c r="W29" i="24"/>
  <c r="G29" i="24" s="1"/>
  <c r="AF36" i="24"/>
  <c r="AF20" i="24"/>
  <c r="H20" i="24" s="1"/>
  <c r="W21" i="24"/>
  <c r="AF32" i="24"/>
  <c r="H32" i="24" s="1"/>
  <c r="AH38" i="25"/>
  <c r="H38" i="25" s="1"/>
  <c r="X34" i="25"/>
  <c r="AF34" i="24"/>
  <c r="W36" i="24"/>
  <c r="G36" i="24" s="1"/>
  <c r="W25" i="24"/>
  <c r="W24" i="24"/>
  <c r="W34" i="24"/>
  <c r="G34" i="24" s="1"/>
  <c r="W22" i="24"/>
  <c r="G22" i="24" s="1"/>
  <c r="X20" i="25"/>
  <c r="AF38" i="24"/>
  <c r="AH20" i="25"/>
  <c r="X33" i="25"/>
  <c r="G33" i="25" s="1"/>
  <c r="X37" i="25"/>
  <c r="AH28" i="25"/>
  <c r="AH29" i="25"/>
  <c r="X22" i="25"/>
  <c r="X24" i="25"/>
  <c r="G24" i="25" s="1"/>
  <c r="AH32" i="25"/>
  <c r="AH36" i="25"/>
  <c r="AH25" i="25"/>
  <c r="AH21" i="25"/>
  <c r="X26" i="25"/>
  <c r="X30" i="25"/>
  <c r="X29" i="25"/>
  <c r="X38" i="25"/>
  <c r="X25" i="25"/>
  <c r="AH22" i="25"/>
  <c r="AH26" i="25"/>
  <c r="AH30" i="25"/>
  <c r="AH34" i="25"/>
  <c r="AH33" i="25"/>
  <c r="X28" i="25"/>
  <c r="X32" i="25"/>
  <c r="X36" i="25"/>
  <c r="X21" i="25"/>
  <c r="AH37" i="25"/>
  <c r="AH24" i="25"/>
  <c r="W33" i="24"/>
  <c r="AF22" i="24"/>
  <c r="H22" i="24" s="1"/>
  <c r="AF30" i="24"/>
  <c r="W20" i="24"/>
  <c r="AF29" i="24"/>
  <c r="AF37" i="24"/>
  <c r="AF28" i="24"/>
  <c r="W32" i="24"/>
  <c r="W26" i="24"/>
  <c r="W38" i="24"/>
  <c r="W37" i="24"/>
  <c r="AF33" i="24"/>
  <c r="W30" i="24"/>
  <c r="W28" i="24"/>
  <c r="AJ25" i="24" l="1"/>
  <c r="AI24" i="24"/>
  <c r="O26" i="24"/>
  <c r="O22" i="24"/>
  <c r="G26" i="25"/>
  <c r="N26" i="25" s="1"/>
  <c r="H38" i="24"/>
  <c r="O38" i="24" s="1"/>
  <c r="AI21" i="24"/>
  <c r="AJ20" i="24"/>
  <c r="G34" i="25"/>
  <c r="N34" i="25" s="1"/>
  <c r="H28" i="25"/>
  <c r="G24" i="24"/>
  <c r="I24" i="24" s="1"/>
  <c r="J24" i="24" s="1"/>
  <c r="AJ24" i="24"/>
  <c r="O24" i="24"/>
  <c r="AJ36" i="24"/>
  <c r="H36" i="24"/>
  <c r="O36" i="24" s="1"/>
  <c r="AI36" i="24"/>
  <c r="AK38" i="25"/>
  <c r="G21" i="24"/>
  <c r="N21" i="24" s="1"/>
  <c r="O20" i="24"/>
  <c r="AK28" i="25"/>
  <c r="AJ34" i="24"/>
  <c r="AK29" i="25"/>
  <c r="AM29" i="25"/>
  <c r="AJ21" i="24"/>
  <c r="AI25" i="24"/>
  <c r="H29" i="25"/>
  <c r="AI37" i="24"/>
  <c r="H20" i="25"/>
  <c r="O20" i="25" s="1"/>
  <c r="G25" i="24"/>
  <c r="I25" i="24" s="1"/>
  <c r="J25" i="24" s="1"/>
  <c r="AJ32" i="24"/>
  <c r="H34" i="24"/>
  <c r="H25" i="25"/>
  <c r="AI34" i="24"/>
  <c r="H30" i="24"/>
  <c r="G30" i="25"/>
  <c r="N30" i="25" s="1"/>
  <c r="AM20" i="25"/>
  <c r="O25" i="24"/>
  <c r="N34" i="24"/>
  <c r="AI30" i="24"/>
  <c r="H21" i="25"/>
  <c r="AJ33" i="24"/>
  <c r="H33" i="24"/>
  <c r="O33" i="24" s="1"/>
  <c r="AK20" i="25"/>
  <c r="H28" i="24"/>
  <c r="G20" i="25"/>
  <c r="H36" i="25"/>
  <c r="H29" i="24"/>
  <c r="AJ29" i="24"/>
  <c r="H37" i="24"/>
  <c r="O37" i="24" s="1"/>
  <c r="AJ22" i="24"/>
  <c r="AM25" i="25"/>
  <c r="AI32" i="24"/>
  <c r="G20" i="24"/>
  <c r="I20" i="24" s="1"/>
  <c r="J20" i="24" s="1"/>
  <c r="AI20" i="24"/>
  <c r="O32" i="24"/>
  <c r="G32" i="24"/>
  <c r="I32" i="24" s="1"/>
  <c r="J32" i="24" s="1"/>
  <c r="G37" i="25"/>
  <c r="N37" i="25" s="1"/>
  <c r="N33" i="25"/>
  <c r="N24" i="25"/>
  <c r="G22" i="25"/>
  <c r="N22" i="25" s="1"/>
  <c r="AM32" i="25"/>
  <c r="AM28" i="25"/>
  <c r="AK21" i="25"/>
  <c r="H32" i="25"/>
  <c r="AK33" i="25"/>
  <c r="H33" i="25"/>
  <c r="AM33" i="25"/>
  <c r="G25" i="25"/>
  <c r="G38" i="25"/>
  <c r="I38" i="25" s="1"/>
  <c r="J38" i="25" s="1"/>
  <c r="O38" i="25"/>
  <c r="AM24" i="25"/>
  <c r="H24" i="25"/>
  <c r="AK24" i="25"/>
  <c r="AK25" i="25"/>
  <c r="AM26" i="25"/>
  <c r="H26" i="25"/>
  <c r="O26" i="25" s="1"/>
  <c r="AK26" i="25"/>
  <c r="G29" i="25"/>
  <c r="G21" i="25"/>
  <c r="AM34" i="25"/>
  <c r="H34" i="25"/>
  <c r="O34" i="25" s="1"/>
  <c r="AK34" i="25"/>
  <c r="G36" i="25"/>
  <c r="AK36" i="25"/>
  <c r="AM30" i="25"/>
  <c r="H30" i="25"/>
  <c r="O30" i="25" s="1"/>
  <c r="AK30" i="25"/>
  <c r="G32" i="25"/>
  <c r="AM37" i="25"/>
  <c r="H37" i="25"/>
  <c r="O37" i="25" s="1"/>
  <c r="AK37" i="25"/>
  <c r="G28" i="25"/>
  <c r="AM36" i="25"/>
  <c r="AK32" i="25"/>
  <c r="AM38" i="25"/>
  <c r="AK22" i="25"/>
  <c r="H22" i="25"/>
  <c r="O22" i="25" s="1"/>
  <c r="AM22" i="25"/>
  <c r="AM21" i="25"/>
  <c r="AI22" i="24"/>
  <c r="AI29" i="24"/>
  <c r="G33" i="24"/>
  <c r="N33" i="24" s="1"/>
  <c r="AI33" i="24"/>
  <c r="AJ37" i="24"/>
  <c r="AI28" i="24"/>
  <c r="G37" i="24"/>
  <c r="N37" i="24" s="1"/>
  <c r="AJ38" i="24"/>
  <c r="AI38" i="24"/>
  <c r="AI26" i="24"/>
  <c r="G38" i="24"/>
  <c r="N38" i="24" s="1"/>
  <c r="G26" i="24"/>
  <c r="N26" i="24" s="1"/>
  <c r="AJ26" i="24"/>
  <c r="G28" i="24"/>
  <c r="G30" i="24"/>
  <c r="N22" i="24"/>
  <c r="N36" i="24"/>
  <c r="AJ28" i="24"/>
  <c r="AJ30" i="24"/>
  <c r="I22" i="24"/>
  <c r="J22" i="24" s="1"/>
  <c r="N29" i="24"/>
  <c r="O24" i="25" l="1"/>
  <c r="P24" i="25" s="1"/>
  <c r="O21" i="25"/>
  <c r="O33" i="25"/>
  <c r="P33" i="25" s="1"/>
  <c r="O29" i="24"/>
  <c r="O25" i="25"/>
  <c r="O36" i="25"/>
  <c r="O29" i="25"/>
  <c r="O28" i="25"/>
  <c r="O32" i="25"/>
  <c r="O30" i="24"/>
  <c r="O34" i="24"/>
  <c r="P34" i="24" s="1"/>
  <c r="O28" i="24"/>
  <c r="N25" i="24"/>
  <c r="P25" i="24" s="1"/>
  <c r="I28" i="25"/>
  <c r="J28" i="25" s="1"/>
  <c r="N24" i="24"/>
  <c r="P24" i="24" s="1"/>
  <c r="I21" i="24"/>
  <c r="J21" i="24" s="1"/>
  <c r="I20" i="25"/>
  <c r="J20" i="25" s="1"/>
  <c r="I36" i="24"/>
  <c r="J36" i="24" s="1"/>
  <c r="I29" i="25"/>
  <c r="J29" i="25" s="1"/>
  <c r="I34" i="24"/>
  <c r="J34" i="24" s="1"/>
  <c r="N20" i="24"/>
  <c r="P20" i="24" s="1"/>
  <c r="I21" i="25"/>
  <c r="J21" i="25" s="1"/>
  <c r="I30" i="24"/>
  <c r="J30" i="24" s="1"/>
  <c r="I25" i="25"/>
  <c r="J25" i="25" s="1"/>
  <c r="I38" i="24"/>
  <c r="J38" i="24" s="1"/>
  <c r="N20" i="25"/>
  <c r="P20" i="25" s="1"/>
  <c r="P26" i="24"/>
  <c r="P29" i="24"/>
  <c r="P33" i="24"/>
  <c r="I29" i="24"/>
  <c r="J29" i="24" s="1"/>
  <c r="N36" i="25"/>
  <c r="I37" i="24"/>
  <c r="J37" i="24" s="1"/>
  <c r="P22" i="24"/>
  <c r="I33" i="24"/>
  <c r="J33" i="24" s="1"/>
  <c r="P37" i="24"/>
  <c r="N32" i="25"/>
  <c r="N32" i="24"/>
  <c r="P32" i="24" s="1"/>
  <c r="N21" i="25"/>
  <c r="I32" i="25"/>
  <c r="J32" i="25" s="1"/>
  <c r="P34" i="25"/>
  <c r="I34" i="25"/>
  <c r="J34" i="25" s="1"/>
  <c r="P22" i="25"/>
  <c r="I22" i="25"/>
  <c r="J22" i="25" s="1"/>
  <c r="I26" i="25"/>
  <c r="J26" i="25" s="1"/>
  <c r="P26" i="25"/>
  <c r="I24" i="25"/>
  <c r="J24" i="25" s="1"/>
  <c r="I37" i="25"/>
  <c r="J37" i="25" s="1"/>
  <c r="P37" i="25"/>
  <c r="N28" i="25"/>
  <c r="I30" i="25"/>
  <c r="J30" i="25" s="1"/>
  <c r="P30" i="25"/>
  <c r="N38" i="25"/>
  <c r="P38" i="25" s="1"/>
  <c r="I33" i="25"/>
  <c r="J33" i="25" s="1"/>
  <c r="N29" i="25"/>
  <c r="I36" i="25"/>
  <c r="J36" i="25" s="1"/>
  <c r="N25" i="25"/>
  <c r="P38" i="24"/>
  <c r="N28" i="24"/>
  <c r="I26" i="24"/>
  <c r="J26" i="24" s="1"/>
  <c r="P36" i="24"/>
  <c r="I28" i="24"/>
  <c r="J28" i="24" s="1"/>
  <c r="P21" i="24"/>
  <c r="N30" i="24"/>
  <c r="P30" i="24" l="1"/>
  <c r="P32" i="25"/>
  <c r="P28" i="25"/>
  <c r="P25" i="25"/>
  <c r="P29" i="25"/>
  <c r="P36" i="25"/>
  <c r="P21" i="25"/>
  <c r="P28" i="24"/>
  <c r="E38" i="15"/>
  <c r="E37" i="15"/>
  <c r="E36" i="15"/>
  <c r="E34" i="15"/>
  <c r="L34" i="15" s="1"/>
  <c r="E33" i="15"/>
  <c r="L33" i="15" s="1"/>
  <c r="E32" i="15"/>
  <c r="L32" i="15" s="1"/>
  <c r="E30" i="15"/>
  <c r="L30" i="15" s="1"/>
  <c r="E29" i="15"/>
  <c r="L29" i="15" s="1"/>
  <c r="E28" i="15"/>
  <c r="L28" i="15" s="1"/>
  <c r="E26" i="15"/>
  <c r="L26" i="15" s="1"/>
  <c r="E25" i="15"/>
  <c r="L25" i="15" s="1"/>
  <c r="E24" i="15"/>
  <c r="L24" i="15" s="1"/>
  <c r="E22" i="15"/>
  <c r="E21" i="15"/>
  <c r="E20" i="15"/>
  <c r="M21" i="15" l="1"/>
  <c r="K21" i="15"/>
  <c r="M26" i="15"/>
  <c r="K26" i="15"/>
  <c r="M32" i="15"/>
  <c r="K32" i="15"/>
  <c r="M37" i="15"/>
  <c r="L37" i="15"/>
  <c r="K37" i="15"/>
  <c r="M22" i="15"/>
  <c r="K22" i="15"/>
  <c r="K28" i="15"/>
  <c r="M28" i="15"/>
  <c r="K33" i="15"/>
  <c r="M33" i="15"/>
  <c r="L38" i="15"/>
  <c r="M38" i="15"/>
  <c r="K38" i="15"/>
  <c r="M24" i="15"/>
  <c r="K24" i="15"/>
  <c r="K29" i="15"/>
  <c r="M29" i="15"/>
  <c r="M34" i="15"/>
  <c r="K34" i="15"/>
  <c r="L20" i="15"/>
  <c r="M20" i="15"/>
  <c r="K20" i="15"/>
  <c r="M25" i="15"/>
  <c r="K25" i="15"/>
  <c r="M30" i="15"/>
  <c r="K30" i="15"/>
  <c r="K36" i="15"/>
  <c r="M36" i="15"/>
  <c r="L36" i="15"/>
  <c r="AD18" i="15"/>
  <c r="AD17" i="15"/>
  <c r="S20" i="15"/>
  <c r="T17" i="15"/>
  <c r="AC17" i="15"/>
  <c r="AD37" i="15" l="1"/>
  <c r="AD32" i="15"/>
  <c r="AD26" i="15"/>
  <c r="AD21" i="15"/>
  <c r="AD28" i="15"/>
  <c r="AD36" i="15"/>
  <c r="AD30" i="15"/>
  <c r="AD25" i="15"/>
  <c r="AD20" i="15"/>
  <c r="AD33" i="15"/>
  <c r="AD34" i="15"/>
  <c r="AD29" i="15"/>
  <c r="AD24" i="15"/>
  <c r="AD38" i="15"/>
  <c r="AD22" i="15"/>
  <c r="W20" i="19" l="1"/>
  <c r="V38" i="19"/>
  <c r="U36" i="19"/>
  <c r="W21" i="19" l="1"/>
  <c r="W24" i="19"/>
  <c r="W26" i="19"/>
  <c r="W29" i="19"/>
  <c r="W32" i="19"/>
  <c r="W34" i="19"/>
  <c r="W37" i="19"/>
  <c r="AF37" i="19"/>
  <c r="AF32" i="19"/>
  <c r="AF26" i="19"/>
  <c r="AF21" i="19"/>
  <c r="AF33" i="19"/>
  <c r="AF22" i="19"/>
  <c r="AF36" i="19"/>
  <c r="AF30" i="19"/>
  <c r="AF25" i="19"/>
  <c r="AF20" i="19"/>
  <c r="AF34" i="19"/>
  <c r="AF29" i="19"/>
  <c r="AF24" i="19"/>
  <c r="AF38" i="19"/>
  <c r="AF28" i="19"/>
  <c r="AG38" i="19"/>
  <c r="AG33" i="19"/>
  <c r="AG28" i="19"/>
  <c r="AG22" i="19"/>
  <c r="AG34" i="19"/>
  <c r="AG24" i="19"/>
  <c r="AG37" i="19"/>
  <c r="AG32" i="19"/>
  <c r="AG26" i="19"/>
  <c r="AG21" i="19"/>
  <c r="AG36" i="19"/>
  <c r="AG30" i="19"/>
  <c r="AG25" i="19"/>
  <c r="AG20" i="19"/>
  <c r="AG29" i="19"/>
  <c r="W22" i="19"/>
  <c r="W25" i="19"/>
  <c r="W28" i="19"/>
  <c r="W30" i="19"/>
  <c r="W33" i="19"/>
  <c r="W36" i="19"/>
  <c r="W38" i="19"/>
  <c r="AD34" i="19"/>
  <c r="AD29" i="19"/>
  <c r="AD24" i="19"/>
  <c r="AD36" i="19"/>
  <c r="AD25" i="19"/>
  <c r="AD38" i="19"/>
  <c r="AD33" i="19"/>
  <c r="AD28" i="19"/>
  <c r="AD22" i="19"/>
  <c r="AD37" i="19"/>
  <c r="AD32" i="19"/>
  <c r="AD26" i="19"/>
  <c r="AD21" i="19"/>
  <c r="AD30" i="19"/>
  <c r="AD20" i="19"/>
  <c r="AE36" i="19"/>
  <c r="AE30" i="19"/>
  <c r="AE25" i="19"/>
  <c r="AE20" i="19"/>
  <c r="AE32" i="19"/>
  <c r="AE21" i="19"/>
  <c r="AE34" i="19"/>
  <c r="AE29" i="19"/>
  <c r="AE24" i="19"/>
  <c r="AE38" i="19"/>
  <c r="AE33" i="19"/>
  <c r="AE28" i="19"/>
  <c r="AE22" i="19"/>
  <c r="AE37" i="19"/>
  <c r="AE26" i="19"/>
  <c r="S38" i="19"/>
  <c r="AC37" i="19"/>
  <c r="AC29" i="19"/>
  <c r="AC22" i="19"/>
  <c r="AC33" i="19"/>
  <c r="AC24" i="19"/>
  <c r="AC34" i="19"/>
  <c r="AC28" i="19"/>
  <c r="AC38" i="19"/>
  <c r="U26" i="19"/>
  <c r="U37" i="19"/>
  <c r="U28" i="19"/>
  <c r="U24" i="19"/>
  <c r="U29" i="19"/>
  <c r="U34" i="19"/>
  <c r="AC25" i="19"/>
  <c r="AC30" i="19"/>
  <c r="AC36" i="19"/>
  <c r="U21" i="19"/>
  <c r="U32" i="19"/>
  <c r="U22" i="19"/>
  <c r="U33" i="19"/>
  <c r="U38" i="19"/>
  <c r="U20" i="19"/>
  <c r="U25" i="19"/>
  <c r="U30" i="19"/>
  <c r="AC21" i="19"/>
  <c r="AC26" i="19"/>
  <c r="AC32" i="19"/>
  <c r="T20" i="19"/>
  <c r="T21" i="19"/>
  <c r="T22" i="19"/>
  <c r="T24" i="19"/>
  <c r="T25" i="19"/>
  <c r="T26" i="19"/>
  <c r="T28" i="19"/>
  <c r="T29" i="19"/>
  <c r="T30" i="19"/>
  <c r="T32" i="19"/>
  <c r="T33" i="19"/>
  <c r="T34" i="19"/>
  <c r="T36" i="19"/>
  <c r="T37" i="19"/>
  <c r="T38" i="19"/>
  <c r="V20" i="19"/>
  <c r="S21" i="19"/>
  <c r="V21" i="19"/>
  <c r="S22" i="19"/>
  <c r="V22" i="19"/>
  <c r="S24" i="19"/>
  <c r="V24" i="19"/>
  <c r="S25" i="19"/>
  <c r="V25" i="19"/>
  <c r="S26" i="19"/>
  <c r="V26" i="19"/>
  <c r="S28" i="19"/>
  <c r="V28" i="19"/>
  <c r="S29" i="19"/>
  <c r="V29" i="19"/>
  <c r="S30" i="19"/>
  <c r="V30" i="19"/>
  <c r="S32" i="19"/>
  <c r="V32" i="19"/>
  <c r="S33" i="19"/>
  <c r="V33" i="19"/>
  <c r="S34" i="19"/>
  <c r="V34" i="19"/>
  <c r="S36" i="19"/>
  <c r="V36" i="19"/>
  <c r="S37" i="19"/>
  <c r="V37" i="19"/>
  <c r="AH20" i="19" l="1"/>
  <c r="AH36" i="19"/>
  <c r="AH38" i="19"/>
  <c r="X36" i="19"/>
  <c r="X28" i="19"/>
  <c r="X22" i="19"/>
  <c r="X33" i="19"/>
  <c r="X25" i="19"/>
  <c r="X30" i="19"/>
  <c r="X34" i="19"/>
  <c r="X24" i="19"/>
  <c r="X20" i="19"/>
  <c r="AH21" i="19"/>
  <c r="AH33" i="19"/>
  <c r="X38" i="19"/>
  <c r="AH30" i="19"/>
  <c r="AH28" i="19"/>
  <c r="AH22" i="19"/>
  <c r="X37" i="19"/>
  <c r="X32" i="19"/>
  <c r="X26" i="19"/>
  <c r="X21" i="19"/>
  <c r="AH32" i="19"/>
  <c r="AH25" i="19"/>
  <c r="AH34" i="19"/>
  <c r="AH29" i="19"/>
  <c r="X29" i="19"/>
  <c r="AH26" i="19"/>
  <c r="AH24" i="19"/>
  <c r="AH37" i="19"/>
  <c r="AK38" i="19"/>
  <c r="H30" i="19" l="1"/>
  <c r="H32" i="19"/>
  <c r="H38" i="19"/>
  <c r="O38" i="19" s="1"/>
  <c r="H37" i="19"/>
  <c r="H33" i="19"/>
  <c r="H36" i="19"/>
  <c r="O36" i="19" s="1"/>
  <c r="H26" i="19"/>
  <c r="H29" i="19"/>
  <c r="H24" i="19"/>
  <c r="H34" i="19"/>
  <c r="H28" i="19"/>
  <c r="H21" i="19"/>
  <c r="H20" i="19"/>
  <c r="G32" i="19"/>
  <c r="G25" i="19"/>
  <c r="G24" i="19"/>
  <c r="G33" i="19"/>
  <c r="G29" i="19"/>
  <c r="G37" i="19"/>
  <c r="G34" i="19"/>
  <c r="G26" i="19"/>
  <c r="G30" i="19"/>
  <c r="G28" i="19"/>
  <c r="AM25" i="19"/>
  <c r="H25" i="19"/>
  <c r="O25" i="19" s="1"/>
  <c r="G20" i="19"/>
  <c r="AM36" i="19"/>
  <c r="G36" i="19"/>
  <c r="N36" i="19" s="1"/>
  <c r="AM38" i="19"/>
  <c r="G38" i="19"/>
  <c r="N38" i="19" s="1"/>
  <c r="G21" i="19"/>
  <c r="AK22" i="19"/>
  <c r="H22" i="19"/>
  <c r="G22" i="19"/>
  <c r="AK32" i="19"/>
  <c r="AM33" i="19"/>
  <c r="AM26" i="19"/>
  <c r="AK33" i="19"/>
  <c r="AM37" i="19"/>
  <c r="AM29" i="19"/>
  <c r="AK25" i="19"/>
  <c r="AM20" i="19"/>
  <c r="AK24" i="19"/>
  <c r="AM30" i="19"/>
  <c r="AK20" i="19"/>
  <c r="AM22" i="19"/>
  <c r="AM28" i="19"/>
  <c r="AM21" i="19"/>
  <c r="AK34" i="19"/>
  <c r="AK28" i="19"/>
  <c r="AK30" i="19"/>
  <c r="AK36" i="19"/>
  <c r="AK26" i="19"/>
  <c r="AK29" i="19"/>
  <c r="AK37" i="19"/>
  <c r="AK21" i="19"/>
  <c r="AM24" i="19"/>
  <c r="AM34" i="19"/>
  <c r="AM32" i="19"/>
  <c r="U38" i="15"/>
  <c r="U37" i="15"/>
  <c r="U36" i="15"/>
  <c r="U34" i="15"/>
  <c r="U33" i="15"/>
  <c r="U32" i="15"/>
  <c r="U30" i="15"/>
  <c r="U29" i="15"/>
  <c r="U28" i="15"/>
  <c r="U26" i="15"/>
  <c r="U25" i="15"/>
  <c r="U24" i="15"/>
  <c r="U22" i="15"/>
  <c r="U21" i="15"/>
  <c r="U20" i="15"/>
  <c r="S38" i="15"/>
  <c r="S37" i="15"/>
  <c r="S36" i="15"/>
  <c r="S34" i="15"/>
  <c r="S33" i="15"/>
  <c r="S32" i="15"/>
  <c r="S30" i="15"/>
  <c r="S29" i="15"/>
  <c r="S28" i="15"/>
  <c r="S26" i="15"/>
  <c r="S25" i="15"/>
  <c r="S24" i="15"/>
  <c r="S22" i="15"/>
  <c r="S21" i="15"/>
  <c r="AB38" i="15"/>
  <c r="AB37" i="15"/>
  <c r="AB36" i="15"/>
  <c r="AB34" i="15"/>
  <c r="AB33" i="15"/>
  <c r="AB32" i="15"/>
  <c r="AB30" i="15"/>
  <c r="AB29" i="15"/>
  <c r="AB28" i="15"/>
  <c r="AB26" i="15"/>
  <c r="AB25" i="15"/>
  <c r="AB24" i="15"/>
  <c r="AB22" i="15"/>
  <c r="AB21" i="15"/>
  <c r="AB20" i="15"/>
  <c r="O29" i="19" l="1"/>
  <c r="O20" i="19"/>
  <c r="O24" i="19"/>
  <c r="I29" i="19"/>
  <c r="J29" i="19" s="1"/>
  <c r="O34" i="19"/>
  <c r="O32" i="19"/>
  <c r="I33" i="19"/>
  <c r="J33" i="19" s="1"/>
  <c r="O37" i="19"/>
  <c r="O21" i="19"/>
  <c r="O22" i="19"/>
  <c r="O28" i="19"/>
  <c r="O26" i="19"/>
  <c r="O33" i="19"/>
  <c r="O30" i="19"/>
  <c r="I20" i="19"/>
  <c r="J20" i="19" s="1"/>
  <c r="I24" i="19"/>
  <c r="J24" i="19" s="1"/>
  <c r="I38" i="19"/>
  <c r="J38" i="19" s="1"/>
  <c r="I37" i="19"/>
  <c r="J37" i="19" s="1"/>
  <c r="I21" i="19"/>
  <c r="J21" i="19" s="1"/>
  <c r="I32" i="19"/>
  <c r="J32" i="19" s="1"/>
  <c r="N22" i="19"/>
  <c r="N34" i="19"/>
  <c r="P36" i="19"/>
  <c r="I36" i="19"/>
  <c r="J36" i="19" s="1"/>
  <c r="N30" i="19"/>
  <c r="I34" i="19"/>
  <c r="J34" i="19" s="1"/>
  <c r="P38" i="19"/>
  <c r="N21" i="19"/>
  <c r="N20" i="19"/>
  <c r="N26" i="19"/>
  <c r="N24" i="19"/>
  <c r="P24" i="19" s="1"/>
  <c r="I25" i="19"/>
  <c r="J25" i="19" s="1"/>
  <c r="N28" i="19"/>
  <c r="N37" i="19"/>
  <c r="I30" i="19"/>
  <c r="J30" i="19" s="1"/>
  <c r="I28" i="19"/>
  <c r="J28" i="19" s="1"/>
  <c r="I26" i="19"/>
  <c r="J26" i="19" s="1"/>
  <c r="N33" i="19"/>
  <c r="N29" i="19"/>
  <c r="N25" i="19"/>
  <c r="N32" i="19"/>
  <c r="I22" i="19"/>
  <c r="J22" i="19" s="1"/>
  <c r="AC36" i="15"/>
  <c r="AF36" i="15" s="1"/>
  <c r="AC30" i="15"/>
  <c r="AF30" i="15" s="1"/>
  <c r="AC25" i="15"/>
  <c r="AF25" i="15" s="1"/>
  <c r="AC20" i="15"/>
  <c r="AC34" i="15"/>
  <c r="AF34" i="15" s="1"/>
  <c r="AC29" i="15"/>
  <c r="AF29" i="15" s="1"/>
  <c r="AC24" i="15"/>
  <c r="AF24" i="15" s="1"/>
  <c r="AC38" i="15"/>
  <c r="AF38" i="15" s="1"/>
  <c r="AC33" i="15"/>
  <c r="AF33" i="15" s="1"/>
  <c r="AC28" i="15"/>
  <c r="AF28" i="15" s="1"/>
  <c r="AC22" i="15"/>
  <c r="AF22" i="15" s="1"/>
  <c r="AC37" i="15"/>
  <c r="AF37" i="15" s="1"/>
  <c r="AC32" i="15"/>
  <c r="AF32" i="15" s="1"/>
  <c r="AC26" i="15"/>
  <c r="AF26" i="15" s="1"/>
  <c r="AC21" i="15"/>
  <c r="AF21" i="15" s="1"/>
  <c r="T38" i="15"/>
  <c r="W38" i="15" s="1"/>
  <c r="T28" i="15"/>
  <c r="W28" i="15" s="1"/>
  <c r="T25" i="15"/>
  <c r="W25" i="15" s="1"/>
  <c r="T20" i="15"/>
  <c r="W20" i="15" s="1"/>
  <c r="AF20" i="15"/>
  <c r="T29" i="15"/>
  <c r="W29" i="15" s="1"/>
  <c r="T22" i="15"/>
  <c r="W22" i="15" s="1"/>
  <c r="T37" i="15"/>
  <c r="W37" i="15" s="1"/>
  <c r="T21" i="15"/>
  <c r="W21" i="15" s="1"/>
  <c r="T24" i="15"/>
  <c r="W24" i="15" s="1"/>
  <c r="T34" i="15"/>
  <c r="W34" i="15" s="1"/>
  <c r="T30" i="15"/>
  <c r="W30" i="15" s="1"/>
  <c r="T26" i="15"/>
  <c r="W26" i="15" s="1"/>
  <c r="T36" i="15"/>
  <c r="W36" i="15" s="1"/>
  <c r="T33" i="15"/>
  <c r="W33" i="15" s="1"/>
  <c r="T32" i="15"/>
  <c r="W32" i="15" s="1"/>
  <c r="P20" i="19" l="1"/>
  <c r="P22" i="19"/>
  <c r="P30" i="19"/>
  <c r="P21" i="19"/>
  <c r="P28" i="19"/>
  <c r="P29" i="19"/>
  <c r="P34" i="19"/>
  <c r="P37" i="19"/>
  <c r="P26" i="19"/>
  <c r="P32" i="19"/>
  <c r="P33" i="19"/>
  <c r="H33" i="15"/>
  <c r="O33" i="15" s="1"/>
  <c r="H21" i="15"/>
  <c r="H37" i="15"/>
  <c r="H28" i="15"/>
  <c r="H34" i="15"/>
  <c r="H25" i="15"/>
  <c r="H24" i="15"/>
  <c r="H38" i="15"/>
  <c r="H32" i="15"/>
  <c r="O32" i="15" s="1"/>
  <c r="H36" i="15"/>
  <c r="H29" i="15"/>
  <c r="H26" i="15"/>
  <c r="H20" i="15"/>
  <c r="H30" i="15"/>
  <c r="H22" i="15"/>
  <c r="P25" i="19"/>
  <c r="G20" i="15"/>
  <c r="G30" i="15"/>
  <c r="G24" i="15"/>
  <c r="G29" i="15"/>
  <c r="G26" i="15"/>
  <c r="G33" i="15"/>
  <c r="G34" i="15"/>
  <c r="G38" i="15"/>
  <c r="G37" i="15"/>
  <c r="G25" i="15"/>
  <c r="G21" i="15"/>
  <c r="G28" i="15"/>
  <c r="G32" i="15"/>
  <c r="G36" i="15"/>
  <c r="G22" i="15"/>
  <c r="AI21" i="15"/>
  <c r="AJ29" i="15"/>
  <c r="AI32" i="15"/>
  <c r="AJ24" i="15"/>
  <c r="AJ37" i="15"/>
  <c r="AJ28" i="15"/>
  <c r="AJ26" i="15"/>
  <c r="AJ20" i="15"/>
  <c r="AI30" i="15"/>
  <c r="AJ22" i="15"/>
  <c r="AI25" i="15"/>
  <c r="AJ34" i="15"/>
  <c r="AI24" i="15"/>
  <c r="AJ36" i="15"/>
  <c r="AJ38" i="15"/>
  <c r="AI33" i="15"/>
  <c r="AJ33" i="15"/>
  <c r="AI20" i="15"/>
  <c r="AI36" i="15"/>
  <c r="AJ30" i="15"/>
  <c r="AI26" i="15"/>
  <c r="AI34" i="15"/>
  <c r="AI28" i="15"/>
  <c r="AJ25" i="15"/>
  <c r="AI22" i="15"/>
  <c r="AI38" i="15"/>
  <c r="O21" i="15" l="1"/>
  <c r="O24" i="15"/>
  <c r="I25" i="15"/>
  <c r="J25" i="15" s="1"/>
  <c r="O26" i="15"/>
  <c r="O22" i="15"/>
  <c r="O20" i="15"/>
  <c r="O38" i="15"/>
  <c r="O28" i="15"/>
  <c r="O37" i="15"/>
  <c r="O30" i="15"/>
  <c r="O36" i="15"/>
  <c r="O25" i="15"/>
  <c r="O29" i="15"/>
  <c r="O34" i="15"/>
  <c r="N30" i="15"/>
  <c r="N20" i="15"/>
  <c r="N24" i="15"/>
  <c r="I24" i="15"/>
  <c r="J24" i="15" s="1"/>
  <c r="I20" i="15"/>
  <c r="J20" i="15" s="1"/>
  <c r="I32" i="15"/>
  <c r="J32" i="15" s="1"/>
  <c r="N32" i="15"/>
  <c r="P32" i="15" s="1"/>
  <c r="I37" i="15"/>
  <c r="J37" i="15" s="1"/>
  <c r="N37" i="15"/>
  <c r="I26" i="15"/>
  <c r="J26" i="15" s="1"/>
  <c r="N26" i="15"/>
  <c r="I30" i="15"/>
  <c r="J30" i="15" s="1"/>
  <c r="I38" i="15"/>
  <c r="J38" i="15" s="1"/>
  <c r="N38" i="15"/>
  <c r="I29" i="15"/>
  <c r="J29" i="15" s="1"/>
  <c r="N29" i="15"/>
  <c r="I22" i="15"/>
  <c r="J22" i="15" s="1"/>
  <c r="N22" i="15"/>
  <c r="I28" i="15"/>
  <c r="J28" i="15" s="1"/>
  <c r="N28" i="15"/>
  <c r="N25" i="15"/>
  <c r="I34" i="15"/>
  <c r="J34" i="15" s="1"/>
  <c r="N34" i="15"/>
  <c r="I36" i="15"/>
  <c r="J36" i="15" s="1"/>
  <c r="N36" i="15"/>
  <c r="P36" i="15" s="1"/>
  <c r="I21" i="15"/>
  <c r="J21" i="15" s="1"/>
  <c r="N21" i="15"/>
  <c r="I33" i="15"/>
  <c r="J33" i="15" s="1"/>
  <c r="N33" i="15"/>
  <c r="P33" i="15" s="1"/>
  <c r="AJ21" i="15"/>
  <c r="AJ32" i="15"/>
  <c r="AI37" i="15"/>
  <c r="AI29" i="15"/>
  <c r="X21" i="27"/>
  <c r="P21" i="15" l="1"/>
  <c r="P26" i="15"/>
  <c r="P38" i="15"/>
  <c r="P25" i="15"/>
  <c r="P30" i="15"/>
  <c r="P34" i="15"/>
  <c r="P28" i="15"/>
  <c r="P22" i="15"/>
  <c r="P29" i="15"/>
  <c r="P37" i="15"/>
  <c r="P20" i="15"/>
  <c r="P24" i="15"/>
  <c r="D21" i="27"/>
  <c r="K21" i="27" s="1"/>
  <c r="L21" i="27" s="1"/>
  <c r="AC21" i="27"/>
  <c r="AE21" i="27"/>
  <c r="E21" i="27" l="1"/>
  <c r="F21" i="27" s="1"/>
</calcChain>
</file>

<file path=xl/sharedStrings.xml><?xml version="1.0" encoding="utf-8"?>
<sst xmlns="http://schemas.openxmlformats.org/spreadsheetml/2006/main" count="2282" uniqueCount="417">
  <si>
    <t>kWh</t>
  </si>
  <si>
    <t>Current</t>
  </si>
  <si>
    <t>Customer</t>
  </si>
  <si>
    <t>Charge</t>
  </si>
  <si>
    <t>Bill</t>
  </si>
  <si>
    <t>Total</t>
  </si>
  <si>
    <t>$</t>
  </si>
  <si>
    <t>Difference</t>
  </si>
  <si>
    <t>%</t>
  </si>
  <si>
    <t>Proposed</t>
  </si>
  <si>
    <t>Rate GS</t>
  </si>
  <si>
    <t>Customer Charge</t>
  </si>
  <si>
    <t>Energy Charge</t>
  </si>
  <si>
    <t>Demand Charge</t>
  </si>
  <si>
    <t>per kWh</t>
  </si>
  <si>
    <t>Rate PS</t>
  </si>
  <si>
    <t>Primary</t>
  </si>
  <si>
    <t>Secondary</t>
  </si>
  <si>
    <t xml:space="preserve">Demand </t>
  </si>
  <si>
    <t>per kW</t>
  </si>
  <si>
    <t>kW</t>
  </si>
  <si>
    <t>Rate RTS</t>
  </si>
  <si>
    <t>Base</t>
  </si>
  <si>
    <t>Load</t>
  </si>
  <si>
    <t>Factor</t>
  </si>
  <si>
    <t>Demand</t>
  </si>
  <si>
    <t>kVA</t>
  </si>
  <si>
    <t xml:space="preserve">Load </t>
  </si>
  <si>
    <t xml:space="preserve"> Demand </t>
  </si>
  <si>
    <t>Rate TOD</t>
  </si>
  <si>
    <t>Intermediate</t>
  </si>
  <si>
    <t xml:space="preserve">    Intermediate</t>
  </si>
  <si>
    <t xml:space="preserve">    Peak</t>
  </si>
  <si>
    <t xml:space="preserve">    Base</t>
  </si>
  <si>
    <t>Peak</t>
  </si>
  <si>
    <t>Single Phase</t>
  </si>
  <si>
    <t>Three Phase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</si>
  <si>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</si>
  <si>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</si>
  <si>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</si>
  <si>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</si>
  <si>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</si>
  <si>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</si>
  <si>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</si>
  <si>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</si>
  <si>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</si>
  <si>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</si>
  <si>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</si>
  <si>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</si>
  <si>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 xml:space="preserve">               Hours </t>
  </si>
  <si>
    <t xml:space="preserve">             of Use</t>
  </si>
  <si>
    <t xml:space="preserve">   kWh</t>
  </si>
  <si>
    <t xml:space="preserve">      kWh</t>
  </si>
  <si>
    <t xml:space="preserve"> kW</t>
  </si>
  <si>
    <t>*</t>
  </si>
  <si>
    <t xml:space="preserve">    Summer</t>
  </si>
  <si>
    <t xml:space="preserve">    Winter</t>
  </si>
  <si>
    <t>Charge **</t>
  </si>
  <si>
    <t>Basic Service</t>
  </si>
  <si>
    <t>Energy</t>
  </si>
  <si>
    <t>Charge**</t>
  </si>
  <si>
    <t>per kVA</t>
  </si>
  <si>
    <t>CURRENT</t>
  </si>
  <si>
    <t>PROPOSED</t>
  </si>
  <si>
    <t>Service</t>
  </si>
  <si>
    <t>Basic</t>
  </si>
  <si>
    <t>Rate FLS</t>
  </si>
  <si>
    <t>Transmission</t>
  </si>
  <si>
    <t>per kW (Summer)</t>
  </si>
  <si>
    <t>per kW (Winter)</t>
  </si>
  <si>
    <t>($)</t>
  </si>
  <si>
    <t>(%)</t>
  </si>
  <si>
    <t>FAC</t>
  </si>
  <si>
    <t>ECR</t>
  </si>
  <si>
    <t>DSM</t>
  </si>
  <si>
    <t xml:space="preserve">Proposed </t>
  </si>
  <si>
    <t xml:space="preserve">Increase </t>
  </si>
  <si>
    <t>Base Fuel</t>
  </si>
  <si>
    <t>General Service - Single Phase</t>
  </si>
  <si>
    <t>General Service - Three Phase</t>
  </si>
  <si>
    <t>Rate RTOD-E</t>
  </si>
  <si>
    <t>Rate RTOD-D</t>
  </si>
  <si>
    <t xml:space="preserve">    Base / Off Peak</t>
  </si>
  <si>
    <t>Residential Time-of-Day Demand (Proposed Rate Schedule)</t>
  </si>
  <si>
    <t>On-Peak</t>
  </si>
  <si>
    <t>Off-Peak</t>
  </si>
  <si>
    <t>Interm</t>
  </si>
  <si>
    <t>LIGHTING</t>
  </si>
  <si>
    <t>Rate Per Light Per Month</t>
  </si>
  <si>
    <t>OVERHEAD SERVICE</t>
  </si>
  <si>
    <r>
      <t xml:space="preserve">  </t>
    </r>
    <r>
      <rPr>
        <b/>
        <i/>
        <sz val="11"/>
        <rFont val="Times New Roman"/>
        <family val="1"/>
      </rPr>
      <t>High Pressure Sodium</t>
    </r>
  </si>
  <si>
    <r>
      <t xml:space="preserve">  </t>
    </r>
    <r>
      <rPr>
        <b/>
        <i/>
        <sz val="11"/>
        <rFont val="Times New Roman"/>
        <family val="1"/>
      </rPr>
      <t>Metal Halide</t>
    </r>
  </si>
  <si>
    <t>UNDERGROUND SERVICE</t>
  </si>
  <si>
    <t xml:space="preserve">  High Pressure Sodium</t>
  </si>
  <si>
    <t xml:space="preserve">  Metal Halide</t>
  </si>
  <si>
    <r>
      <t xml:space="preserve">  </t>
    </r>
    <r>
      <rPr>
        <b/>
        <i/>
        <sz val="11"/>
        <rFont val="Times New Roman"/>
        <family val="1"/>
      </rPr>
      <t>Mercury Vapor</t>
    </r>
  </si>
  <si>
    <r>
      <t xml:space="preserve">  </t>
    </r>
    <r>
      <rPr>
        <b/>
        <i/>
        <sz val="11"/>
        <rFont val="Times New Roman"/>
        <family val="1"/>
      </rPr>
      <t>Incandescent</t>
    </r>
  </si>
  <si>
    <t>Restricted Lighting Service - Rate RLS</t>
  </si>
  <si>
    <t>Lighting Service - Rate LS</t>
  </si>
  <si>
    <t>Analysis assumes Peak Demand occurs in the Peak Period</t>
  </si>
  <si>
    <r>
      <t xml:space="preserve">  </t>
    </r>
    <r>
      <rPr>
        <b/>
        <i/>
        <sz val="10"/>
        <rFont val="Arial"/>
        <family val="2"/>
      </rPr>
      <t>High Pressure Sodium</t>
    </r>
  </si>
  <si>
    <r>
      <t xml:space="preserve">  </t>
    </r>
    <r>
      <rPr>
        <b/>
        <i/>
        <sz val="10"/>
        <rFont val="Arial"/>
        <family val="2"/>
      </rPr>
      <t>Metal Halide</t>
    </r>
  </si>
  <si>
    <r>
      <t xml:space="preserve">  </t>
    </r>
    <r>
      <rPr>
        <b/>
        <i/>
        <sz val="10"/>
        <rFont val="Arial"/>
        <family val="2"/>
      </rPr>
      <t>Mercury Vapor</t>
    </r>
  </si>
  <si>
    <r>
      <t xml:space="preserve">  </t>
    </r>
    <r>
      <rPr>
        <b/>
        <i/>
        <sz val="10"/>
        <rFont val="Arial"/>
        <family val="2"/>
      </rPr>
      <t>Incandescent</t>
    </r>
  </si>
  <si>
    <t>Hours of Use</t>
  </si>
  <si>
    <t>All inputs linked to INPUT tab</t>
  </si>
  <si>
    <t>Residential (Rate RS) / Volunteer Fire Dept (Rate VFD)</t>
  </si>
  <si>
    <t>Rate LE</t>
  </si>
  <si>
    <t>Rate TE</t>
  </si>
  <si>
    <t>Traffic Energy Service - Rate TE</t>
  </si>
  <si>
    <t>Lighting Energy Service - Rate LE</t>
  </si>
  <si>
    <t>Rate LEV</t>
  </si>
  <si>
    <t>Rate CTAC</t>
  </si>
  <si>
    <t>Cable Television Attachment Charges (Rate CTAC)</t>
  </si>
  <si>
    <t xml:space="preserve">Pole </t>
  </si>
  <si>
    <t>Attachments</t>
  </si>
  <si>
    <t>per attach</t>
  </si>
  <si>
    <t>Rate RS/VFD</t>
  </si>
  <si>
    <t>PS Secondary</t>
  </si>
  <si>
    <t>PS Primary</t>
  </si>
  <si>
    <t>TOD Secondary</t>
  </si>
  <si>
    <t>RTS</t>
  </si>
  <si>
    <t>FLS</t>
  </si>
  <si>
    <t>FAC Billings</t>
  </si>
  <si>
    <t>DSM Billings</t>
  </si>
  <si>
    <t>ECR Billings</t>
  </si>
  <si>
    <t>Revenue As Billed</t>
  </si>
  <si>
    <t>DSM / kWh</t>
  </si>
  <si>
    <t>FAC / kWh</t>
  </si>
  <si>
    <t>ECR / kWh</t>
  </si>
  <si>
    <t>Source:  Schedule M-2.2</t>
  </si>
  <si>
    <t>TOTAL</t>
  </si>
  <si>
    <t>CSR</t>
  </si>
  <si>
    <t>Minimum</t>
  </si>
  <si>
    <t>Maximum</t>
  </si>
  <si>
    <t>Variance</t>
  </si>
  <si>
    <t>Billing Factors</t>
  </si>
  <si>
    <t>DSM does not apply to Industrial Customers</t>
  </si>
  <si>
    <t>Assumes peak demand at 50% of base based on actual FLS data</t>
  </si>
  <si>
    <t>ODL (LS/RLS)</t>
  </si>
  <si>
    <t>Source: 12MonLights tab</t>
  </si>
  <si>
    <t>Assumes</t>
  </si>
  <si>
    <t>ECR as % Rev</t>
  </si>
  <si>
    <t>Rate CTOD</t>
  </si>
  <si>
    <t>Rate ITOD</t>
  </si>
  <si>
    <t>s/b the same proposed</t>
  </si>
  <si>
    <r>
      <t xml:space="preserve"> </t>
    </r>
    <r>
      <rPr>
        <sz val="10"/>
        <rFont val="Arial"/>
        <family val="2"/>
      </rPr>
      <t>452 Cobra Head, 16000 Lumen Fixture Only</t>
    </r>
  </si>
  <si>
    <r>
      <t xml:space="preserve"> </t>
    </r>
    <r>
      <rPr>
        <sz val="10"/>
        <rFont val="Arial"/>
        <family val="2"/>
      </rPr>
      <t>453 Cobra Head, 28500 Lumen Fixture Only</t>
    </r>
  </si>
  <si>
    <t xml:space="preserve"> 454 Cobra Head, 50000 Lumen Fixture Only</t>
  </si>
  <si>
    <t xml:space="preserve"> 455 Directional, 16000 Lumen  Fixture Only</t>
  </si>
  <si>
    <t xml:space="preserve"> 456 Directional, 50000 Lumen Fixture Only</t>
  </si>
  <si>
    <t xml:space="preserve"> 457 Open Bottom, 9500 Lumen Fixture Only</t>
  </si>
  <si>
    <t>470 Directional, 12000 Lumen Fixture Only</t>
  </si>
  <si>
    <t>473 Directional, 32000 Lumen Fixture Only</t>
  </si>
  <si>
    <t>476 Directional, 107800 Lumen Fixture Only</t>
  </si>
  <si>
    <t/>
  </si>
  <si>
    <t>412 Colonial, 4Sided, 5800 Lumen Smooth Pole</t>
  </si>
  <si>
    <t>413 Colonial, 4Sided, 9500 Lumen Smooth Pole</t>
  </si>
  <si>
    <t>444 Colonial, 4Sided, 16000 Lumen Smooth Pole</t>
  </si>
  <si>
    <t>415 Acorn, 5800 Lumen Smooth Pole</t>
  </si>
  <si>
    <t>416 Acorn, 9500 Lumen Smooth Pole</t>
  </si>
  <si>
    <t>445 Acorn, 16,000 Lumen Smooth Pole</t>
  </si>
  <si>
    <t>427 London, 5800 Lumen Fluted Pole</t>
  </si>
  <si>
    <t>429 London, 9500 Lumen Fluted Pole</t>
  </si>
  <si>
    <t>431 Victorian, 5800 Lumen Fluted Pole</t>
  </si>
  <si>
    <t>433 Victorian, 9500 Lumen Fluted Pole</t>
  </si>
  <si>
    <t>400 Dark Sky, 4000 Lumen</t>
  </si>
  <si>
    <t>401 Dark Sky, 9500 Lumen</t>
  </si>
  <si>
    <t>423 Cobra Head, 16000 Lumen Smooth Pole</t>
  </si>
  <si>
    <t>424 Cobra Head, 28500 Lumen Smooth Pole</t>
  </si>
  <si>
    <t>425 Cobra Head, 50000 Lumen Smooth Pole</t>
  </si>
  <si>
    <t xml:space="preserve">439 Contemporary, 16000 Lumen Fixture Only </t>
  </si>
  <si>
    <t xml:space="preserve">420 Contemporary, 16000 Lumen Fixture &amp; Pole </t>
  </si>
  <si>
    <t xml:space="preserve">440 Contemporary, 28500 Lumen Fixture Only </t>
  </si>
  <si>
    <t>421 Contemporary, 28500 Lumen Fixture &amp; Pole</t>
  </si>
  <si>
    <t xml:space="preserve">441 Contemporary, 50000 Lumen Fixture Only </t>
  </si>
  <si>
    <t>422 Contemporary, 50000 Lumen Fixture &amp; Pole</t>
  </si>
  <si>
    <t xml:space="preserve"> 479 Contemporary, 12000 Lumen Fixture Only</t>
  </si>
  <si>
    <t xml:space="preserve"> 480 Contemporary, 12000 Lumen Fixture &amp; Pole</t>
  </si>
  <si>
    <t xml:space="preserve"> 481 Contemporary, 32000 Lumen Fixture Only</t>
  </si>
  <si>
    <t xml:space="preserve"> 482 Contemporary, 32000 Lumen Fixture &amp; Pole</t>
  </si>
  <si>
    <t xml:space="preserve"> 483 Contemporary, 107800 Lumen Fixture Only</t>
  </si>
  <si>
    <t xml:space="preserve"> 484 Contemporary, 107800 Lumen Fixture &amp; Pole</t>
  </si>
  <si>
    <t xml:space="preserve"> 252 Cobra/Open Bottom 8000L Fixture Only</t>
  </si>
  <si>
    <t xml:space="preserve"> 458 Cobra Head 8000 Lumen Fixture Only</t>
  </si>
  <si>
    <t xml:space="preserve"> 203 Cobra Head 13000 Lumen Fixture Only</t>
  </si>
  <si>
    <t xml:space="preserve"> 204 Cobra Head 25000 Lumen Fixture Only</t>
  </si>
  <si>
    <t xml:space="preserve"> 210 Directional 60000 Lumen Fixture Only</t>
  </si>
  <si>
    <t xml:space="preserve"> 201 Open Bottom 4000 Lumen Fixture Only</t>
  </si>
  <si>
    <t>471 Directional, 12000 Lumen Fixture &amp; Wood Pole</t>
  </si>
  <si>
    <t>474 Directional, 32000 Lumen Fixture &amp; Wood Pole</t>
  </si>
  <si>
    <t>475 Directional, 32000 Lumen Fixture &amp; Metal Pole</t>
  </si>
  <si>
    <t>477 Directional,107800 Lumen Fixture &amp;                                                                                   Wood Pole</t>
  </si>
  <si>
    <t xml:space="preserve"> 275 Cobra/Contemporary 16000 Lumen </t>
  </si>
  <si>
    <t xml:space="preserve">                                               Fixture &amp; Smooth Pole</t>
  </si>
  <si>
    <t xml:space="preserve"> 266 Cobra/Contemporary 28500 Lumen </t>
  </si>
  <si>
    <t xml:space="preserve"> 267 Cobra/Contemporary 50000 Lumen </t>
  </si>
  <si>
    <t xml:space="preserve"> 276 Coach/Acorn 5800 Lumen </t>
  </si>
  <si>
    <t xml:space="preserve"> 274 Coach/Acorn 9500 Lumen </t>
  </si>
  <si>
    <t xml:space="preserve"> 277 Coach/Acorn 16000 Lumen </t>
  </si>
  <si>
    <t xml:space="preserve"> 279 Contemporary 120000 Lumen Fixture Only</t>
  </si>
  <si>
    <t xml:space="preserve"> 278 Contemporary 120000 Lumen </t>
  </si>
  <si>
    <t xml:space="preserve"> 417 Acorn 9500 Lumen Bronze Decorative Pole</t>
  </si>
  <si>
    <t xml:space="preserve"> 419 Acorn 16000 Lumen Bronze Decorative Pole</t>
  </si>
  <si>
    <t xml:space="preserve"> 280 Victorian 5800 Lumen Fixture Only</t>
  </si>
  <si>
    <t xml:space="preserve"> 281 Victorian 9500 Lumen Fixture Only</t>
  </si>
  <si>
    <t xml:space="preserve"> 282 London 5800 Lumen Fixture Only</t>
  </si>
  <si>
    <t xml:space="preserve"> 283 London 9500 Lumen Fixture Only</t>
  </si>
  <si>
    <t xml:space="preserve"> 426 London, 5800 Lumen Fixture &amp; Pole</t>
  </si>
  <si>
    <t xml:space="preserve"> 428 London, 9500 Lumen Fixture &amp; Pole</t>
  </si>
  <si>
    <t xml:space="preserve"> 430 Victorian, 5800 Lumen Fixture &amp; Pole</t>
  </si>
  <si>
    <t xml:space="preserve"> 432 Victorian, 9500 Lumen Fixture Pole</t>
  </si>
  <si>
    <t xml:space="preserve"> 318 Cobra Head, 8000 Lumen Fixture &amp; Pole</t>
  </si>
  <si>
    <t xml:space="preserve"> 314 Cobra Head, 13000 Lumen Fixture &amp; Pole</t>
  </si>
  <si>
    <t xml:space="preserve"> 315 Cobra Head, 25000 Lumen Fixture &amp; Pole</t>
  </si>
  <si>
    <t xml:space="preserve"> 347 Cobra Head, 25000 Lumen St. of Ky. Pole</t>
  </si>
  <si>
    <t xml:space="preserve"> 206 Coach, 4000 Lumen Fixture &amp; Pole</t>
  </si>
  <si>
    <t xml:space="preserve"> 208 Coach, 8000 Lumen Fixture &amp; Pole</t>
  </si>
  <si>
    <t xml:space="preserve"> 349 Continental Jr, 1500 Lumen Fixture &amp; Pole</t>
  </si>
  <si>
    <t xml:space="preserve"> 348 Continental Jr, 6000 Lumen Fixture &amp; Pole</t>
  </si>
  <si>
    <t>LG&amp;E Rate</t>
  </si>
  <si>
    <t>LG&amp;E</t>
  </si>
  <si>
    <t>LGUM_201</t>
  </si>
  <si>
    <t>LGUM_203</t>
  </si>
  <si>
    <t>LGUM_204</t>
  </si>
  <si>
    <t>LGUM_206</t>
  </si>
  <si>
    <t>LGUM_207</t>
  </si>
  <si>
    <t>LGUM_208</t>
  </si>
  <si>
    <t>LGUM_209</t>
  </si>
  <si>
    <r>
      <t xml:space="preserve"> </t>
    </r>
    <r>
      <rPr>
        <sz val="11"/>
        <rFont val="Times New Roman"/>
        <family val="1"/>
      </rPr>
      <t>452 Cobra Head, 16000 Lumen Fixture Only</t>
    </r>
  </si>
  <si>
    <t>LGUM_210</t>
  </si>
  <si>
    <r>
      <t xml:space="preserve"> </t>
    </r>
    <r>
      <rPr>
        <sz val="11"/>
        <rFont val="Times New Roman"/>
        <family val="1"/>
      </rPr>
      <t>453 Cobra Head, 28500 Lumen Fixture Only</t>
    </r>
  </si>
  <si>
    <t>LGUM_252</t>
  </si>
  <si>
    <t>LGUM_266</t>
  </si>
  <si>
    <t>LGUM_267</t>
  </si>
  <si>
    <t>LGUM_274</t>
  </si>
  <si>
    <t>LGUM_275</t>
  </si>
  <si>
    <t>LGUM_276</t>
  </si>
  <si>
    <t>LGUM_277</t>
  </si>
  <si>
    <t>LGUM_278</t>
  </si>
  <si>
    <t>LGUM_279</t>
  </si>
  <si>
    <t>LGUM_280</t>
  </si>
  <si>
    <t>LGUM_281</t>
  </si>
  <si>
    <t>LGUM_282</t>
  </si>
  <si>
    <t>LGUM_283</t>
  </si>
  <si>
    <t>LGUM_314</t>
  </si>
  <si>
    <t>LGUM_315</t>
  </si>
  <si>
    <t>LGUM_318</t>
  </si>
  <si>
    <t>LGUM_348</t>
  </si>
  <si>
    <t>LGUM_349</t>
  </si>
  <si>
    <t>LGUM_400</t>
  </si>
  <si>
    <t>LGUM_401</t>
  </si>
  <si>
    <t>LGUM_412</t>
  </si>
  <si>
    <t>LGUM_413</t>
  </si>
  <si>
    <t>LGUM_415</t>
  </si>
  <si>
    <t>LGUM_416</t>
  </si>
  <si>
    <t>LGUM_417</t>
  </si>
  <si>
    <t>LGUM_419</t>
  </si>
  <si>
    <t>LGUM_420</t>
  </si>
  <si>
    <t>LGUM_421</t>
  </si>
  <si>
    <t>LGUM_422</t>
  </si>
  <si>
    <t>LGUM_423</t>
  </si>
  <si>
    <t>LGUM_424</t>
  </si>
  <si>
    <t>LGUM_425</t>
  </si>
  <si>
    <t>LGUM_426</t>
  </si>
  <si>
    <t>LGUM_427</t>
  </si>
  <si>
    <t>LGUM_428</t>
  </si>
  <si>
    <t>LGUM_429</t>
  </si>
  <si>
    <t>LGUM_430</t>
  </si>
  <si>
    <t>LGUM_431</t>
  </si>
  <si>
    <t>LGUM_432</t>
  </si>
  <si>
    <t>LGUM_433</t>
  </si>
  <si>
    <t>LGUM_440</t>
  </si>
  <si>
    <t>LGUM_441</t>
  </si>
  <si>
    <t>LGUM_452</t>
  </si>
  <si>
    <t>LGUM_453</t>
  </si>
  <si>
    <t>LGUM_454</t>
  </si>
  <si>
    <t>LGUM_455</t>
  </si>
  <si>
    <t>LGUM_456</t>
  </si>
  <si>
    <t>LGUM_457</t>
  </si>
  <si>
    <t>LGUM_458</t>
  </si>
  <si>
    <t>LGUM_470</t>
  </si>
  <si>
    <t>LGUM_471</t>
  </si>
  <si>
    <t>LGUM_473</t>
  </si>
  <si>
    <t>LGUM_476</t>
  </si>
  <si>
    <t>LGUM_477</t>
  </si>
  <si>
    <t>LGUM_480</t>
  </si>
  <si>
    <t>LGUM_481</t>
  </si>
  <si>
    <t>LGUM_482</t>
  </si>
  <si>
    <t>LGUM_483</t>
  </si>
  <si>
    <t>LGUM_484</t>
  </si>
  <si>
    <t>CTOD Primary</t>
  </si>
  <si>
    <t>ITOD Primary</t>
  </si>
  <si>
    <t>Source:  Schedule D-2 F</t>
  </si>
  <si>
    <t>Source:  Billing Determinants - SBR tab</t>
  </si>
  <si>
    <t>RS</t>
  </si>
  <si>
    <t>GS3</t>
  </si>
  <si>
    <t>PSS</t>
  </si>
  <si>
    <t>PSP</t>
  </si>
  <si>
    <t>TODS</t>
  </si>
  <si>
    <t>FLST</t>
  </si>
  <si>
    <t>CTODP</t>
  </si>
  <si>
    <t>ITODP</t>
  </si>
  <si>
    <t>Demand ECR</t>
  </si>
  <si>
    <t>Non-Fuel ECR</t>
  </si>
  <si>
    <t>GSS</t>
  </si>
  <si>
    <t>LWC</t>
  </si>
  <si>
    <t>FK</t>
  </si>
  <si>
    <t>FK/LWC</t>
  </si>
  <si>
    <t>no DSM forecast revenues for RTS</t>
  </si>
  <si>
    <t>CURRENT -  based on Rate LEV</t>
  </si>
  <si>
    <t>based on Rate RS</t>
  </si>
  <si>
    <t xml:space="preserve">Base </t>
  </si>
  <si>
    <t>Billing Factor</t>
  </si>
  <si>
    <t>Energy ECR</t>
  </si>
  <si>
    <t>Base ECR - Energy/Demand</t>
  </si>
  <si>
    <t>Power Service Secondary (Rate PSS)</t>
  </si>
  <si>
    <t>Power Service Primary (Rate PSP)</t>
  </si>
  <si>
    <t>Time-of-Day Secondary (Rate TODS)</t>
  </si>
  <si>
    <t>Retail Transmission Service (Rate RTS)</t>
  </si>
  <si>
    <t>Source:  Billing Determinants file</t>
  </si>
  <si>
    <t>Average Usage (kWh)</t>
  </si>
  <si>
    <t>ratio of usage:</t>
  </si>
  <si>
    <t>LOUISVILLE GAS AND ELECTRIC COMPANY</t>
  </si>
  <si>
    <t>Rate Case Constants</t>
  </si>
  <si>
    <t>For the 2014 Rate Case Filing</t>
  </si>
  <si>
    <t>Rate Case Constants:</t>
  </si>
  <si>
    <t>Company:</t>
  </si>
  <si>
    <t>PSC Case Number:</t>
  </si>
  <si>
    <t>CASE NO. 2014-00372</t>
  </si>
  <si>
    <t>Base Year:</t>
  </si>
  <si>
    <t>FEBRUARY 28, 2015</t>
  </si>
  <si>
    <t>AS OF FEBRUARY 28, 2015</t>
  </si>
  <si>
    <t>MARCH 2014 TO FEBRUARY 2015</t>
  </si>
  <si>
    <t>FROM MARCH 1, 2014 TO FEBRUARY 28, 2015</t>
  </si>
  <si>
    <t>BASE YEAR FOR THE 12 MONTHS ENDED FEBRUARY 28, 2015</t>
  </si>
  <si>
    <t>FOR THE 12 MONTHS ENDED FEBRUARY 28, 2015</t>
  </si>
  <si>
    <t>Forecasted Test Year:</t>
  </si>
  <si>
    <t>JUNE 30, 2016</t>
  </si>
  <si>
    <t>AS OF JUNE 30, 2016</t>
  </si>
  <si>
    <t>JULY 2015 TO JUNE 30, 2016</t>
  </si>
  <si>
    <t>FROM JULY 1, 2015 TO JUNE 30, 2016</t>
  </si>
  <si>
    <t>FORECAST PERIOD FOR THE 12 MONTHS ENDED JUNE 30, 2016</t>
  </si>
  <si>
    <t>FOR THE 12 MONTHS ENDED JUNE 30, 2016</t>
  </si>
  <si>
    <t>Schedule Description:</t>
  </si>
  <si>
    <t>Schedule Number:</t>
  </si>
  <si>
    <t>Types of Filing:</t>
  </si>
  <si>
    <t>Original:</t>
  </si>
  <si>
    <r>
      <t>TYPE OF FILING: __</t>
    </r>
    <r>
      <rPr>
        <u/>
        <sz val="10"/>
        <rFont val="Arial"/>
        <family val="2"/>
      </rPr>
      <t>X__</t>
    </r>
    <r>
      <rPr>
        <sz val="10"/>
        <rFont val="Arial"/>
        <family val="2"/>
      </rPr>
      <t xml:space="preserve"> ORIGINAL  _____ UPDATED  _____ REVISED</t>
    </r>
  </si>
  <si>
    <t>Updated:</t>
  </si>
  <si>
    <r>
      <t>TYPE OF FILING: ___</t>
    </r>
    <r>
      <rPr>
        <u/>
        <sz val="10"/>
        <rFont val="Arial"/>
        <family val="2"/>
      </rPr>
      <t>__</t>
    </r>
    <r>
      <rPr>
        <sz val="10"/>
        <rFont val="Arial"/>
        <family val="2"/>
      </rPr>
      <t xml:space="preserve"> ORIGINAL  __X__ UPDATED  _____ REVISED</t>
    </r>
  </si>
  <si>
    <t>Revised:</t>
  </si>
  <si>
    <r>
      <t>TYPE OF FILING: ___</t>
    </r>
    <r>
      <rPr>
        <u/>
        <sz val="10"/>
        <rFont val="Arial"/>
        <family val="2"/>
      </rPr>
      <t>__</t>
    </r>
    <r>
      <rPr>
        <sz val="10"/>
        <rFont val="Arial"/>
        <family val="2"/>
      </rPr>
      <t xml:space="preserve"> ORIGINAL  _____ UPDATED  __X__ REVISED</t>
    </r>
  </si>
  <si>
    <t>DATA: ____BASE PERIOD__X___FORECASTED PERIOD</t>
  </si>
  <si>
    <t>WORKPAPER REFERENCE NO(S):________</t>
  </si>
  <si>
    <t>WITNESS:</t>
  </si>
  <si>
    <t>K. W. BLAKE</t>
  </si>
  <si>
    <t>WITNESS:   K. W. BLAKE</t>
  </si>
  <si>
    <t>R. M. CONROY</t>
  </si>
  <si>
    <t>WITNESS:   R. M. CONROY</t>
  </si>
  <si>
    <t xml:space="preserve">WITNESS:   </t>
  </si>
  <si>
    <t>Typical Electric Bill Comparison under Present &amp; Proposed Rates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</si>
  <si>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</si>
  <si>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</si>
  <si>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</si>
  <si>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</si>
  <si>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</si>
  <si>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</si>
  <si>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</si>
  <si>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</si>
  <si>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</si>
  <si>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</si>
  <si>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Current Bill calculations are based on Rate LEV.</t>
  </si>
  <si>
    <t>Assumptions:</t>
  </si>
  <si>
    <t>Current Bill calculations are based on Rate RS since Rate RTOD-Demand is a new rate scheduled proposed in this case.</t>
  </si>
  <si>
    <t>Billing Factors calculated as a unit charge based on forecast period revenues and volumes</t>
  </si>
  <si>
    <t>Current and Proposed Bill calculation uses a blended rate of 5/12 of the summer rate plus 7/12 of the winter rate</t>
  </si>
  <si>
    <t>**No LG&amp;E customers on this rate schedule**</t>
  </si>
  <si>
    <t>Analysis assumes Peak Demand at 50% of base demand</t>
  </si>
  <si>
    <t>DSM does not apply to this rate schedule</t>
  </si>
  <si>
    <t>RS/VFD</t>
  </si>
  <si>
    <t>RTOD-E</t>
  </si>
  <si>
    <t>RTOD-D</t>
  </si>
  <si>
    <t>GS3P</t>
  </si>
  <si>
    <t>LS-RLS</t>
  </si>
  <si>
    <t>LE</t>
  </si>
  <si>
    <t>TE</t>
  </si>
  <si>
    <t>CTAC</t>
  </si>
  <si>
    <t xml:space="preserve">Monthly </t>
  </si>
  <si>
    <t>Billing Factors calculated as a unit charge based on forecast period revenues and volumes and assuming October hours of usage</t>
  </si>
  <si>
    <t>$/kWh</t>
  </si>
  <si>
    <t>Residential/VFD</t>
  </si>
  <si>
    <t>LEV</t>
  </si>
  <si>
    <t xml:space="preserve">LE </t>
  </si>
  <si>
    <t>Blended Rates</t>
  </si>
  <si>
    <t>Using blended rate of GS-Single &amp; GS-Three Phase</t>
  </si>
  <si>
    <t>Commercial Time-of-Day Primary (Rate CTODP) - this schedule is being eliminated.  Customers will move to new Time-of-Day Primary (Rate TODP).</t>
  </si>
  <si>
    <t>using Rate RS billing factors</t>
  </si>
  <si>
    <t>No change is proposed to Rate CTAC</t>
  </si>
  <si>
    <t>SCHEDULE N (Electric)</t>
  </si>
  <si>
    <t>Calculations may vary from other schedules due to rounding</t>
  </si>
  <si>
    <t xml:space="preserve">Lighting Service - Rate LS </t>
  </si>
  <si>
    <t>477 Directional, 107800 Lumen Fixture &amp; Wood Pole</t>
  </si>
  <si>
    <t xml:space="preserve"> 209 Cobra Head 60000 Lumen Fixture Only</t>
  </si>
  <si>
    <t xml:space="preserve"> 209 Cobra Head 25000 Lumen Fixture Only</t>
  </si>
  <si>
    <t xml:space="preserve"> 207 Directional 25000 Lumen Fixture Only</t>
  </si>
  <si>
    <t>Base Rate</t>
  </si>
  <si>
    <t xml:space="preserve">   ***No customers currently on this rate***</t>
  </si>
  <si>
    <t>(Rate LEV)</t>
  </si>
  <si>
    <t>(Rate RS)</t>
  </si>
  <si>
    <t xml:space="preserve"> 458 Cobra Head 8000 Lumen Fixture Only                                                       (consolidated with 252)</t>
  </si>
  <si>
    <t>Fluctuating Load Service - Transmission - No LG&amp;E Customers on this rate schedule</t>
  </si>
  <si>
    <t>Fluctuating Load Service- Primary - No LG&amp;E Customers on this rate schedule</t>
  </si>
  <si>
    <t>Current LEV customers have the option to move to Rate RS, Rate RTOD-E or Rate RTOD-D.</t>
  </si>
  <si>
    <t>Residential Time-of-Day Energy (Proposed Rate Schedule)</t>
  </si>
  <si>
    <t>Industrial Time-of-Day Primary (Rate ITODP) - this schedule is being eliminated.  Customers will move to new Time-of-Day Primary (Rate TODP).</t>
  </si>
  <si>
    <t>(use Rate 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</si>
</sst>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00"/>
    <numFmt numFmtId="166" formatCode="&quot;$&quot;#,##0.00000_);\(&quot;$&quot;#,##0.00000\)"/>
    <numFmt numFmtId="167" formatCode="[$-409]mmm\-yy;@"/>
    <numFmt numFmtId="168" formatCode="0.0%"/>
    <numFmt numFmtId="169" formatCode="_(* #,##0.000_);_(* \(#,##0.000\);_(* &quot;-&quot;??_);_(@_)"/>
    <numFmt numFmtId="170" formatCode="_(&quot;$&quot;* #,##0_);_(&quot;$&quot;* \(#,##0\);_(&quot;$&quot;* &quot;-&quot;??_);_(@_)"/>
    <numFmt numFmtId="171" formatCode="_(&quot;$&quot;* #,##0.0000000_);_(&quot;$&quot;* \(#,##0.0000000\);_(&quot;$&quot;* &quot;-&quot;??_);_(@_)"/>
    <numFmt numFmtId="172" formatCode="0.0000%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u/>
      <sz val="12"/>
      <name val="Times New Roman"/>
      <family val="1"/>
    </font>
    <font>
      <sz val="8"/>
      <color rgb="FF000000"/>
      <name val="Calibri"/>
      <family val="2"/>
      <scheme val="minor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Times New Roman"/>
      <family val="1"/>
    </font>
    <font>
      <b/>
      <u/>
      <sz val="11"/>
      <name val="Times New Roman"/>
      <family val="1"/>
    </font>
    <font>
      <sz val="11"/>
      <name val="Arial"/>
      <family val="2"/>
    </font>
    <font>
      <b/>
      <strike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6C4C4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41" fontId="17" fillId="0" borderId="0"/>
    <xf numFmtId="0" fontId="2" fillId="0" borderId="0"/>
    <xf numFmtId="0" fontId="3" fillId="0" borderId="0"/>
    <xf numFmtId="0" fontId="3" fillId="0" borderId="0"/>
    <xf numFmtId="0" fontId="23" fillId="0" borderId="0"/>
    <xf numFmtId="9" fontId="2" fillId="0" borderId="0" applyFont="0" applyFill="0" applyBorder="0" applyAlignment="0" applyProtection="0"/>
    <xf numFmtId="0" fontId="25" fillId="0" borderId="0"/>
  </cellStyleXfs>
  <cellXfs count="394">
    <xf numFmtId="0" fontId="0" fillId="0" borderId="0" xfId="0"/>
    <xf numFmtId="3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textRotation="180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0" fontId="0" fillId="0" borderId="0" xfId="2" applyNumberFormat="1" applyFont="1"/>
    <xf numFmtId="10" fontId="3" fillId="0" borderId="0" xfId="2" applyNumberFormat="1"/>
    <xf numFmtId="0" fontId="0" fillId="0" borderId="0" xfId="0" applyBorder="1"/>
    <xf numFmtId="164" fontId="0" fillId="0" borderId="0" xfId="0" applyNumberFormat="1" applyBorder="1"/>
    <xf numFmtId="4" fontId="0" fillId="0" borderId="0" xfId="0" applyNumberFormat="1"/>
    <xf numFmtId="9" fontId="0" fillId="0" borderId="0" xfId="0" applyNumberFormat="1"/>
    <xf numFmtId="3" fontId="0" fillId="0" borderId="0" xfId="0" applyNumberFormat="1" applyBorder="1"/>
    <xf numFmtId="0" fontId="4" fillId="0" borderId="3" xfId="0" applyFont="1" applyBorder="1" applyAlignment="1">
      <alignment horizontal="center"/>
    </xf>
    <xf numFmtId="0" fontId="0" fillId="0" borderId="3" xfId="0" applyBorder="1"/>
    <xf numFmtId="0" fontId="0" fillId="0" borderId="0" xfId="0" applyFill="1"/>
    <xf numFmtId="10" fontId="3" fillId="0" borderId="0" xfId="2" applyNumberFormat="1" applyAlignment="1">
      <alignment horizontal="center"/>
    </xf>
    <xf numFmtId="7" fontId="0" fillId="0" borderId="0" xfId="0" applyNumberFormat="1" applyAlignment="1">
      <alignment horizontal="center"/>
    </xf>
    <xf numFmtId="7" fontId="0" fillId="0" borderId="0" xfId="0" applyNumberFormat="1"/>
    <xf numFmtId="7" fontId="4" fillId="0" borderId="0" xfId="0" applyNumberFormat="1" applyFont="1" applyAlignment="1">
      <alignment horizontal="center"/>
    </xf>
    <xf numFmtId="7" fontId="4" fillId="0" borderId="0" xfId="0" quotePrefix="1" applyNumberFormat="1" applyFont="1" applyAlignment="1">
      <alignment horizontal="center"/>
    </xf>
    <xf numFmtId="7" fontId="4" fillId="0" borderId="0" xfId="0" applyNumberFormat="1" applyFont="1"/>
    <xf numFmtId="7" fontId="0" fillId="0" borderId="0" xfId="0" applyNumberFormat="1" applyBorder="1"/>
    <xf numFmtId="7" fontId="0" fillId="0" borderId="0" xfId="0" applyNumberFormat="1" applyFill="1"/>
    <xf numFmtId="0" fontId="4" fillId="0" borderId="0" xfId="0" quotePrefix="1" applyFont="1" applyAlignment="1">
      <alignment horizontal="center"/>
    </xf>
    <xf numFmtId="10" fontId="0" fillId="0" borderId="0" xfId="2" applyNumberFormat="1" applyFont="1" applyBorder="1"/>
    <xf numFmtId="44" fontId="6" fillId="0" borderId="0" xfId="3" applyNumberFormat="1"/>
    <xf numFmtId="44" fontId="0" fillId="0" borderId="0" xfId="0" applyNumberFormat="1"/>
    <xf numFmtId="0" fontId="3" fillId="0" borderId="0" xfId="0" applyFont="1"/>
    <xf numFmtId="164" fontId="3" fillId="0" borderId="0" xfId="2" applyNumberFormat="1"/>
    <xf numFmtId="0" fontId="0" fillId="2" borderId="0" xfId="0" applyFill="1"/>
    <xf numFmtId="165" fontId="4" fillId="0" borderId="0" xfId="0" applyNumberFormat="1" applyFont="1"/>
    <xf numFmtId="0" fontId="3" fillId="0" borderId="0" xfId="0" applyFont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8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6" fontId="0" fillId="0" borderId="0" xfId="0" applyNumberFormat="1" applyFill="1" applyAlignment="1">
      <alignment horizontal="center"/>
    </xf>
    <xf numFmtId="7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3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left"/>
    </xf>
    <xf numFmtId="164" fontId="4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4" fillId="0" borderId="3" xfId="0" applyFont="1" applyBorder="1" applyAlignment="1"/>
    <xf numFmtId="166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168" fontId="0" fillId="0" borderId="0" xfId="2" applyNumberFormat="1" applyFont="1"/>
    <xf numFmtId="167" fontId="4" fillId="0" borderId="0" xfId="0" quotePrefix="1" applyNumberFormat="1" applyFont="1" applyAlignment="1">
      <alignment horizontal="center" wrapText="1"/>
    </xf>
    <xf numFmtId="0" fontId="4" fillId="0" borderId="3" xfId="0" quotePrefix="1" applyFont="1" applyBorder="1" applyAlignment="1">
      <alignment horizontal="center"/>
    </xf>
    <xf numFmtId="168" fontId="0" fillId="0" borderId="0" xfId="2" applyNumberFormat="1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4" fillId="0" borderId="0" xfId="0" applyFont="1" applyBorder="1" applyAlignment="1"/>
    <xf numFmtId="0" fontId="4" fillId="0" borderId="0" xfId="0" quotePrefix="1" applyFont="1" applyBorder="1" applyAlignment="1">
      <alignment horizontal="center"/>
    </xf>
    <xf numFmtId="0" fontId="0" fillId="0" borderId="0" xfId="0" quotePrefix="1" applyAlignment="1">
      <alignment horizontal="left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7" xfId="0" applyFont="1" applyBorder="1" applyAlignment="1">
      <alignment horizontal="justify" vertical="center" wrapText="1"/>
    </xf>
    <xf numFmtId="0" fontId="0" fillId="0" borderId="0" xfId="0" applyAlignment="1"/>
    <xf numFmtId="0" fontId="9" fillId="0" borderId="7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 wrapText="1"/>
    </xf>
    <xf numFmtId="0" fontId="9" fillId="0" borderId="16" xfId="0" applyFont="1" applyBorder="1" applyAlignment="1">
      <alignment vertical="center"/>
    </xf>
    <xf numFmtId="0" fontId="12" fillId="0" borderId="9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4" fillId="0" borderId="3" xfId="0" quotePrefix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quotePrefix="1" applyFont="1" applyFill="1" applyAlignment="1">
      <alignment horizontal="left"/>
    </xf>
    <xf numFmtId="3" fontId="0" fillId="0" borderId="0" xfId="0" applyNumberFormat="1" applyFill="1"/>
    <xf numFmtId="0" fontId="4" fillId="0" borderId="0" xfId="0" applyFont="1" applyFill="1"/>
    <xf numFmtId="164" fontId="0" fillId="0" borderId="0" xfId="0" applyNumberForma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44" fontId="0" fillId="0" borderId="0" xfId="0" applyNumberFormat="1" applyFill="1"/>
    <xf numFmtId="168" fontId="0" fillId="0" borderId="0" xfId="2" applyNumberFormat="1" applyFont="1" applyFill="1" applyAlignment="1">
      <alignment horizontal="center"/>
    </xf>
    <xf numFmtId="49" fontId="14" fillId="3" borderId="18" xfId="0" applyNumberFormat="1" applyFont="1" applyFill="1" applyBorder="1" applyAlignment="1">
      <alignment horizontal="left" vertical="center"/>
    </xf>
    <xf numFmtId="169" fontId="14" fillId="3" borderId="0" xfId="1" applyNumberFormat="1" applyFont="1" applyFill="1" applyBorder="1" applyAlignment="1">
      <alignment horizontal="left" vertical="center"/>
    </xf>
    <xf numFmtId="0" fontId="9" fillId="0" borderId="19" xfId="0" applyFont="1" applyBorder="1" applyAlignment="1">
      <alignment horizontal="right" vertical="center"/>
    </xf>
    <xf numFmtId="0" fontId="9" fillId="0" borderId="21" xfId="0" applyFont="1" applyBorder="1" applyAlignment="1">
      <alignment vertical="center"/>
    </xf>
    <xf numFmtId="0" fontId="0" fillId="0" borderId="0" xfId="0" applyFill="1" applyAlignment="1">
      <alignment horizontal="right"/>
    </xf>
    <xf numFmtId="0" fontId="9" fillId="2" borderId="10" xfId="0" applyFont="1" applyFill="1" applyBorder="1" applyAlignment="1">
      <alignment horizontal="center" vertical="center"/>
    </xf>
    <xf numFmtId="8" fontId="9" fillId="2" borderId="12" xfId="0" applyNumberFormat="1" applyFont="1" applyFill="1" applyBorder="1" applyAlignment="1">
      <alignment horizontal="left" vertical="center"/>
    </xf>
    <xf numFmtId="8" fontId="9" fillId="2" borderId="14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8" fontId="9" fillId="2" borderId="8" xfId="0" applyNumberFormat="1" applyFont="1" applyFill="1" applyBorder="1" applyAlignment="1">
      <alignment horizontal="left" vertical="center"/>
    </xf>
    <xf numFmtId="8" fontId="9" fillId="2" borderId="17" xfId="0" applyNumberFormat="1" applyFont="1" applyFill="1" applyBorder="1" applyAlignment="1">
      <alignment horizontal="left" vertical="center"/>
    </xf>
    <xf numFmtId="0" fontId="0" fillId="2" borderId="0" xfId="0" applyFill="1" applyAlignment="1"/>
    <xf numFmtId="0" fontId="9" fillId="2" borderId="15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left" vertical="center"/>
    </xf>
    <xf numFmtId="3" fontId="0" fillId="0" borderId="0" xfId="0" applyNumberFormat="1" applyAlignment="1">
      <alignment horizontal="center"/>
    </xf>
    <xf numFmtId="8" fontId="4" fillId="0" borderId="0" xfId="0" quotePrefix="1" applyNumberFormat="1" applyFont="1" applyAlignment="1">
      <alignment horizontal="center"/>
    </xf>
    <xf numFmtId="0" fontId="4" fillId="0" borderId="3" xfId="0" quotePrefix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0" borderId="3" xfId="0" quotePrefix="1" applyFont="1" applyBorder="1" applyAlignment="1">
      <alignment horizontal="left"/>
    </xf>
    <xf numFmtId="170" fontId="0" fillId="0" borderId="0" xfId="0" applyNumberFormat="1"/>
    <xf numFmtId="0" fontId="3" fillId="0" borderId="0" xfId="0" applyFont="1" applyFill="1" applyAlignment="1">
      <alignment horizontal="right"/>
    </xf>
    <xf numFmtId="0" fontId="4" fillId="0" borderId="3" xfId="0" applyFont="1" applyFill="1" applyBorder="1" applyAlignment="1"/>
    <xf numFmtId="165" fontId="4" fillId="0" borderId="0" xfId="0" applyNumberFormat="1" applyFont="1" applyFill="1"/>
    <xf numFmtId="10" fontId="0" fillId="0" borderId="0" xfId="2" applyNumberFormat="1" applyFont="1" applyFill="1"/>
    <xf numFmtId="164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Border="1"/>
    <xf numFmtId="0" fontId="0" fillId="0" borderId="0" xfId="0" applyFill="1" applyBorder="1"/>
    <xf numFmtId="164" fontId="0" fillId="0" borderId="0" xfId="0" applyNumberFormat="1" applyFill="1" applyBorder="1"/>
    <xf numFmtId="3" fontId="0" fillId="0" borderId="2" xfId="0" applyNumberFormat="1" applyFill="1" applyBorder="1"/>
    <xf numFmtId="0" fontId="0" fillId="0" borderId="1" xfId="0" applyFill="1" applyBorder="1"/>
    <xf numFmtId="44" fontId="0" fillId="0" borderId="1" xfId="0" applyNumberFormat="1" applyFill="1" applyBorder="1"/>
    <xf numFmtId="168" fontId="0" fillId="0" borderId="1" xfId="2" applyNumberFormat="1" applyFont="1" applyFill="1" applyBorder="1" applyAlignment="1">
      <alignment horizontal="center"/>
    </xf>
    <xf numFmtId="37" fontId="0" fillId="0" borderId="0" xfId="1" applyNumberFormat="1" applyFont="1"/>
    <xf numFmtId="171" fontId="0" fillId="0" borderId="0" xfId="0" applyNumberFormat="1"/>
    <xf numFmtId="170" fontId="0" fillId="0" borderId="0" xfId="0" applyNumberFormat="1" applyFill="1"/>
    <xf numFmtId="37" fontId="0" fillId="0" borderId="0" xfId="1" applyNumberFormat="1" applyFont="1" applyFill="1"/>
    <xf numFmtId="171" fontId="0" fillId="0" borderId="0" xfId="0" applyNumberFormat="1" applyFill="1"/>
    <xf numFmtId="170" fontId="4" fillId="0" borderId="0" xfId="0" applyNumberFormat="1" applyFont="1"/>
    <xf numFmtId="0" fontId="4" fillId="0" borderId="2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2" borderId="21" xfId="0" applyFont="1" applyFill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49" fontId="14" fillId="3" borderId="31" xfId="0" applyNumberFormat="1" applyFont="1" applyFill="1" applyBorder="1" applyAlignment="1">
      <alignment horizontal="left" vertical="center"/>
    </xf>
    <xf numFmtId="0" fontId="9" fillId="0" borderId="7" xfId="0" applyFont="1" applyBorder="1" applyAlignment="1">
      <alignment horizontal="justify" vertical="center"/>
    </xf>
    <xf numFmtId="0" fontId="9" fillId="0" borderId="0" xfId="0" applyFont="1" applyBorder="1" applyAlignment="1">
      <alignment vertical="center"/>
    </xf>
    <xf numFmtId="8" fontId="9" fillId="0" borderId="0" xfId="0" applyNumberFormat="1" applyFont="1" applyBorder="1" applyAlignment="1">
      <alignment horizontal="left" vertical="center"/>
    </xf>
    <xf numFmtId="8" fontId="9" fillId="2" borderId="0" xfId="0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/>
    <xf numFmtId="0" fontId="19" fillId="2" borderId="0" xfId="0" applyFont="1" applyFill="1" applyAlignment="1"/>
    <xf numFmtId="0" fontId="9" fillId="0" borderId="10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8" fontId="9" fillId="0" borderId="12" xfId="0" applyNumberFormat="1" applyFont="1" applyBorder="1" applyAlignment="1">
      <alignment vertical="center" wrapText="1"/>
    </xf>
    <xf numFmtId="8" fontId="9" fillId="2" borderId="12" xfId="0" applyNumberFormat="1" applyFont="1" applyFill="1" applyBorder="1" applyAlignment="1">
      <alignment vertical="center" wrapText="1"/>
    </xf>
    <xf numFmtId="8" fontId="9" fillId="0" borderId="14" xfId="0" applyNumberFormat="1" applyFont="1" applyBorder="1" applyAlignment="1">
      <alignment vertical="center" wrapText="1"/>
    </xf>
    <xf numFmtId="8" fontId="9" fillId="2" borderId="14" xfId="0" applyNumberFormat="1" applyFont="1" applyFill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8" fontId="9" fillId="0" borderId="10" xfId="0" applyNumberFormat="1" applyFont="1" applyBorder="1" applyAlignment="1">
      <alignment vertical="center" wrapText="1"/>
    </xf>
    <xf numFmtId="8" fontId="9" fillId="2" borderId="10" xfId="0" applyNumberFormat="1" applyFont="1" applyFill="1" applyBorder="1" applyAlignment="1">
      <alignment vertical="center" wrapText="1"/>
    </xf>
    <xf numFmtId="8" fontId="9" fillId="0" borderId="17" xfId="0" applyNumberFormat="1" applyFont="1" applyBorder="1" applyAlignment="1">
      <alignment vertical="center" wrapText="1"/>
    </xf>
    <xf numFmtId="8" fontId="9" fillId="2" borderId="17" xfId="0" applyNumberFormat="1" applyFont="1" applyFill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70" fontId="0" fillId="0" borderId="3" xfId="0" applyNumberFormat="1" applyBorder="1"/>
    <xf numFmtId="0" fontId="20" fillId="0" borderId="0" xfId="0" quotePrefix="1" applyFont="1" applyAlignment="1">
      <alignment horizontal="center"/>
    </xf>
    <xf numFmtId="0" fontId="20" fillId="0" borderId="3" xfId="0" applyFont="1" applyBorder="1" applyAlignment="1">
      <alignment horizontal="center"/>
    </xf>
    <xf numFmtId="165" fontId="20" fillId="0" borderId="0" xfId="0" applyNumberFormat="1" applyFont="1"/>
    <xf numFmtId="0" fontId="20" fillId="0" borderId="0" xfId="0" applyFont="1" applyAlignment="1">
      <alignment horizontal="center"/>
    </xf>
    <xf numFmtId="0" fontId="4" fillId="0" borderId="3" xfId="0" applyFont="1" applyFill="1" applyBorder="1"/>
    <xf numFmtId="0" fontId="4" fillId="0" borderId="32" xfId="0" quotePrefix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70" fontId="4" fillId="0" borderId="32" xfId="0" applyNumberFormat="1" applyFont="1" applyBorder="1"/>
    <xf numFmtId="0" fontId="4" fillId="4" borderId="0" xfId="0" applyFont="1" applyFill="1"/>
    <xf numFmtId="0" fontId="0" fillId="4" borderId="0" xfId="0" applyFill="1"/>
    <xf numFmtId="168" fontId="0" fillId="0" borderId="3" xfId="2" applyNumberFormat="1" applyFont="1" applyBorder="1"/>
    <xf numFmtId="168" fontId="0" fillId="0" borderId="0" xfId="0" applyNumberFormat="1"/>
    <xf numFmtId="0" fontId="0" fillId="0" borderId="0" xfId="0" quotePrefix="1" applyFill="1" applyAlignment="1">
      <alignment horizontal="left"/>
    </xf>
    <xf numFmtId="7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9" fontId="0" fillId="0" borderId="0" xfId="0" applyNumberFormat="1" applyFill="1"/>
    <xf numFmtId="10" fontId="3" fillId="0" borderId="0" xfId="2" applyNumberFormat="1" applyFill="1" applyAlignment="1">
      <alignment horizontal="center"/>
    </xf>
    <xf numFmtId="164" fontId="3" fillId="0" borderId="0" xfId="2" applyNumberFormat="1" applyFill="1"/>
    <xf numFmtId="4" fontId="0" fillId="0" borderId="0" xfId="0" applyNumberFormat="1" applyFill="1"/>
    <xf numFmtId="10" fontId="3" fillId="0" borderId="0" xfId="2" applyNumberFormat="1" applyFill="1"/>
    <xf numFmtId="0" fontId="0" fillId="0" borderId="0" xfId="0" applyFill="1" applyAlignment="1">
      <alignment textRotation="180"/>
    </xf>
    <xf numFmtId="14" fontId="3" fillId="0" borderId="0" xfId="6" quotePrefix="1" applyNumberFormat="1" applyFont="1" applyAlignment="1">
      <alignment horizontal="left"/>
    </xf>
    <xf numFmtId="0" fontId="2" fillId="0" borderId="0" xfId="5"/>
    <xf numFmtId="0" fontId="3" fillId="0" borderId="0" xfId="6" applyFont="1"/>
    <xf numFmtId="0" fontId="4" fillId="0" borderId="3" xfId="6" applyFont="1" applyBorder="1"/>
    <xf numFmtId="49" fontId="3" fillId="0" borderId="0" xfId="6" applyNumberFormat="1" applyFont="1" applyAlignment="1">
      <alignment horizontal="left"/>
    </xf>
    <xf numFmtId="0" fontId="22" fillId="0" borderId="0" xfId="6" applyFont="1"/>
    <xf numFmtId="49" fontId="3" fillId="0" borderId="0" xfId="6" quotePrefix="1" applyNumberFormat="1" applyFont="1" applyAlignment="1">
      <alignment horizontal="left"/>
    </xf>
    <xf numFmtId="0" fontId="3" fillId="0" borderId="0" xfId="6" quotePrefix="1" applyFont="1" applyAlignment="1">
      <alignment horizontal="left"/>
    </xf>
    <xf numFmtId="0" fontId="3" fillId="0" borderId="0" xfId="7"/>
    <xf numFmtId="0" fontId="0" fillId="0" borderId="3" xfId="0" applyFill="1" applyBorder="1"/>
    <xf numFmtId="0" fontId="4" fillId="0" borderId="3" xfId="0" applyFont="1" applyBorder="1"/>
    <xf numFmtId="164" fontId="0" fillId="0" borderId="3" xfId="0" applyNumberFormat="1" applyBorder="1"/>
    <xf numFmtId="14" fontId="0" fillId="0" borderId="0" xfId="0" applyNumberFormat="1" applyFill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7" fontId="4" fillId="0" borderId="0" xfId="5" quotePrefix="1" applyNumberFormat="1" applyFont="1" applyFill="1" applyBorder="1" applyAlignment="1">
      <alignment horizontal="center" wrapText="1"/>
    </xf>
    <xf numFmtId="0" fontId="24" fillId="0" borderId="0" xfId="5" applyFont="1" applyFill="1" applyBorder="1"/>
    <xf numFmtId="167" fontId="4" fillId="0" borderId="0" xfId="5" applyNumberFormat="1" applyFont="1" applyFill="1" applyBorder="1" applyAlignment="1">
      <alignment horizontal="center"/>
    </xf>
    <xf numFmtId="0" fontId="4" fillId="0" borderId="0" xfId="5" applyFont="1" applyFill="1" applyAlignment="1">
      <alignment horizontal="center"/>
    </xf>
    <xf numFmtId="0" fontId="4" fillId="0" borderId="0" xfId="5" quotePrefix="1" applyFont="1" applyFill="1" applyAlignment="1">
      <alignment horizontal="center"/>
    </xf>
    <xf numFmtId="167" fontId="4" fillId="0" borderId="0" xfId="5" applyNumberFormat="1" applyFont="1" applyFill="1" applyAlignment="1">
      <alignment horizontal="center"/>
    </xf>
    <xf numFmtId="167" fontId="4" fillId="0" borderId="0" xfId="5" quotePrefix="1" applyNumberFormat="1" applyFont="1" applyFill="1" applyAlignment="1">
      <alignment horizontal="center" wrapText="1"/>
    </xf>
    <xf numFmtId="0" fontId="24" fillId="0" borderId="0" xfId="5" applyFont="1" applyFill="1"/>
    <xf numFmtId="0" fontId="4" fillId="0" borderId="0" xfId="5" applyFont="1" applyFill="1" applyBorder="1" applyAlignment="1">
      <alignment horizontal="center"/>
    </xf>
    <xf numFmtId="0" fontId="4" fillId="0" borderId="0" xfId="5" quotePrefix="1" applyFont="1" applyFill="1" applyBorder="1" applyAlignment="1">
      <alignment horizontal="center"/>
    </xf>
    <xf numFmtId="0" fontId="4" fillId="0" borderId="0" xfId="5" applyFont="1" applyFill="1" applyAlignment="1">
      <alignment horizontal="center"/>
    </xf>
    <xf numFmtId="0" fontId="4" fillId="0" borderId="0" xfId="5" applyFont="1" applyFill="1" applyAlignment="1">
      <alignment horizontal="center"/>
    </xf>
    <xf numFmtId="0" fontId="4" fillId="0" borderId="0" xfId="5" applyFont="1" applyFill="1" applyAlignment="1">
      <alignment horizontal="center"/>
    </xf>
    <xf numFmtId="0" fontId="4" fillId="0" borderId="0" xfId="5" quotePrefix="1" applyFont="1" applyFill="1" applyAlignment="1">
      <alignment horizontal="center"/>
    </xf>
    <xf numFmtId="167" fontId="4" fillId="0" borderId="0" xfId="5" applyNumberFormat="1" applyFont="1" applyFill="1" applyAlignment="1">
      <alignment horizontal="center"/>
    </xf>
    <xf numFmtId="167" fontId="4" fillId="0" borderId="0" xfId="5" quotePrefix="1" applyNumberFormat="1" applyFont="1" applyFill="1" applyAlignment="1">
      <alignment horizontal="center" wrapText="1"/>
    </xf>
    <xf numFmtId="0" fontId="24" fillId="0" borderId="0" xfId="5" applyFont="1" applyFill="1"/>
    <xf numFmtId="0" fontId="4" fillId="0" borderId="0" xfId="0" applyFont="1" applyBorder="1" applyAlignment="1">
      <alignment horizontal="center"/>
    </xf>
    <xf numFmtId="0" fontId="3" fillId="0" borderId="0" xfId="0" quotePrefix="1" applyFont="1" applyFill="1" applyAlignment="1">
      <alignment horizontal="left" indent="1"/>
    </xf>
    <xf numFmtId="0" fontId="3" fillId="0" borderId="0" xfId="0" quotePrefix="1" applyFont="1" applyAlignment="1">
      <alignment horizontal="left" indent="1"/>
    </xf>
    <xf numFmtId="0" fontId="24" fillId="0" borderId="0" xfId="0" quotePrefix="1" applyFont="1" applyAlignment="1">
      <alignment horizontal="left" indent="1"/>
    </xf>
    <xf numFmtId="0" fontId="0" fillId="0" borderId="0" xfId="0" quotePrefix="1" applyAlignment="1">
      <alignment horizontal="left" indent="1"/>
    </xf>
    <xf numFmtId="41" fontId="0" fillId="4" borderId="0" xfId="0" applyNumberFormat="1" applyFill="1"/>
    <xf numFmtId="0" fontId="0" fillId="0" borderId="0" xfId="0" applyAlignment="1">
      <alignment horizontal="left" indent="1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right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center"/>
    </xf>
    <xf numFmtId="0" fontId="4" fillId="0" borderId="0" xfId="0" applyFont="1" applyFill="1" applyAlignment="1"/>
    <xf numFmtId="0" fontId="4" fillId="0" borderId="23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4" fillId="0" borderId="24" xfId="0" applyFont="1" applyFill="1" applyBorder="1"/>
    <xf numFmtId="0" fontId="8" fillId="0" borderId="0" xfId="0" quotePrefix="1" applyFont="1" applyFill="1" applyAlignment="1">
      <alignment horizontal="left"/>
    </xf>
    <xf numFmtId="0" fontId="3" fillId="0" borderId="7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166" fontId="3" fillId="0" borderId="0" xfId="0" applyNumberFormat="1" applyFont="1" applyFill="1" applyAlignment="1">
      <alignment horizontal="center"/>
    </xf>
    <xf numFmtId="10" fontId="3" fillId="0" borderId="0" xfId="0" applyNumberFormat="1" applyFont="1" applyFill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0" fontId="3" fillId="0" borderId="0" xfId="0" applyFont="1" applyFill="1" applyBorder="1"/>
    <xf numFmtId="8" fontId="3" fillId="0" borderId="0" xfId="0" applyNumberFormat="1" applyFont="1" applyFill="1"/>
    <xf numFmtId="168" fontId="3" fillId="0" borderId="0" xfId="2" applyNumberFormat="1" applyFont="1" applyFill="1"/>
    <xf numFmtId="166" fontId="3" fillId="0" borderId="0" xfId="0" applyNumberFormat="1" applyFont="1" applyFill="1"/>
    <xf numFmtId="7" fontId="3" fillId="0" borderId="0" xfId="0" applyNumberFormat="1" applyFont="1" applyFill="1"/>
    <xf numFmtId="0" fontId="4" fillId="0" borderId="23" xfId="0" applyFont="1" applyFill="1" applyBorder="1" applyAlignment="1">
      <alignment vertical="center"/>
    </xf>
    <xf numFmtId="8" fontId="3" fillId="0" borderId="32" xfId="0" applyNumberFormat="1" applyFont="1" applyFill="1" applyBorder="1" applyAlignment="1">
      <alignment horizontal="left" vertical="center"/>
    </xf>
    <xf numFmtId="8" fontId="3" fillId="0" borderId="2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4" fillId="0" borderId="28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30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168" fontId="3" fillId="0" borderId="0" xfId="2" applyNumberFormat="1" applyFont="1" applyFill="1" applyAlignment="1">
      <alignment horizontal="right"/>
    </xf>
    <xf numFmtId="0" fontId="4" fillId="0" borderId="3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justify" vertical="center"/>
    </xf>
    <xf numFmtId="0" fontId="3" fillId="0" borderId="29" xfId="0" applyFont="1" applyFill="1" applyBorder="1" applyAlignment="1">
      <alignment horizontal="justify" vertical="center"/>
    </xf>
    <xf numFmtId="0" fontId="4" fillId="0" borderId="0" xfId="0" applyFont="1" applyFill="1" applyAlignment="1">
      <alignment horizontal="right" vertical="top"/>
    </xf>
    <xf numFmtId="8" fontId="3" fillId="0" borderId="0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8" fontId="3" fillId="0" borderId="3" xfId="0" applyNumberFormat="1" applyFont="1" applyFill="1" applyBorder="1"/>
    <xf numFmtId="168" fontId="3" fillId="0" borderId="3" xfId="2" applyNumberFormat="1" applyFont="1" applyFill="1" applyBorder="1"/>
    <xf numFmtId="7" fontId="3" fillId="0" borderId="3" xfId="0" applyNumberFormat="1" applyFont="1" applyFill="1" applyBorder="1"/>
    <xf numFmtId="0" fontId="8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vertical="center" wrapText="1"/>
    </xf>
    <xf numFmtId="0" fontId="9" fillId="0" borderId="3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35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vertical="center" wrapText="1"/>
    </xf>
    <xf numFmtId="0" fontId="3" fillId="0" borderId="34" xfId="0" applyFont="1" applyFill="1" applyBorder="1" applyAlignment="1">
      <alignment vertical="center" wrapText="1"/>
    </xf>
    <xf numFmtId="0" fontId="4" fillId="0" borderId="35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15" xfId="0" applyFont="1" applyFill="1" applyBorder="1" applyAlignment="1">
      <alignment horizontal="justify" vertical="center" wrapText="1"/>
    </xf>
    <xf numFmtId="0" fontId="3" fillId="0" borderId="35" xfId="0" applyFont="1" applyFill="1" applyBorder="1" applyAlignment="1">
      <alignment vertical="center" wrapText="1"/>
    </xf>
    <xf numFmtId="0" fontId="3" fillId="0" borderId="36" xfId="0" applyFont="1" applyFill="1" applyBorder="1" applyAlignment="1">
      <alignment vertical="center" wrapText="1"/>
    </xf>
    <xf numFmtId="0" fontId="3" fillId="0" borderId="0" xfId="0" applyNumberFormat="1" applyFont="1" applyFill="1" applyBorder="1"/>
    <xf numFmtId="49" fontId="3" fillId="0" borderId="0" xfId="0" applyNumberFormat="1" applyFont="1" applyFill="1" applyBorder="1" applyAlignment="1">
      <alignment vertical="center"/>
    </xf>
    <xf numFmtId="44" fontId="3" fillId="0" borderId="0" xfId="0" applyNumberFormat="1" applyFont="1" applyFill="1" applyAlignment="1">
      <alignment horizontal="center"/>
    </xf>
    <xf numFmtId="44" fontId="3" fillId="0" borderId="0" xfId="0" applyNumberFormat="1" applyFont="1" applyFill="1"/>
    <xf numFmtId="44" fontId="3" fillId="0" borderId="0" xfId="2" applyNumberFormat="1" applyFont="1" applyFill="1"/>
    <xf numFmtId="0" fontId="25" fillId="0" borderId="0" xfId="10"/>
    <xf numFmtId="0" fontId="4" fillId="0" borderId="3" xfId="0" quotePrefix="1" applyFont="1" applyBorder="1" applyAlignment="1">
      <alignment horizontal="center"/>
    </xf>
    <xf numFmtId="165" fontId="3" fillId="0" borderId="0" xfId="0" applyNumberFormat="1" applyFont="1" applyFill="1"/>
    <xf numFmtId="170" fontId="3" fillId="0" borderId="0" xfId="0" applyNumberFormat="1" applyFont="1" applyAlignment="1">
      <alignment horizontal="center"/>
    </xf>
    <xf numFmtId="37" fontId="0" fillId="0" borderId="0" xfId="0" applyNumberFormat="1"/>
    <xf numFmtId="0" fontId="0" fillId="0" borderId="0" xfId="0" applyFill="1" applyAlignment="1">
      <alignment horizontal="center"/>
    </xf>
    <xf numFmtId="172" fontId="0" fillId="0" borderId="0" xfId="2" applyNumberFormat="1" applyFont="1"/>
    <xf numFmtId="170" fontId="0" fillId="0" borderId="3" xfId="0" applyNumberFormat="1" applyFill="1" applyBorder="1"/>
    <xf numFmtId="37" fontId="0" fillId="0" borderId="3" xfId="1" applyNumberFormat="1" applyFont="1" applyFill="1" applyBorder="1"/>
    <xf numFmtId="171" fontId="0" fillId="0" borderId="3" xfId="0" applyNumberFormat="1" applyBorder="1"/>
    <xf numFmtId="10" fontId="0" fillId="0" borderId="4" xfId="2" applyNumberFormat="1" applyFont="1" applyFill="1" applyBorder="1" applyAlignment="1">
      <alignment horizontal="center"/>
    </xf>
    <xf numFmtId="3" fontId="0" fillId="0" borderId="2" xfId="0" applyNumberFormat="1" applyBorder="1"/>
    <xf numFmtId="0" fontId="0" fillId="0" borderId="1" xfId="0" applyBorder="1"/>
    <xf numFmtId="44" fontId="0" fillId="0" borderId="1" xfId="0" applyNumberFormat="1" applyBorder="1"/>
    <xf numFmtId="168" fontId="0" fillId="0" borderId="1" xfId="2" applyNumberFormat="1" applyFont="1" applyBorder="1" applyAlignment="1">
      <alignment horizontal="center"/>
    </xf>
    <xf numFmtId="168" fontId="0" fillId="0" borderId="4" xfId="2" applyNumberFormat="1" applyFont="1" applyBorder="1" applyAlignment="1">
      <alignment horizontal="center"/>
    </xf>
    <xf numFmtId="0" fontId="3" fillId="0" borderId="34" xfId="0" applyFont="1" applyFill="1" applyBorder="1" applyAlignment="1">
      <alignment vertical="center" wrapText="1"/>
    </xf>
    <xf numFmtId="0" fontId="3" fillId="0" borderId="35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5" applyFont="1"/>
    <xf numFmtId="0" fontId="3" fillId="0" borderId="0" xfId="7" quotePrefix="1" applyAlignment="1">
      <alignment horizontal="left"/>
    </xf>
    <xf numFmtId="168" fontId="3" fillId="0" borderId="3" xfId="2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168" fontId="3" fillId="0" borderId="0" xfId="2" applyNumberFormat="1" applyFont="1" applyFill="1" applyBorder="1"/>
    <xf numFmtId="8" fontId="3" fillId="0" borderId="0" xfId="0" applyNumberFormat="1" applyFont="1" applyFill="1" applyBorder="1"/>
    <xf numFmtId="7" fontId="3" fillId="0" borderId="0" xfId="0" applyNumberFormat="1" applyFont="1" applyFill="1" applyBorder="1"/>
    <xf numFmtId="0" fontId="3" fillId="0" borderId="30" xfId="0" applyFont="1" applyFill="1" applyBorder="1" applyAlignment="1">
      <alignment horizontal="justify" vertical="center"/>
    </xf>
    <xf numFmtId="0" fontId="3" fillId="0" borderId="3" xfId="0" applyFont="1" applyFill="1" applyBorder="1" applyAlignment="1"/>
    <xf numFmtId="0" fontId="24" fillId="0" borderId="0" xfId="0" quotePrefix="1" applyFont="1" applyAlignment="1">
      <alignment horizontal="left"/>
    </xf>
    <xf numFmtId="0" fontId="3" fillId="0" borderId="20" xfId="0" applyFont="1" applyFill="1" applyBorder="1" applyAlignment="1">
      <alignment vertical="center"/>
    </xf>
    <xf numFmtId="0" fontId="24" fillId="0" borderId="3" xfId="0" quotePrefix="1" applyFont="1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44" fontId="3" fillId="0" borderId="3" xfId="0" applyNumberFormat="1" applyFont="1" applyFill="1" applyBorder="1" applyAlignment="1">
      <alignment horizontal="center"/>
    </xf>
    <xf numFmtId="44" fontId="3" fillId="0" borderId="3" xfId="0" applyNumberFormat="1" applyFont="1" applyFill="1" applyBorder="1"/>
    <xf numFmtId="0" fontId="3" fillId="0" borderId="0" xfId="0" quotePrefix="1" applyFont="1" applyFill="1" applyBorder="1" applyAlignment="1">
      <alignment horizontal="left" vertical="center"/>
    </xf>
    <xf numFmtId="0" fontId="9" fillId="0" borderId="34" xfId="0" quotePrefix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26" fillId="0" borderId="0" xfId="5" applyFont="1" applyFill="1" applyAlignment="1">
      <alignment horizontal="center"/>
    </xf>
    <xf numFmtId="0" fontId="9" fillId="0" borderId="9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8" fontId="9" fillId="0" borderId="14" xfId="0" applyNumberFormat="1" applyFont="1" applyBorder="1" applyAlignment="1">
      <alignment horizontal="right" vertical="center"/>
    </xf>
    <xf numFmtId="8" fontId="9" fillId="0" borderId="12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8" fontId="9" fillId="0" borderId="8" xfId="0" applyNumberFormat="1" applyFont="1" applyBorder="1" applyAlignment="1">
      <alignment horizontal="right" vertical="center"/>
    </xf>
    <xf numFmtId="8" fontId="9" fillId="0" borderId="17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3" fillId="0" borderId="0" xfId="0" quotePrefix="1" applyFont="1" applyFill="1" applyBorder="1" applyAlignment="1">
      <alignment horizontal="left" vertical="center" wrapText="1" indent="1"/>
    </xf>
    <xf numFmtId="0" fontId="4" fillId="0" borderId="2" xfId="0" quotePrefix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13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4" fillId="0" borderId="1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21" fillId="0" borderId="0" xfId="6" applyFont="1" applyAlignment="1">
      <alignment horizontal="center"/>
    </xf>
    <xf numFmtId="0" fontId="4" fillId="0" borderId="3" xfId="5" quotePrefix="1" applyFont="1" applyFill="1" applyBorder="1" applyAlignment="1">
      <alignment horizontal="center"/>
    </xf>
    <xf numFmtId="0" fontId="4" fillId="0" borderId="3" xfId="5" applyFont="1" applyFill="1" applyBorder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24" fillId="0" borderId="0" xfId="0" quotePrefix="1" applyNumberFormat="1" applyFont="1" applyAlignment="1">
      <alignment horizontal="center"/>
    </xf>
    <xf numFmtId="0" fontId="4" fillId="0" borderId="3" xfId="0" quotePrefix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14" fontId="3" fillId="0" borderId="0" xfId="0" applyNumberFormat="1" applyFont="1" applyFill="1" applyBorder="1" applyAlignment="1">
      <alignment horizontal="center" vertical="center"/>
    </xf>
    <xf numFmtId="0" fontId="4" fillId="0" borderId="0" xfId="5" quotePrefix="1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8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166" fontId="15" fillId="0" borderId="0" xfId="0" applyNumberFormat="1" applyFont="1" applyFill="1" applyAlignment="1">
      <alignment horizontal="center"/>
    </xf>
    <xf numFmtId="0" fontId="15" fillId="0" borderId="0" xfId="0" applyFont="1" applyFill="1"/>
  </cellXfs>
  <cellStyles count="11">
    <cellStyle name="Comma" xfId="1" builtinId="3"/>
    <cellStyle name="Normal" xfId="0" builtinId="0"/>
    <cellStyle name="Normal 10 2" xfId="7"/>
    <cellStyle name="Normal 13" xfId="3"/>
    <cellStyle name="Normal 2" xfId="5"/>
    <cellStyle name="Normal 2 19" xfId="4"/>
    <cellStyle name="Normal 2 2" xfId="10"/>
    <cellStyle name="Normal 47" xfId="6"/>
    <cellStyle name="Normal 48" xfId="8"/>
    <cellStyle name="Percent" xfId="2" builtinId="5"/>
    <cellStyle name="Percent 2" xfId="9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488157</xdr:colOff>
      <xdr:row>69</xdr:row>
      <xdr:rowOff>190500</xdr:rowOff>
    </xdr:from>
    <xdr:to>
      <xdr:col>4</xdr:col>
      <xdr:colOff>0</xdr:colOff>
      <xdr:row>93</xdr:row>
      <xdr:rowOff>130969</xdr:rowOff>
    </xdr:to>
    <xdr:cxnSp macro="">
      <xdr:nvCxnSpPr>
        <xdr:cNvPr id="3" name="Straight Arrow Connector 2"/>
        <xdr:cNvCxnSpPr/>
      </xdr:nvCxnSpPr>
      <xdr:spPr>
        <a:xfrm flipH="1">
          <a:off x="4738688" y="12834938"/>
          <a:ext cx="476250" cy="421481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H135"/>
  <sheetViews>
    <sheetView tabSelected="1" zoomScale="80" zoomScaleNormal="80" workbookViewId="0">
      <selection activeCell="D1" sqref="D1:D3"/>
    </sheetView>
  </sheetViews>
  <sheetFormatPr defaultRowHeight="12.75" x14ac:dyDescent="0.2"/>
  <cols>
    <col min="1" max="1" width="30.5703125" customWidth="1"/>
    <col min="2" max="2" width="18.7109375" customWidth="1"/>
    <col min="3" max="5" width="14.42578125" customWidth="1"/>
    <col min="6" max="6" width="16.42578125" customWidth="1"/>
    <col min="7" max="7" width="15.85546875" bestFit="1" customWidth="1"/>
    <col min="8" max="8" width="14.5703125" bestFit="1" customWidth="1"/>
    <col min="9" max="9" width="12.42578125" customWidth="1"/>
    <col min="10" max="10" width="14.28515625" bestFit="1" customWidth="1"/>
    <col min="11" max="12" width="19" bestFit="1" customWidth="1"/>
    <col min="13" max="13" width="15.140625" bestFit="1" customWidth="1"/>
    <col min="14" max="14" width="15.140625" customWidth="1"/>
    <col min="15" max="15" width="11.42578125" customWidth="1"/>
    <col min="16" max="16" width="10" bestFit="1" customWidth="1"/>
    <col min="17" max="17" width="10.42578125" customWidth="1"/>
    <col min="18" max="18" width="11.42578125" customWidth="1"/>
    <col min="25" max="25" width="11.28515625" customWidth="1"/>
    <col min="26" max="26" width="47.85546875" bestFit="1" customWidth="1"/>
    <col min="27" max="28" width="24.140625" bestFit="1" customWidth="1"/>
  </cols>
  <sheetData>
    <row r="1" spans="1:29" x14ac:dyDescent="0.2">
      <c r="A1" s="2" t="s">
        <v>62</v>
      </c>
      <c r="B1" s="26" t="s">
        <v>117</v>
      </c>
      <c r="C1" s="3" t="s">
        <v>111</v>
      </c>
      <c r="D1" s="389" t="s">
        <v>81</v>
      </c>
      <c r="E1" s="3" t="s">
        <v>10</v>
      </c>
      <c r="F1" s="3" t="s">
        <v>10</v>
      </c>
      <c r="G1" s="3" t="s">
        <v>15</v>
      </c>
      <c r="H1" s="3" t="s">
        <v>15</v>
      </c>
      <c r="I1" s="26" t="s">
        <v>143</v>
      </c>
      <c r="J1" s="26" t="s">
        <v>144</v>
      </c>
      <c r="K1" s="3" t="s">
        <v>29</v>
      </c>
      <c r="L1" s="3" t="s">
        <v>21</v>
      </c>
      <c r="M1" s="26" t="s">
        <v>66</v>
      </c>
      <c r="N1" s="90" t="s">
        <v>66</v>
      </c>
      <c r="O1" s="89" t="s">
        <v>107</v>
      </c>
      <c r="P1" s="86" t="s">
        <v>108</v>
      </c>
      <c r="Q1" s="88" t="s">
        <v>112</v>
      </c>
      <c r="S1" s="17"/>
      <c r="AB1" s="32"/>
    </row>
    <row r="2" spans="1:29" ht="13.5" thickBot="1" x14ac:dyDescent="0.25">
      <c r="B2" s="3"/>
      <c r="C2" s="3"/>
      <c r="D2" s="389" t="s">
        <v>416</v>
      </c>
      <c r="E2" s="3" t="s">
        <v>35</v>
      </c>
      <c r="F2" s="3" t="s">
        <v>36</v>
      </c>
      <c r="G2" s="3" t="s">
        <v>16</v>
      </c>
      <c r="H2" s="3" t="s">
        <v>17</v>
      </c>
      <c r="I2" s="3" t="s">
        <v>16</v>
      </c>
      <c r="J2" s="3" t="s">
        <v>16</v>
      </c>
      <c r="K2" s="3" t="s">
        <v>17</v>
      </c>
      <c r="L2" s="3"/>
      <c r="M2" s="3" t="s">
        <v>67</v>
      </c>
      <c r="N2" s="89" t="s">
        <v>16</v>
      </c>
      <c r="O2" s="89"/>
      <c r="P2" s="17"/>
      <c r="Q2" s="17"/>
      <c r="S2" s="17"/>
      <c r="U2" s="2" t="s">
        <v>220</v>
      </c>
      <c r="W2" s="2" t="s">
        <v>23</v>
      </c>
      <c r="Z2" s="2" t="s">
        <v>221</v>
      </c>
      <c r="AB2" s="32"/>
    </row>
    <row r="3" spans="1:29" ht="13.5" thickBot="1" x14ac:dyDescent="0.25">
      <c r="B3" s="3"/>
      <c r="C3" s="3"/>
      <c r="D3" s="389"/>
      <c r="N3" s="17"/>
      <c r="O3" s="17"/>
      <c r="P3" s="17"/>
      <c r="Q3" s="17"/>
      <c r="S3" s="17"/>
      <c r="U3" s="95" t="s">
        <v>222</v>
      </c>
      <c r="V3">
        <v>201</v>
      </c>
      <c r="W3" s="96">
        <v>0.1</v>
      </c>
      <c r="Z3" s="68"/>
      <c r="AA3" s="68"/>
      <c r="AB3" s="107"/>
    </row>
    <row r="4" spans="1:29" ht="16.5" thickBot="1" x14ac:dyDescent="0.25">
      <c r="A4" s="17" t="s">
        <v>11</v>
      </c>
      <c r="B4" s="37">
        <v>10.75</v>
      </c>
      <c r="C4" s="37">
        <f>+$B$4</f>
        <v>10.75</v>
      </c>
      <c r="D4" s="390">
        <f>+$B$4</f>
        <v>10.75</v>
      </c>
      <c r="E4" s="37">
        <v>20</v>
      </c>
      <c r="F4" s="37">
        <v>35</v>
      </c>
      <c r="G4" s="37">
        <v>170</v>
      </c>
      <c r="H4" s="37">
        <v>90</v>
      </c>
      <c r="I4" s="37">
        <v>300</v>
      </c>
      <c r="J4" s="37">
        <v>300</v>
      </c>
      <c r="K4" s="37">
        <v>200</v>
      </c>
      <c r="L4" s="37">
        <v>750</v>
      </c>
      <c r="M4" s="37">
        <v>750</v>
      </c>
      <c r="N4" s="37">
        <v>750</v>
      </c>
      <c r="O4" s="37">
        <v>0</v>
      </c>
      <c r="P4" s="37">
        <v>3.25</v>
      </c>
      <c r="Q4" s="37">
        <v>9.11</v>
      </c>
      <c r="S4" s="17"/>
      <c r="U4" s="95" t="s">
        <v>223</v>
      </c>
      <c r="V4">
        <v>203</v>
      </c>
      <c r="W4" s="96">
        <v>0.29799999999999999</v>
      </c>
      <c r="Z4" s="80" t="s">
        <v>98</v>
      </c>
      <c r="AA4" s="68"/>
      <c r="AB4" s="107"/>
    </row>
    <row r="5" spans="1:29" ht="15.75" thickBot="1" x14ac:dyDescent="0.25">
      <c r="A5" s="17"/>
      <c r="B5" s="38"/>
      <c r="C5" s="38"/>
      <c r="D5" s="391"/>
      <c r="E5" s="17"/>
      <c r="F5" s="17"/>
      <c r="G5" s="17"/>
      <c r="H5" s="17"/>
      <c r="I5" s="17"/>
      <c r="J5" s="17"/>
      <c r="K5" s="17"/>
      <c r="L5" s="17"/>
      <c r="M5" s="17"/>
      <c r="N5" s="39"/>
      <c r="O5" s="17"/>
      <c r="P5" s="17"/>
      <c r="Q5" s="17"/>
      <c r="S5" s="17"/>
      <c r="U5" s="95" t="s">
        <v>224</v>
      </c>
      <c r="V5">
        <v>204</v>
      </c>
      <c r="W5" s="96">
        <v>0.46200000000000002</v>
      </c>
      <c r="Z5" s="76"/>
      <c r="AA5" s="98" t="s">
        <v>88</v>
      </c>
      <c r="AB5" s="139" t="s">
        <v>88</v>
      </c>
    </row>
    <row r="6" spans="1:29" ht="15.75" thickBot="1" x14ac:dyDescent="0.25">
      <c r="A6" s="17" t="s">
        <v>12</v>
      </c>
      <c r="B6" s="39">
        <v>8.0759999999999998E-2</v>
      </c>
      <c r="D6" s="392">
        <f>+$B$6</f>
        <v>8.0759999999999998E-2</v>
      </c>
      <c r="E6" s="39">
        <v>9.1340000000000005E-2</v>
      </c>
      <c r="F6" s="39">
        <v>9.1340000000000005E-2</v>
      </c>
      <c r="G6" s="39">
        <v>3.9260000000000003E-2</v>
      </c>
      <c r="H6" s="39">
        <v>4.0599999999999997E-2</v>
      </c>
      <c r="I6" s="39">
        <v>3.8100000000000002E-2</v>
      </c>
      <c r="J6" s="39">
        <v>3.5380000000000002E-2</v>
      </c>
      <c r="K6" s="39">
        <v>3.9899999999999998E-2</v>
      </c>
      <c r="L6" s="39">
        <v>3.61E-2</v>
      </c>
      <c r="M6" s="39">
        <v>3.61E-2</v>
      </c>
      <c r="N6" s="39">
        <v>3.61E-2</v>
      </c>
      <c r="O6" s="39">
        <v>6.4610000000000001E-2</v>
      </c>
      <c r="P6" s="39">
        <v>7.6579999999999995E-2</v>
      </c>
      <c r="Q6" s="39"/>
      <c r="S6" s="17"/>
      <c r="U6" s="95" t="s">
        <v>225</v>
      </c>
      <c r="V6">
        <v>206</v>
      </c>
      <c r="W6" s="96">
        <v>0.1</v>
      </c>
      <c r="Z6" s="70"/>
      <c r="AA6" s="71" t="s">
        <v>1</v>
      </c>
      <c r="AB6" s="100" t="s">
        <v>9</v>
      </c>
      <c r="AC6" s="97" t="s">
        <v>23</v>
      </c>
    </row>
    <row r="7" spans="1:29" ht="15.75" thickBot="1" x14ac:dyDescent="0.25">
      <c r="A7" s="17" t="s">
        <v>32</v>
      </c>
      <c r="B7" s="17"/>
      <c r="C7" s="39">
        <v>0.14451</v>
      </c>
      <c r="D7" s="393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99"/>
      <c r="Q7" s="99"/>
      <c r="S7" s="17"/>
      <c r="U7" s="95" t="s">
        <v>226</v>
      </c>
      <c r="V7">
        <v>207</v>
      </c>
      <c r="W7" s="96">
        <v>0.46200000000000002</v>
      </c>
      <c r="Z7" s="72" t="s">
        <v>89</v>
      </c>
      <c r="AA7" s="71"/>
      <c r="AB7" s="100"/>
    </row>
    <row r="8" spans="1:29" ht="15.75" thickBot="1" x14ac:dyDescent="0.25">
      <c r="A8" s="17" t="s">
        <v>31</v>
      </c>
      <c r="B8" s="17"/>
      <c r="C8" s="39">
        <v>7.8990000000000005E-2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99"/>
      <c r="Q8" s="99"/>
      <c r="S8" s="17"/>
      <c r="U8" s="95" t="s">
        <v>227</v>
      </c>
      <c r="V8">
        <v>208</v>
      </c>
      <c r="W8" s="96">
        <v>0.21</v>
      </c>
      <c r="Z8" s="140" t="s">
        <v>93</v>
      </c>
      <c r="AA8" s="71"/>
      <c r="AB8" s="100"/>
    </row>
    <row r="9" spans="1:29" ht="15.75" thickBot="1" x14ac:dyDescent="0.25">
      <c r="A9" s="17" t="s">
        <v>33</v>
      </c>
      <c r="B9" s="17"/>
      <c r="C9" s="39">
        <v>5.8200000000000002E-2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99"/>
      <c r="Q9" s="99"/>
      <c r="S9" s="17"/>
      <c r="U9" s="95" t="s">
        <v>228</v>
      </c>
      <c r="V9">
        <v>209</v>
      </c>
      <c r="W9" s="96">
        <v>1.18</v>
      </c>
      <c r="Y9">
        <v>452</v>
      </c>
      <c r="Z9" s="141" t="s">
        <v>229</v>
      </c>
      <c r="AA9" s="356">
        <v>12.82</v>
      </c>
      <c r="AB9" s="101">
        <v>13.2</v>
      </c>
      <c r="AC9">
        <v>0.18099999999999999</v>
      </c>
    </row>
    <row r="10" spans="1:29" ht="15.75" thickBot="1" x14ac:dyDescent="0.25">
      <c r="A10" s="17"/>
      <c r="B10" s="17"/>
      <c r="C10" s="39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99"/>
      <c r="Q10" s="99"/>
      <c r="S10" s="17"/>
      <c r="U10" s="95" t="s">
        <v>230</v>
      </c>
      <c r="V10">
        <v>210</v>
      </c>
      <c r="W10" s="96">
        <v>1.18</v>
      </c>
      <c r="Y10">
        <v>453</v>
      </c>
      <c r="Z10" s="142" t="s">
        <v>231</v>
      </c>
      <c r="AA10" s="355">
        <v>15.08</v>
      </c>
      <c r="AB10" s="102">
        <v>15.52</v>
      </c>
      <c r="AC10">
        <v>0.29399999999999998</v>
      </c>
    </row>
    <row r="11" spans="1:29" ht="15.75" thickBot="1" x14ac:dyDescent="0.25">
      <c r="A11" s="17" t="s">
        <v>13</v>
      </c>
      <c r="B11" s="17"/>
      <c r="D11" s="17"/>
      <c r="E11" s="17"/>
      <c r="F11" s="17"/>
      <c r="G11" s="17"/>
      <c r="H11" s="17"/>
      <c r="I11" s="38"/>
      <c r="J11" s="38"/>
      <c r="K11" s="38"/>
      <c r="L11" s="41"/>
      <c r="M11" s="41"/>
      <c r="N11" s="41"/>
      <c r="O11" s="17"/>
      <c r="P11" s="85"/>
      <c r="Q11" s="85"/>
      <c r="S11" s="17"/>
      <c r="U11" s="95" t="s">
        <v>232</v>
      </c>
      <c r="V11">
        <v>252</v>
      </c>
      <c r="W11" s="96">
        <v>0.21</v>
      </c>
      <c r="Y11">
        <v>454</v>
      </c>
      <c r="Z11" s="75" t="s">
        <v>148</v>
      </c>
      <c r="AA11" s="355">
        <v>17.38</v>
      </c>
      <c r="AB11" s="102">
        <v>17.89</v>
      </c>
      <c r="AC11">
        <v>0.47099999999999997</v>
      </c>
    </row>
    <row r="12" spans="1:29" ht="15.75" thickBot="1" x14ac:dyDescent="0.25">
      <c r="A12" s="84" t="s">
        <v>55</v>
      </c>
      <c r="B12" s="17"/>
      <c r="C12" s="17"/>
      <c r="D12" s="17"/>
      <c r="E12" s="17"/>
      <c r="F12" s="17"/>
      <c r="G12" s="40">
        <v>13.95</v>
      </c>
      <c r="H12" s="40">
        <v>16.399999999999999</v>
      </c>
      <c r="I12" s="38"/>
      <c r="J12" s="38"/>
      <c r="K12" s="38"/>
      <c r="L12" s="41"/>
      <c r="M12" s="41"/>
      <c r="N12" s="41"/>
      <c r="O12" s="17"/>
      <c r="P12" s="85"/>
      <c r="Q12" s="85"/>
      <c r="S12" s="17"/>
      <c r="U12" s="95" t="s">
        <v>233</v>
      </c>
      <c r="V12">
        <v>266</v>
      </c>
      <c r="W12" s="96">
        <v>0.29399999999999998</v>
      </c>
      <c r="Y12">
        <v>455</v>
      </c>
      <c r="Z12" s="75" t="s">
        <v>149</v>
      </c>
      <c r="AA12" s="355">
        <v>13.77</v>
      </c>
      <c r="AB12" s="102">
        <v>14.18</v>
      </c>
      <c r="AC12">
        <v>0.18099999999999999</v>
      </c>
    </row>
    <row r="13" spans="1:29" ht="15.75" thickBot="1" x14ac:dyDescent="0.25">
      <c r="A13" s="84" t="s">
        <v>56</v>
      </c>
      <c r="B13" s="17"/>
      <c r="C13" s="17"/>
      <c r="D13" s="17"/>
      <c r="E13" s="17"/>
      <c r="F13" s="17"/>
      <c r="G13" s="40">
        <v>11.66</v>
      </c>
      <c r="H13" s="40">
        <v>14.01</v>
      </c>
      <c r="I13" s="38"/>
      <c r="J13" s="38"/>
      <c r="K13" s="38"/>
      <c r="L13" s="41"/>
      <c r="M13" s="41"/>
      <c r="N13" s="41"/>
      <c r="O13" s="17"/>
      <c r="P13" s="85"/>
      <c r="Q13" s="85"/>
      <c r="S13" s="17"/>
      <c r="U13" s="95" t="s">
        <v>234</v>
      </c>
      <c r="V13">
        <v>267</v>
      </c>
      <c r="W13" s="96">
        <v>0.47099999999999997</v>
      </c>
      <c r="Y13">
        <v>456</v>
      </c>
      <c r="Z13" s="75" t="s">
        <v>150</v>
      </c>
      <c r="AA13" s="355">
        <v>18.21</v>
      </c>
      <c r="AB13" s="102">
        <v>18.75</v>
      </c>
      <c r="AC13">
        <v>0.47099999999999997</v>
      </c>
    </row>
    <row r="14" spans="1:29" ht="15.75" thickBot="1" x14ac:dyDescent="0.25">
      <c r="A14" s="17" t="s">
        <v>32</v>
      </c>
      <c r="B14" s="17"/>
      <c r="C14" s="17"/>
      <c r="D14" s="17"/>
      <c r="E14" s="17"/>
      <c r="F14" s="17"/>
      <c r="G14" s="17"/>
      <c r="H14" s="17"/>
      <c r="I14" s="37">
        <v>5.83</v>
      </c>
      <c r="J14" s="37">
        <v>4.63</v>
      </c>
      <c r="K14" s="37">
        <v>6.11</v>
      </c>
      <c r="L14" s="41">
        <v>4.55</v>
      </c>
      <c r="M14" s="41">
        <v>2.94</v>
      </c>
      <c r="N14" s="41">
        <v>1.89</v>
      </c>
      <c r="O14" s="17"/>
      <c r="P14" s="99"/>
      <c r="Q14" s="99"/>
      <c r="R14" s="85"/>
      <c r="S14" s="17"/>
      <c r="U14" s="95" t="s">
        <v>235</v>
      </c>
      <c r="V14">
        <v>274</v>
      </c>
      <c r="W14" s="96">
        <v>0.11700000000000001</v>
      </c>
      <c r="Y14">
        <v>457</v>
      </c>
      <c r="Z14" s="75" t="s">
        <v>151</v>
      </c>
      <c r="AA14" s="355">
        <v>10.86</v>
      </c>
      <c r="AB14" s="102">
        <v>11.18</v>
      </c>
      <c r="AC14">
        <v>0.11700000000000001</v>
      </c>
    </row>
    <row r="15" spans="1:29" ht="15.75" thickBot="1" x14ac:dyDescent="0.25">
      <c r="A15" s="17" t="s">
        <v>31</v>
      </c>
      <c r="B15" s="17"/>
      <c r="C15" s="17"/>
      <c r="D15" s="17"/>
      <c r="E15" s="17"/>
      <c r="F15" s="17"/>
      <c r="G15" s="17"/>
      <c r="H15" s="17"/>
      <c r="I15" s="37">
        <v>4.13</v>
      </c>
      <c r="J15" s="37">
        <v>3.79</v>
      </c>
      <c r="K15" s="37">
        <v>4.51</v>
      </c>
      <c r="L15" s="41">
        <v>3</v>
      </c>
      <c r="M15" s="41">
        <v>1.89</v>
      </c>
      <c r="N15" s="41">
        <v>1.89</v>
      </c>
      <c r="O15" s="17"/>
      <c r="P15" s="85"/>
      <c r="Q15" s="85"/>
      <c r="R15" s="85"/>
      <c r="S15" s="17"/>
      <c r="U15" s="95" t="s">
        <v>236</v>
      </c>
      <c r="V15">
        <v>275</v>
      </c>
      <c r="W15" s="96">
        <v>0.18099999999999999</v>
      </c>
      <c r="Z15" s="69"/>
      <c r="AA15" s="357"/>
      <c r="AB15" s="103"/>
    </row>
    <row r="16" spans="1:29" ht="15.75" thickBot="1" x14ac:dyDescent="0.25">
      <c r="A16" s="17" t="s">
        <v>33</v>
      </c>
      <c r="B16" s="17"/>
      <c r="C16" s="17"/>
      <c r="D16" s="17"/>
      <c r="E16" s="17"/>
      <c r="F16" s="17"/>
      <c r="G16" s="17"/>
      <c r="H16" s="17"/>
      <c r="I16" s="37">
        <v>3.98</v>
      </c>
      <c r="J16" s="37">
        <v>3.63</v>
      </c>
      <c r="K16" s="37">
        <v>4</v>
      </c>
      <c r="L16" s="41">
        <v>2.75</v>
      </c>
      <c r="M16" s="41">
        <v>1.1399999999999999</v>
      </c>
      <c r="N16" s="41">
        <v>2.94</v>
      </c>
      <c r="O16" s="17"/>
      <c r="P16" s="99"/>
      <c r="Q16" s="99"/>
      <c r="R16" s="17"/>
      <c r="S16" s="17"/>
      <c r="U16" s="95" t="s">
        <v>237</v>
      </c>
      <c r="V16">
        <v>276</v>
      </c>
      <c r="W16" s="96">
        <v>8.3000000000000004E-2</v>
      </c>
      <c r="Z16" s="73" t="s">
        <v>91</v>
      </c>
      <c r="AA16" s="358"/>
      <c r="AB16" s="100"/>
    </row>
    <row r="17" spans="1:29" ht="15.75" thickBot="1" x14ac:dyDescent="0.25">
      <c r="A17" s="17"/>
      <c r="B17" s="17"/>
      <c r="C17" s="17"/>
      <c r="D17" s="17"/>
      <c r="E17" s="17"/>
      <c r="F17" s="17"/>
      <c r="G17" s="17"/>
      <c r="H17" s="17"/>
      <c r="I17" s="37"/>
      <c r="J17" s="37"/>
      <c r="K17" s="37"/>
      <c r="L17" s="41"/>
      <c r="M17" s="41"/>
      <c r="N17" s="41"/>
      <c r="O17" s="17"/>
      <c r="P17" s="99"/>
      <c r="Q17" s="99"/>
      <c r="R17" s="17"/>
      <c r="S17" s="17"/>
      <c r="U17" s="95" t="s">
        <v>238</v>
      </c>
      <c r="V17">
        <v>277</v>
      </c>
      <c r="W17" s="96">
        <v>0.18099999999999999</v>
      </c>
      <c r="Y17">
        <v>470</v>
      </c>
      <c r="Z17" s="74" t="s">
        <v>152</v>
      </c>
      <c r="AA17" s="356">
        <v>12.79</v>
      </c>
      <c r="AB17" s="101">
        <v>13.17</v>
      </c>
      <c r="AC17">
        <v>0.15</v>
      </c>
    </row>
    <row r="18" spans="1:29" ht="15.75" thickBot="1" x14ac:dyDescent="0.25">
      <c r="A18" s="181" t="s">
        <v>320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7"/>
      <c r="S18" s="17"/>
      <c r="U18" s="95" t="s">
        <v>239</v>
      </c>
      <c r="V18">
        <v>278</v>
      </c>
      <c r="W18" s="96">
        <v>1</v>
      </c>
      <c r="Y18">
        <v>473</v>
      </c>
      <c r="Z18" s="69" t="s">
        <v>153</v>
      </c>
      <c r="AA18" s="359">
        <v>18.68</v>
      </c>
      <c r="AB18" s="105">
        <v>19.23</v>
      </c>
      <c r="AC18">
        <v>0.35</v>
      </c>
    </row>
    <row r="19" spans="1:29" ht="15.75" thickBot="1" x14ac:dyDescent="0.25">
      <c r="A19" s="181" t="s">
        <v>321</v>
      </c>
      <c r="B19" s="232">
        <v>984</v>
      </c>
      <c r="C19" s="232">
        <v>1364</v>
      </c>
      <c r="D19" s="232">
        <v>0</v>
      </c>
      <c r="E19" s="232">
        <v>1152</v>
      </c>
      <c r="F19" s="232">
        <v>5061</v>
      </c>
      <c r="G19" s="232">
        <v>186014</v>
      </c>
      <c r="H19" s="232">
        <v>58604</v>
      </c>
      <c r="I19" s="232">
        <v>786183</v>
      </c>
      <c r="J19" s="232">
        <v>1983900</v>
      </c>
      <c r="K19" s="232">
        <v>271647</v>
      </c>
      <c r="L19" s="232">
        <v>6089174</v>
      </c>
      <c r="M19" s="232">
        <v>0</v>
      </c>
      <c r="N19" s="232">
        <v>0</v>
      </c>
      <c r="O19" s="232">
        <v>1839</v>
      </c>
      <c r="P19" s="232">
        <v>286</v>
      </c>
      <c r="Q19" s="232"/>
      <c r="R19" s="17"/>
      <c r="S19" s="17"/>
      <c r="U19" s="95" t="s">
        <v>240</v>
      </c>
      <c r="V19">
        <v>279</v>
      </c>
      <c r="W19" s="96">
        <v>1</v>
      </c>
      <c r="Y19">
        <v>476</v>
      </c>
      <c r="Z19" s="78" t="s">
        <v>154</v>
      </c>
      <c r="AA19" s="360">
        <v>39.6</v>
      </c>
      <c r="AB19" s="106">
        <v>40.770000000000003</v>
      </c>
      <c r="AC19">
        <v>1.08</v>
      </c>
    </row>
    <row r="20" spans="1:29" ht="15.75" thickBo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85"/>
      <c r="Q20" s="85"/>
      <c r="R20" s="17"/>
      <c r="S20" s="17"/>
      <c r="U20" s="95" t="s">
        <v>241</v>
      </c>
      <c r="V20">
        <v>280</v>
      </c>
      <c r="W20" s="96">
        <v>8.3000000000000004E-2</v>
      </c>
      <c r="Y20" t="s">
        <v>155</v>
      </c>
      <c r="Z20" s="69"/>
      <c r="AA20" s="357"/>
      <c r="AB20" s="103"/>
    </row>
    <row r="21" spans="1:29" ht="15.75" thickBot="1" x14ac:dyDescent="0.25">
      <c r="I21" s="365" t="s">
        <v>145</v>
      </c>
      <c r="J21" s="366"/>
      <c r="O21" s="17"/>
      <c r="P21" s="17"/>
      <c r="Q21" s="17"/>
      <c r="R21" s="17"/>
      <c r="S21" s="17"/>
      <c r="U21" s="95" t="s">
        <v>242</v>
      </c>
      <c r="V21">
        <v>281</v>
      </c>
      <c r="W21" s="96">
        <v>0.11700000000000001</v>
      </c>
      <c r="Z21" s="72" t="s">
        <v>92</v>
      </c>
      <c r="AA21" s="358"/>
      <c r="AB21" s="100"/>
    </row>
    <row r="22" spans="1:29" ht="15.75" thickBot="1" x14ac:dyDescent="0.25">
      <c r="A22" s="2" t="s">
        <v>63</v>
      </c>
      <c r="B22" s="26" t="s">
        <v>117</v>
      </c>
      <c r="C22" s="3" t="s">
        <v>80</v>
      </c>
      <c r="D22" s="3" t="s">
        <v>81</v>
      </c>
      <c r="E22" s="3" t="s">
        <v>10</v>
      </c>
      <c r="F22" s="3" t="s">
        <v>10</v>
      </c>
      <c r="G22" s="3" t="s">
        <v>15</v>
      </c>
      <c r="H22" s="3" t="s">
        <v>15</v>
      </c>
      <c r="I22" s="135" t="s">
        <v>29</v>
      </c>
      <c r="J22" s="136" t="s">
        <v>29</v>
      </c>
      <c r="K22" s="3" t="s">
        <v>29</v>
      </c>
      <c r="L22" s="3" t="s">
        <v>21</v>
      </c>
      <c r="M22" s="26" t="s">
        <v>66</v>
      </c>
      <c r="N22" s="90" t="s">
        <v>66</v>
      </c>
      <c r="O22" s="89" t="s">
        <v>107</v>
      </c>
      <c r="P22" s="86" t="s">
        <v>108</v>
      </c>
      <c r="Q22" s="88" t="s">
        <v>112</v>
      </c>
      <c r="S22" s="17"/>
      <c r="U22" s="95" t="s">
        <v>243</v>
      </c>
      <c r="V22">
        <v>282</v>
      </c>
      <c r="W22" s="96">
        <v>8.3000000000000004E-2</v>
      </c>
      <c r="Z22" s="73" t="s">
        <v>90</v>
      </c>
      <c r="AA22" s="361"/>
      <c r="AB22" s="104"/>
    </row>
    <row r="23" spans="1:29" ht="15.75" thickBot="1" x14ac:dyDescent="0.25">
      <c r="B23" s="3"/>
      <c r="C23" s="3"/>
      <c r="D23" s="3"/>
      <c r="E23" s="3" t="s">
        <v>35</v>
      </c>
      <c r="F23" s="3" t="s">
        <v>36</v>
      </c>
      <c r="G23" s="3" t="s">
        <v>16</v>
      </c>
      <c r="H23" s="3" t="s">
        <v>17</v>
      </c>
      <c r="I23" s="137" t="s">
        <v>16</v>
      </c>
      <c r="J23" s="138" t="s">
        <v>16</v>
      </c>
      <c r="K23" s="3" t="s">
        <v>17</v>
      </c>
      <c r="L23" s="3"/>
      <c r="M23" s="3" t="s">
        <v>67</v>
      </c>
      <c r="N23" s="89" t="s">
        <v>16</v>
      </c>
      <c r="O23" s="89"/>
      <c r="P23" s="17"/>
      <c r="Q23" s="17"/>
      <c r="S23" s="17"/>
      <c r="U23" s="95" t="s">
        <v>244</v>
      </c>
      <c r="V23">
        <v>283</v>
      </c>
      <c r="W23" s="96">
        <v>0.11700000000000001</v>
      </c>
      <c r="Y23">
        <v>412</v>
      </c>
      <c r="Z23" s="74" t="s">
        <v>156</v>
      </c>
      <c r="AA23" s="356">
        <v>19.79</v>
      </c>
      <c r="AB23" s="101">
        <v>20.37</v>
      </c>
      <c r="AC23">
        <v>8.3000000000000004E-2</v>
      </c>
    </row>
    <row r="24" spans="1:29" ht="15.75" thickBot="1" x14ac:dyDescent="0.25">
      <c r="A24" s="8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U24" s="95" t="s">
        <v>245</v>
      </c>
      <c r="V24">
        <v>314</v>
      </c>
      <c r="W24" s="96">
        <v>0.29799999999999999</v>
      </c>
      <c r="Y24">
        <v>413</v>
      </c>
      <c r="Z24" s="75" t="s">
        <v>157</v>
      </c>
      <c r="AA24" s="355">
        <v>20.49</v>
      </c>
      <c r="AB24" s="102">
        <v>21.09</v>
      </c>
      <c r="AC24">
        <v>0.11700000000000001</v>
      </c>
    </row>
    <row r="25" spans="1:29" ht="15.75" thickBot="1" x14ac:dyDescent="0.25">
      <c r="A25" s="17" t="s">
        <v>11</v>
      </c>
      <c r="B25" s="37">
        <v>18</v>
      </c>
      <c r="C25" s="37">
        <v>18</v>
      </c>
      <c r="D25" s="37">
        <v>18</v>
      </c>
      <c r="E25" s="37">
        <v>25</v>
      </c>
      <c r="F25" s="37">
        <v>40</v>
      </c>
      <c r="G25" s="37">
        <v>200</v>
      </c>
      <c r="H25" s="37">
        <v>90</v>
      </c>
      <c r="I25" s="37">
        <v>300</v>
      </c>
      <c r="J25" s="37">
        <v>300</v>
      </c>
      <c r="K25" s="37">
        <v>200</v>
      </c>
      <c r="L25" s="37">
        <v>1000</v>
      </c>
      <c r="M25" s="37">
        <v>1000</v>
      </c>
      <c r="N25" s="37">
        <v>1000</v>
      </c>
      <c r="O25" s="37">
        <v>0</v>
      </c>
      <c r="P25" s="37">
        <v>4</v>
      </c>
      <c r="Q25" s="37">
        <v>9.11</v>
      </c>
      <c r="R25" s="17"/>
      <c r="S25" s="17"/>
      <c r="U25" s="95" t="s">
        <v>246</v>
      </c>
      <c r="V25">
        <v>315</v>
      </c>
      <c r="W25" s="96">
        <v>0.46200000000000002</v>
      </c>
      <c r="Y25">
        <v>444</v>
      </c>
      <c r="Z25" s="75" t="s">
        <v>158</v>
      </c>
      <c r="AA25" s="362">
        <v>20.73</v>
      </c>
      <c r="AB25" s="102">
        <v>21.34</v>
      </c>
      <c r="AC25">
        <v>0.18099999999999999</v>
      </c>
    </row>
    <row r="26" spans="1:29" ht="15.75" thickBot="1" x14ac:dyDescent="0.25">
      <c r="A26" s="17"/>
      <c r="B26" s="319"/>
      <c r="C26" s="319"/>
      <c r="D26" s="319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U26" s="95" t="s">
        <v>247</v>
      </c>
      <c r="V26">
        <v>318</v>
      </c>
      <c r="W26" s="96">
        <v>0.21</v>
      </c>
      <c r="Y26">
        <v>415</v>
      </c>
      <c r="Z26" s="75" t="s">
        <v>159</v>
      </c>
      <c r="AA26" s="355">
        <v>20.18</v>
      </c>
      <c r="AB26" s="102">
        <v>20.78</v>
      </c>
      <c r="AC26">
        <v>8.3000000000000004E-2</v>
      </c>
    </row>
    <row r="27" spans="1:29" ht="15.75" thickBot="1" x14ac:dyDescent="0.25">
      <c r="A27" s="17" t="s">
        <v>12</v>
      </c>
      <c r="B27" s="39">
        <v>7.6179999999999998E-2</v>
      </c>
      <c r="C27" s="39"/>
      <c r="D27" s="39">
        <v>4.0079999999999998E-2</v>
      </c>
      <c r="E27" s="39">
        <v>9.2450000000000004E-2</v>
      </c>
      <c r="F27" s="39">
        <v>9.2450000000000004E-2</v>
      </c>
      <c r="G27" s="39">
        <v>3.9640000000000002E-2</v>
      </c>
      <c r="H27" s="39">
        <v>4.0710000000000003E-2</v>
      </c>
      <c r="I27" s="39">
        <v>3.823E-2</v>
      </c>
      <c r="J27" s="39">
        <v>3.823E-2</v>
      </c>
      <c r="K27" s="39">
        <v>4.0480000000000002E-2</v>
      </c>
      <c r="L27" s="39">
        <v>3.712E-2</v>
      </c>
      <c r="M27" s="39">
        <v>3.7089999999999998E-2</v>
      </c>
      <c r="N27" s="39">
        <v>3.7089999999999998E-2</v>
      </c>
      <c r="O27" s="39">
        <v>6.6610000000000003E-2</v>
      </c>
      <c r="P27" s="39">
        <v>7.6590000000000005E-2</v>
      </c>
      <c r="Q27" s="39"/>
      <c r="R27" s="17"/>
      <c r="S27" s="17"/>
      <c r="U27" s="95" t="s">
        <v>248</v>
      </c>
      <c r="V27">
        <v>348</v>
      </c>
      <c r="W27" s="96">
        <v>0.44700000000000001</v>
      </c>
      <c r="Y27">
        <v>416</v>
      </c>
      <c r="Z27" s="75" t="s">
        <v>160</v>
      </c>
      <c r="AA27" s="355">
        <v>22.56</v>
      </c>
      <c r="AB27" s="102">
        <v>23.23</v>
      </c>
      <c r="AC27">
        <v>0.11700000000000001</v>
      </c>
    </row>
    <row r="28" spans="1:29" ht="15.75" thickBot="1" x14ac:dyDescent="0.25">
      <c r="A28" s="17" t="s">
        <v>32</v>
      </c>
      <c r="B28" s="39"/>
      <c r="C28" s="39">
        <v>0.21482999999999999</v>
      </c>
      <c r="D28" s="39"/>
      <c r="E28" s="39"/>
      <c r="F28" s="39"/>
      <c r="G28" s="39"/>
      <c r="H28" s="39"/>
      <c r="I28" s="39"/>
      <c r="J28" s="39"/>
      <c r="K28" s="39"/>
      <c r="L28" s="39"/>
      <c r="M28" s="17"/>
      <c r="N28" s="17"/>
      <c r="O28" s="17"/>
      <c r="P28" s="17"/>
      <c r="Q28" s="17"/>
      <c r="R28" s="17"/>
      <c r="S28" s="17"/>
      <c r="U28" s="95" t="s">
        <v>249</v>
      </c>
      <c r="V28">
        <v>349</v>
      </c>
      <c r="W28" s="96">
        <v>0.10199999999999999</v>
      </c>
      <c r="Y28">
        <v>445</v>
      </c>
      <c r="Z28" s="75" t="s">
        <v>161</v>
      </c>
      <c r="AA28" s="362">
        <v>22.67</v>
      </c>
      <c r="AB28" s="102">
        <v>23.34</v>
      </c>
      <c r="AC28">
        <v>0.18099999999999999</v>
      </c>
    </row>
    <row r="29" spans="1:29" ht="15.75" thickBot="1" x14ac:dyDescent="0.25">
      <c r="A29" s="17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17"/>
      <c r="N29" s="17"/>
      <c r="O29" s="17"/>
      <c r="P29" s="17"/>
      <c r="Q29" s="25"/>
      <c r="R29" s="17"/>
      <c r="S29" s="17"/>
      <c r="U29" s="143" t="s">
        <v>250</v>
      </c>
      <c r="V29">
        <v>400</v>
      </c>
      <c r="W29" s="96">
        <v>0.06</v>
      </c>
      <c r="Y29">
        <v>427</v>
      </c>
      <c r="Z29" s="75" t="s">
        <v>162</v>
      </c>
      <c r="AA29" s="355">
        <v>35.200000000000003</v>
      </c>
      <c r="AB29" s="102">
        <v>36.24</v>
      </c>
      <c r="AC29">
        <v>8.3000000000000004E-2</v>
      </c>
    </row>
    <row r="30" spans="1:29" ht="15.75" thickBot="1" x14ac:dyDescent="0.25">
      <c r="A30" s="17" t="s">
        <v>33</v>
      </c>
      <c r="B30" s="39"/>
      <c r="C30" s="39">
        <v>5.271E-2</v>
      </c>
      <c r="D30" s="39"/>
      <c r="E30" s="39"/>
      <c r="F30" s="39"/>
      <c r="G30" s="39"/>
      <c r="H30" s="39"/>
      <c r="I30" s="39"/>
      <c r="J30" s="39"/>
      <c r="K30" s="39"/>
      <c r="L30" s="39"/>
      <c r="M30" s="17"/>
      <c r="N30" s="17"/>
      <c r="O30" s="17"/>
      <c r="P30" s="17"/>
      <c r="Q30" s="25"/>
      <c r="R30" s="17"/>
      <c r="S30" s="17"/>
      <c r="U30" s="95" t="s">
        <v>251</v>
      </c>
      <c r="V30">
        <v>401</v>
      </c>
      <c r="W30" s="96">
        <v>0.11700000000000001</v>
      </c>
      <c r="Y30">
        <v>429</v>
      </c>
      <c r="Z30" s="75" t="s">
        <v>163</v>
      </c>
      <c r="AA30" s="355">
        <v>36.07</v>
      </c>
      <c r="AB30" s="102">
        <v>37.130000000000003</v>
      </c>
      <c r="AC30">
        <v>0.11700000000000001</v>
      </c>
    </row>
    <row r="31" spans="1:29" ht="15.75" thickBot="1" x14ac:dyDescent="0.25">
      <c r="A31" s="17"/>
      <c r="B31" s="17"/>
      <c r="C31" s="39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99"/>
      <c r="Q31" s="17"/>
      <c r="R31" s="17"/>
      <c r="S31" s="17"/>
      <c r="U31" s="95" t="s">
        <v>252</v>
      </c>
      <c r="V31">
        <v>412</v>
      </c>
      <c r="W31" s="96">
        <v>8.3000000000000004E-2</v>
      </c>
      <c r="Y31">
        <v>431</v>
      </c>
      <c r="Z31" s="75" t="s">
        <v>164</v>
      </c>
      <c r="AA31" s="355">
        <v>32.93</v>
      </c>
      <c r="AB31" s="102">
        <v>33.9</v>
      </c>
      <c r="AC31">
        <v>8.3000000000000004E-2</v>
      </c>
    </row>
    <row r="32" spans="1:29" ht="15.75" thickBot="1" x14ac:dyDescent="0.25">
      <c r="A32" s="17" t="s">
        <v>13</v>
      </c>
      <c r="B32" s="17"/>
      <c r="C32" s="39"/>
      <c r="D32" s="17"/>
      <c r="E32" s="17"/>
      <c r="F32" s="40"/>
      <c r="G32" s="17"/>
      <c r="H32" s="17"/>
      <c r="I32" s="319"/>
      <c r="J32" s="319"/>
      <c r="K32" s="319"/>
      <c r="L32" s="41"/>
      <c r="M32" s="41"/>
      <c r="N32" s="41"/>
      <c r="O32" s="17"/>
      <c r="P32" s="85"/>
      <c r="Q32" s="25"/>
      <c r="R32" s="17"/>
      <c r="S32" s="17"/>
      <c r="U32" s="143" t="s">
        <v>253</v>
      </c>
      <c r="V32">
        <v>413</v>
      </c>
      <c r="W32" s="96">
        <v>0.11700000000000001</v>
      </c>
      <c r="Y32">
        <v>433</v>
      </c>
      <c r="Z32" s="75" t="s">
        <v>165</v>
      </c>
      <c r="AA32" s="355">
        <v>34.99</v>
      </c>
      <c r="AB32" s="102">
        <v>36.020000000000003</v>
      </c>
      <c r="AC32">
        <v>0.11700000000000001</v>
      </c>
    </row>
    <row r="33" spans="1:29" ht="15.75" thickBot="1" x14ac:dyDescent="0.25">
      <c r="A33" s="84" t="s">
        <v>55</v>
      </c>
      <c r="B33" s="17"/>
      <c r="C33" s="17"/>
      <c r="D33" s="17"/>
      <c r="E33" s="17"/>
      <c r="F33" s="17"/>
      <c r="G33" s="40">
        <v>14.62</v>
      </c>
      <c r="H33" s="40">
        <v>17.329999999999998</v>
      </c>
      <c r="I33" s="319"/>
      <c r="J33" s="319"/>
      <c r="K33" s="319"/>
      <c r="L33" s="41"/>
      <c r="M33" s="41"/>
      <c r="N33" s="41"/>
      <c r="O33" s="17"/>
      <c r="P33" s="85"/>
      <c r="Q33" s="25"/>
      <c r="R33" s="17"/>
      <c r="S33" s="17"/>
      <c r="U33" s="95" t="s">
        <v>254</v>
      </c>
      <c r="V33">
        <v>415</v>
      </c>
      <c r="W33" s="96">
        <v>8.3000000000000004E-2</v>
      </c>
      <c r="Y33">
        <v>400</v>
      </c>
      <c r="Z33" s="75" t="s">
        <v>166</v>
      </c>
      <c r="AA33" s="355">
        <v>23.89</v>
      </c>
      <c r="AB33" s="102">
        <v>24.59</v>
      </c>
      <c r="AC33">
        <v>0.06</v>
      </c>
    </row>
    <row r="34" spans="1:29" ht="15.75" thickBot="1" x14ac:dyDescent="0.25">
      <c r="A34" s="84" t="s">
        <v>56</v>
      </c>
      <c r="B34" s="17"/>
      <c r="C34" s="17"/>
      <c r="D34" s="17"/>
      <c r="E34" s="17"/>
      <c r="F34" s="17"/>
      <c r="G34" s="40">
        <v>12.33</v>
      </c>
      <c r="H34" s="40">
        <v>14.94</v>
      </c>
      <c r="I34" s="319"/>
      <c r="J34" s="319"/>
      <c r="K34" s="319"/>
      <c r="L34" s="41"/>
      <c r="M34" s="41"/>
      <c r="N34" s="41"/>
      <c r="O34" s="17"/>
      <c r="P34" s="85"/>
      <c r="Q34" s="25"/>
      <c r="R34" s="17"/>
      <c r="S34" s="17"/>
      <c r="U34" s="95" t="s">
        <v>255</v>
      </c>
      <c r="V34">
        <v>416</v>
      </c>
      <c r="W34" s="96">
        <v>0.11700000000000001</v>
      </c>
      <c r="Y34">
        <v>401</v>
      </c>
      <c r="Z34" s="75" t="s">
        <v>167</v>
      </c>
      <c r="AA34" s="355">
        <v>24.9</v>
      </c>
      <c r="AB34" s="102">
        <v>25.63</v>
      </c>
      <c r="AC34">
        <v>0.11700000000000001</v>
      </c>
    </row>
    <row r="35" spans="1:29" ht="15.75" thickBot="1" x14ac:dyDescent="0.25">
      <c r="A35" s="17" t="s">
        <v>32</v>
      </c>
      <c r="B35" s="17"/>
      <c r="C35" s="17"/>
      <c r="D35" s="40">
        <v>10.9</v>
      </c>
      <c r="E35" s="17"/>
      <c r="F35" s="17"/>
      <c r="G35" s="17"/>
      <c r="H35" s="17"/>
      <c r="I35" s="37">
        <v>5.04</v>
      </c>
      <c r="J35" s="37">
        <v>5.04</v>
      </c>
      <c r="K35" s="37">
        <v>6.37</v>
      </c>
      <c r="L35" s="41">
        <v>4.67</v>
      </c>
      <c r="M35" s="41">
        <v>3.02</v>
      </c>
      <c r="N35" s="41">
        <v>3.02</v>
      </c>
      <c r="O35" s="17"/>
      <c r="P35" s="99"/>
      <c r="Q35" s="25"/>
      <c r="R35" s="17"/>
      <c r="S35" s="17"/>
      <c r="U35" s="143" t="s">
        <v>256</v>
      </c>
      <c r="V35">
        <v>417</v>
      </c>
      <c r="W35" s="96">
        <v>0.11700000000000001</v>
      </c>
      <c r="Y35">
        <v>423</v>
      </c>
      <c r="Z35" s="75" t="s">
        <v>168</v>
      </c>
      <c r="AA35" s="355">
        <v>26.35</v>
      </c>
      <c r="AB35" s="102">
        <v>27.13</v>
      </c>
      <c r="AC35">
        <v>0.18099999999999999</v>
      </c>
    </row>
    <row r="36" spans="1:29" ht="15.75" thickBot="1" x14ac:dyDescent="0.25">
      <c r="A36" s="17" t="s">
        <v>31</v>
      </c>
      <c r="B36" s="17"/>
      <c r="C36" s="17"/>
      <c r="D36" s="17"/>
      <c r="E36" s="17"/>
      <c r="F36" s="17"/>
      <c r="G36" s="17"/>
      <c r="H36" s="17"/>
      <c r="I36" s="37">
        <v>3.69</v>
      </c>
      <c r="J36" s="37">
        <v>3.69</v>
      </c>
      <c r="K36" s="37">
        <v>4.76</v>
      </c>
      <c r="L36" s="41">
        <v>3.12</v>
      </c>
      <c r="M36" s="41">
        <v>1.94</v>
      </c>
      <c r="N36" s="41">
        <v>1.94</v>
      </c>
      <c r="O36" s="17"/>
      <c r="P36" s="85"/>
      <c r="Q36" s="25"/>
      <c r="R36" s="17"/>
      <c r="S36" s="17"/>
      <c r="U36" s="95" t="s">
        <v>257</v>
      </c>
      <c r="V36">
        <v>419</v>
      </c>
      <c r="W36" s="96">
        <v>0.11700000000000001</v>
      </c>
      <c r="Y36">
        <v>424</v>
      </c>
      <c r="Z36" s="75" t="s">
        <v>169</v>
      </c>
      <c r="AA36" s="355">
        <v>28.45</v>
      </c>
      <c r="AB36" s="102">
        <v>29.29</v>
      </c>
      <c r="AC36">
        <v>0.29399999999999998</v>
      </c>
    </row>
    <row r="37" spans="1:29" ht="15.75" thickBot="1" x14ac:dyDescent="0.25">
      <c r="A37" s="185" t="s">
        <v>82</v>
      </c>
      <c r="B37" s="17"/>
      <c r="C37" s="17"/>
      <c r="D37" s="40">
        <v>2.95</v>
      </c>
      <c r="E37" s="17"/>
      <c r="F37" s="17"/>
      <c r="G37" s="17"/>
      <c r="H37" s="17"/>
      <c r="I37" s="37">
        <v>3.54</v>
      </c>
      <c r="J37" s="37">
        <v>3.54</v>
      </c>
      <c r="K37" s="37">
        <v>4.26</v>
      </c>
      <c r="L37" s="41">
        <v>2.87</v>
      </c>
      <c r="M37" s="41">
        <v>1.17</v>
      </c>
      <c r="N37" s="41">
        <v>1.94</v>
      </c>
      <c r="O37" s="17"/>
      <c r="P37" s="99"/>
      <c r="Q37" s="25"/>
      <c r="R37" s="17"/>
      <c r="S37" s="17"/>
      <c r="U37" s="95" t="s">
        <v>258</v>
      </c>
      <c r="V37">
        <v>420</v>
      </c>
      <c r="W37" s="96">
        <v>0.18099999999999999</v>
      </c>
      <c r="Y37">
        <v>425</v>
      </c>
      <c r="Z37" s="75" t="s">
        <v>170</v>
      </c>
      <c r="AA37" s="355">
        <v>34.03</v>
      </c>
      <c r="AB37" s="102">
        <v>35.03</v>
      </c>
      <c r="AC37">
        <v>0.47099999999999997</v>
      </c>
    </row>
    <row r="38" spans="1:29" ht="15.75" thickBot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85"/>
      <c r="Q38" s="25"/>
      <c r="R38" s="17"/>
      <c r="S38" s="17"/>
      <c r="U38" s="143" t="s">
        <v>259</v>
      </c>
      <c r="V38">
        <v>421</v>
      </c>
      <c r="W38" s="96">
        <v>0.29399999999999998</v>
      </c>
      <c r="Y38">
        <v>439</v>
      </c>
      <c r="Z38" s="75" t="s">
        <v>171</v>
      </c>
      <c r="AA38" s="355">
        <v>16.46</v>
      </c>
      <c r="AB38" s="102">
        <v>16.95</v>
      </c>
      <c r="AC38">
        <v>0.18099999999999999</v>
      </c>
    </row>
    <row r="39" spans="1:29" ht="15.75" thickBo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85"/>
      <c r="Q39" s="25"/>
      <c r="R39" s="17"/>
      <c r="S39" s="17"/>
      <c r="U39" s="95" t="s">
        <v>260</v>
      </c>
      <c r="V39">
        <v>422</v>
      </c>
      <c r="W39" s="96">
        <v>0.47099999999999997</v>
      </c>
      <c r="Y39">
        <v>420</v>
      </c>
      <c r="Z39" s="75" t="s">
        <v>172</v>
      </c>
      <c r="AA39" s="355">
        <v>29.89</v>
      </c>
      <c r="AB39" s="102">
        <v>30.77</v>
      </c>
      <c r="AC39">
        <v>0.18099999999999999</v>
      </c>
    </row>
    <row r="40" spans="1:29" ht="15.75" thickBo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U40" s="95" t="s">
        <v>261</v>
      </c>
      <c r="V40">
        <v>423</v>
      </c>
      <c r="W40" s="96">
        <v>0.18099999999999999</v>
      </c>
      <c r="Y40">
        <v>440</v>
      </c>
      <c r="Z40" s="75" t="s">
        <v>173</v>
      </c>
      <c r="AA40" s="355">
        <v>18.28</v>
      </c>
      <c r="AB40" s="102">
        <v>18.82</v>
      </c>
      <c r="AC40">
        <v>0.29399999999999998</v>
      </c>
    </row>
    <row r="41" spans="1:29" ht="15.75" thickBot="1" x14ac:dyDescent="0.25">
      <c r="I41" s="28"/>
      <c r="P41" s="17"/>
      <c r="Q41" s="17"/>
      <c r="R41" s="17"/>
      <c r="S41" s="17"/>
      <c r="U41" s="143" t="s">
        <v>262</v>
      </c>
      <c r="V41">
        <v>424</v>
      </c>
      <c r="W41" s="96">
        <v>0.29399999999999998</v>
      </c>
      <c r="Y41">
        <v>421</v>
      </c>
      <c r="Z41" s="75" t="s">
        <v>174</v>
      </c>
      <c r="AA41" s="355">
        <v>32.86</v>
      </c>
      <c r="AB41" s="102">
        <v>33.83</v>
      </c>
      <c r="AC41">
        <v>0.29399999999999998</v>
      </c>
    </row>
    <row r="42" spans="1:29" ht="15.75" thickBot="1" x14ac:dyDescent="0.25">
      <c r="O42" s="2" t="s">
        <v>87</v>
      </c>
      <c r="P42" s="49"/>
      <c r="Q42" s="17"/>
      <c r="R42" s="17"/>
      <c r="S42" s="17"/>
      <c r="U42" s="95" t="s">
        <v>263</v>
      </c>
      <c r="V42">
        <v>425</v>
      </c>
      <c r="W42" s="96">
        <v>0.47099999999999997</v>
      </c>
      <c r="Y42">
        <v>441</v>
      </c>
      <c r="Z42" s="75" t="s">
        <v>175</v>
      </c>
      <c r="AA42" s="355">
        <v>22.32</v>
      </c>
      <c r="AB42" s="102">
        <v>22.98</v>
      </c>
      <c r="AC42">
        <v>0.47099999999999997</v>
      </c>
    </row>
    <row r="43" spans="1:29" ht="15.75" thickBot="1" x14ac:dyDescent="0.25">
      <c r="A43" s="115" t="s">
        <v>130</v>
      </c>
      <c r="K43" s="2" t="s">
        <v>394</v>
      </c>
      <c r="L43" s="2"/>
      <c r="M43" s="2"/>
      <c r="N43" s="2"/>
      <c r="O43" s="3" t="s">
        <v>49</v>
      </c>
      <c r="Q43" s="17"/>
      <c r="R43" s="17"/>
      <c r="S43" s="17"/>
      <c r="U43" s="95" t="s">
        <v>264</v>
      </c>
      <c r="V43">
        <v>426</v>
      </c>
      <c r="W43" s="96">
        <v>8.3000000000000004E-2</v>
      </c>
      <c r="Y43">
        <v>422</v>
      </c>
      <c r="Z43" s="75" t="s">
        <v>176</v>
      </c>
      <c r="AA43" s="355">
        <v>38.39</v>
      </c>
      <c r="AB43" s="102">
        <v>39.520000000000003</v>
      </c>
      <c r="AC43">
        <v>0.47099999999999997</v>
      </c>
    </row>
    <row r="44" spans="1:29" ht="15.75" thickBot="1" x14ac:dyDescent="0.25">
      <c r="B44" s="83" t="s">
        <v>126</v>
      </c>
      <c r="C44" s="83" t="s">
        <v>123</v>
      </c>
      <c r="D44" s="83" t="s">
        <v>124</v>
      </c>
      <c r="E44" s="83" t="s">
        <v>125</v>
      </c>
      <c r="F44" s="83" t="s">
        <v>59</v>
      </c>
      <c r="G44" s="83" t="s">
        <v>128</v>
      </c>
      <c r="H44" s="83" t="s">
        <v>127</v>
      </c>
      <c r="I44" s="83" t="s">
        <v>129</v>
      </c>
      <c r="J44" s="45"/>
      <c r="K44" s="83" t="s">
        <v>128</v>
      </c>
      <c r="L44" s="83" t="s">
        <v>127</v>
      </c>
      <c r="M44" s="83" t="s">
        <v>129</v>
      </c>
      <c r="N44" s="83"/>
      <c r="O44" s="35" t="s">
        <v>50</v>
      </c>
      <c r="P44" s="16"/>
      <c r="Q44" s="17"/>
      <c r="R44" s="17"/>
      <c r="S44" s="17"/>
      <c r="U44" s="143" t="s">
        <v>265</v>
      </c>
      <c r="V44">
        <v>427</v>
      </c>
      <c r="W44" s="96">
        <v>8.3000000000000004E-2</v>
      </c>
      <c r="Y44" t="s">
        <v>155</v>
      </c>
      <c r="Z44" s="144"/>
      <c r="AA44" s="357"/>
      <c r="AB44" s="109"/>
    </row>
    <row r="45" spans="1:29" ht="15.75" thickBot="1" x14ac:dyDescent="0.25">
      <c r="B45" s="3"/>
      <c r="C45" s="3"/>
      <c r="D45" s="3"/>
      <c r="E45" s="3"/>
      <c r="F45" s="3" t="s">
        <v>0</v>
      </c>
      <c r="G45" s="3"/>
      <c r="H45" s="3"/>
      <c r="I45" s="3"/>
      <c r="Q45" s="17"/>
      <c r="R45" s="17"/>
      <c r="S45" s="17"/>
      <c r="U45" s="95" t="s">
        <v>266</v>
      </c>
      <c r="V45">
        <v>428</v>
      </c>
      <c r="W45" s="96">
        <v>0.11</v>
      </c>
      <c r="Z45" s="73" t="s">
        <v>91</v>
      </c>
      <c r="AA45" s="358"/>
      <c r="AB45" s="100"/>
    </row>
    <row r="46" spans="1:29" ht="15.75" thickBot="1" x14ac:dyDescent="0.25">
      <c r="B46" s="42"/>
      <c r="D46" s="116"/>
      <c r="J46" s="115" t="s">
        <v>142</v>
      </c>
      <c r="O46" t="s">
        <v>37</v>
      </c>
      <c r="P46">
        <v>407</v>
      </c>
      <c r="Q46" s="17"/>
      <c r="R46" s="17"/>
      <c r="S46" s="17"/>
      <c r="U46" s="95" t="s">
        <v>267</v>
      </c>
      <c r="V46">
        <v>429</v>
      </c>
      <c r="W46" s="96">
        <v>0.11700000000000001</v>
      </c>
      <c r="Y46">
        <v>479</v>
      </c>
      <c r="Z46" s="74" t="s">
        <v>177</v>
      </c>
      <c r="AA46" s="356">
        <v>14.06</v>
      </c>
      <c r="AB46" s="101">
        <v>14.47</v>
      </c>
      <c r="AC46">
        <v>0.15</v>
      </c>
    </row>
    <row r="47" spans="1:29" ht="15.75" thickBot="1" x14ac:dyDescent="0.25">
      <c r="B47" s="317"/>
      <c r="C47" s="116"/>
      <c r="D47" s="116"/>
      <c r="E47" s="116"/>
      <c r="F47" s="318"/>
      <c r="J47" s="45"/>
      <c r="O47" t="s">
        <v>38</v>
      </c>
      <c r="P47">
        <v>344</v>
      </c>
      <c r="Q47" s="17"/>
      <c r="R47" s="17"/>
      <c r="S47" s="17"/>
      <c r="U47" s="95" t="s">
        <v>268</v>
      </c>
      <c r="V47">
        <v>430</v>
      </c>
      <c r="W47" s="96">
        <v>8.3000000000000004E-2</v>
      </c>
      <c r="Y47">
        <v>480</v>
      </c>
      <c r="Z47" s="75" t="s">
        <v>178</v>
      </c>
      <c r="AA47" s="355">
        <v>23.83</v>
      </c>
      <c r="AB47" s="102">
        <v>24.53</v>
      </c>
      <c r="AC47">
        <v>0.15</v>
      </c>
    </row>
    <row r="48" spans="1:29" ht="15.75" thickBot="1" x14ac:dyDescent="0.25">
      <c r="A48" s="47" t="s">
        <v>391</v>
      </c>
      <c r="B48" s="116">
        <v>436027011</v>
      </c>
      <c r="C48" s="116">
        <v>-827983</v>
      </c>
      <c r="D48" s="131">
        <v>7942641</v>
      </c>
      <c r="E48" s="116">
        <f>+E79-E49</f>
        <v>37698882.960813805</v>
      </c>
      <c r="F48" s="129">
        <v>4266714109</v>
      </c>
      <c r="G48" s="130">
        <f t="shared" ref="G48:G57" si="0">+C48/$F48</f>
        <v>-1.9405635785474653E-4</v>
      </c>
      <c r="H48" s="130">
        <f t="shared" ref="H48:H57" si="1">+D48/$F48</f>
        <v>1.8615357854059587E-3</v>
      </c>
      <c r="I48" s="130">
        <f t="shared" ref="I48:I57" si="2">+E48/$F48</f>
        <v>8.835577448532023E-3</v>
      </c>
      <c r="J48" s="8">
        <f>+E48/B48</f>
        <v>8.6459971537895863E-2</v>
      </c>
      <c r="K48" s="8"/>
      <c r="O48" t="s">
        <v>39</v>
      </c>
      <c r="P48">
        <v>347</v>
      </c>
      <c r="Q48" s="17"/>
      <c r="R48" s="17"/>
      <c r="S48" s="17"/>
      <c r="U48" s="143" t="s">
        <v>269</v>
      </c>
      <c r="V48">
        <v>431</v>
      </c>
      <c r="W48" s="96">
        <v>8.3000000000000004E-2</v>
      </c>
      <c r="Y48">
        <v>481</v>
      </c>
      <c r="Z48" s="75" t="s">
        <v>179</v>
      </c>
      <c r="AA48" s="355">
        <v>20.46</v>
      </c>
      <c r="AB48" s="102">
        <v>21.06</v>
      </c>
      <c r="AC48">
        <v>0.35</v>
      </c>
    </row>
    <row r="49" spans="1:34" ht="15.75" thickBot="1" x14ac:dyDescent="0.25">
      <c r="A49" s="30" t="s">
        <v>392</v>
      </c>
      <c r="B49" s="116">
        <v>31170</v>
      </c>
      <c r="C49" s="116">
        <v>-39</v>
      </c>
      <c r="D49" s="131">
        <v>370</v>
      </c>
      <c r="E49" s="116">
        <v>1757</v>
      </c>
      <c r="F49" s="129">
        <v>331353</v>
      </c>
      <c r="G49" s="130">
        <f t="shared" ref="G49" si="3">+C49/$F49</f>
        <v>-1.1769925125168627E-4</v>
      </c>
      <c r="H49" s="130">
        <f t="shared" ref="H49" si="4">+D49/$F49</f>
        <v>1.1166339221313824E-3</v>
      </c>
      <c r="I49" s="130">
        <f t="shared" ref="I49" si="5">+E49/$F49</f>
        <v>5.3025021653644302E-3</v>
      </c>
      <c r="J49" s="8">
        <f>+E49/B49</f>
        <v>5.6368302855309589E-2</v>
      </c>
      <c r="K49" s="8"/>
      <c r="O49" t="s">
        <v>40</v>
      </c>
      <c r="P49">
        <v>301</v>
      </c>
      <c r="U49" s="95" t="s">
        <v>270</v>
      </c>
      <c r="V49">
        <v>432</v>
      </c>
      <c r="W49" s="96">
        <v>0.11700000000000001</v>
      </c>
      <c r="Y49">
        <v>482</v>
      </c>
      <c r="Z49" s="75" t="s">
        <v>180</v>
      </c>
      <c r="AA49" s="355">
        <v>30.21</v>
      </c>
      <c r="AB49" s="102">
        <v>31.1</v>
      </c>
      <c r="AC49">
        <v>0.35</v>
      </c>
    </row>
    <row r="50" spans="1:34" ht="15.75" thickBot="1" x14ac:dyDescent="0.25">
      <c r="A50" s="61" t="s">
        <v>78</v>
      </c>
      <c r="B50" s="116">
        <v>46530479</v>
      </c>
      <c r="C50" s="116">
        <v>-102020</v>
      </c>
      <c r="D50" s="131">
        <v>733097</v>
      </c>
      <c r="E50" s="116">
        <f t="shared" ref="E50:E58" si="6">+G80</f>
        <v>3511578.0647208197</v>
      </c>
      <c r="F50" s="132">
        <v>389930533</v>
      </c>
      <c r="G50" s="130">
        <f t="shared" si="0"/>
        <v>-2.6163634638993506E-4</v>
      </c>
      <c r="H50" s="130">
        <f t="shared" si="1"/>
        <v>1.8800707766067654E-3</v>
      </c>
      <c r="I50" s="130">
        <f t="shared" si="2"/>
        <v>9.0056504108664386E-3</v>
      </c>
      <c r="J50" s="8">
        <f t="shared" ref="J50:J61" si="7">+E50/B50</f>
        <v>7.5468341186017446E-2</v>
      </c>
      <c r="K50" s="8"/>
      <c r="O50" t="s">
        <v>41</v>
      </c>
      <c r="P50">
        <v>281</v>
      </c>
      <c r="U50" s="95" t="s">
        <v>271</v>
      </c>
      <c r="V50">
        <v>433</v>
      </c>
      <c r="W50" s="96">
        <v>0.11700000000000001</v>
      </c>
      <c r="Y50">
        <v>483</v>
      </c>
      <c r="Z50" s="69" t="s">
        <v>181</v>
      </c>
      <c r="AA50" s="359">
        <v>42.56</v>
      </c>
      <c r="AB50" s="105">
        <v>43.82</v>
      </c>
      <c r="AC50">
        <v>1.08</v>
      </c>
    </row>
    <row r="51" spans="1:34" ht="15.75" thickBot="1" x14ac:dyDescent="0.25">
      <c r="A51" s="61" t="s">
        <v>79</v>
      </c>
      <c r="B51" s="116">
        <v>108326123</v>
      </c>
      <c r="C51" s="116">
        <v>-258930</v>
      </c>
      <c r="D51" s="131">
        <v>1870474</v>
      </c>
      <c r="E51" s="116">
        <f t="shared" si="6"/>
        <v>8958597.4444015305</v>
      </c>
      <c r="F51" s="132">
        <v>994912174</v>
      </c>
      <c r="G51" s="130">
        <f t="shared" si="0"/>
        <v>-2.6025412771760897E-4</v>
      </c>
      <c r="H51" s="130">
        <f t="shared" si="1"/>
        <v>1.8800393128971804E-3</v>
      </c>
      <c r="I51" s="130">
        <f t="shared" si="2"/>
        <v>9.0044103173287041E-3</v>
      </c>
      <c r="J51" s="8">
        <f t="shared" si="7"/>
        <v>8.270024991480153E-2</v>
      </c>
      <c r="K51" s="130">
        <f>(C51+C50)/($F$51+$F$50)</f>
        <v>-2.6064331940046096E-4</v>
      </c>
      <c r="L51" s="130">
        <f t="shared" ref="L51:M51" si="8">(D51+D50)/($F$51+$F$50)</f>
        <v>1.8800481721423399E-3</v>
      </c>
      <c r="M51" s="130">
        <f t="shared" si="8"/>
        <v>9.0047594907992322E-3</v>
      </c>
      <c r="N51" s="130"/>
      <c r="O51" t="s">
        <v>42</v>
      </c>
      <c r="P51">
        <v>257</v>
      </c>
      <c r="U51" s="95" t="s">
        <v>272</v>
      </c>
      <c r="V51">
        <v>440</v>
      </c>
      <c r="W51" s="96">
        <v>0.29399999999999998</v>
      </c>
      <c r="Y51">
        <v>484</v>
      </c>
      <c r="Z51" s="78" t="s">
        <v>182</v>
      </c>
      <c r="AA51" s="360">
        <v>52.31</v>
      </c>
      <c r="AB51" s="106">
        <v>53.85</v>
      </c>
      <c r="AC51">
        <v>1.08</v>
      </c>
    </row>
    <row r="52" spans="1:34" ht="15.75" thickBot="1" x14ac:dyDescent="0.25">
      <c r="A52" s="114" t="s">
        <v>118</v>
      </c>
      <c r="B52" s="116">
        <v>179920400</v>
      </c>
      <c r="C52" s="116">
        <v>-521202</v>
      </c>
      <c r="D52" s="131">
        <v>3703932</v>
      </c>
      <c r="E52" s="116">
        <f t="shared" si="6"/>
        <v>17790883.059769787</v>
      </c>
      <c r="F52" s="132">
        <v>1965916065</v>
      </c>
      <c r="G52" s="130">
        <f t="shared" si="0"/>
        <v>-2.6511915197152631E-4</v>
      </c>
      <c r="H52" s="130">
        <f t="shared" si="1"/>
        <v>1.8840743335601156E-3</v>
      </c>
      <c r="I52" s="130">
        <f t="shared" si="2"/>
        <v>9.0496656375661632E-3</v>
      </c>
      <c r="J52" s="8">
        <f t="shared" si="7"/>
        <v>9.8881967024138373E-2</v>
      </c>
      <c r="K52" s="8"/>
      <c r="M52" s="320">
        <f>(E51+E50)/(B51+B50)</f>
        <v>8.0527244870853804E-2</v>
      </c>
      <c r="N52" s="320"/>
      <c r="O52" t="s">
        <v>43</v>
      </c>
      <c r="P52">
        <v>273</v>
      </c>
      <c r="U52" s="143" t="s">
        <v>273</v>
      </c>
      <c r="V52">
        <v>441</v>
      </c>
      <c r="W52" s="96">
        <v>0.47099999999999997</v>
      </c>
      <c r="Y52" t="s">
        <v>155</v>
      </c>
      <c r="Z52" s="145"/>
      <c r="AA52" s="146"/>
      <c r="AB52" s="147"/>
    </row>
    <row r="53" spans="1:34" ht="15" thickBot="1" x14ac:dyDescent="0.25">
      <c r="A53" s="114" t="s">
        <v>119</v>
      </c>
      <c r="B53" s="116">
        <v>13517486</v>
      </c>
      <c r="C53" s="116">
        <v>-37281</v>
      </c>
      <c r="D53" s="131">
        <v>307902</v>
      </c>
      <c r="E53" s="116">
        <f t="shared" si="6"/>
        <v>1472675.4001348896</v>
      </c>
      <c r="F53" s="132">
        <v>162948372</v>
      </c>
      <c r="G53" s="130">
        <f t="shared" si="0"/>
        <v>-2.2879025756697955E-4</v>
      </c>
      <c r="H53" s="130">
        <f t="shared" si="1"/>
        <v>1.8895678196772657E-3</v>
      </c>
      <c r="I53" s="130">
        <f t="shared" si="2"/>
        <v>9.0376809664283707E-3</v>
      </c>
      <c r="J53" s="8">
        <f t="shared" si="7"/>
        <v>0.10894595342173016</v>
      </c>
      <c r="K53" s="8"/>
      <c r="O53" t="s">
        <v>44</v>
      </c>
      <c r="P53">
        <v>299</v>
      </c>
      <c r="U53" s="95" t="s">
        <v>274</v>
      </c>
      <c r="V53">
        <v>452</v>
      </c>
      <c r="W53" s="96">
        <v>0.18099999999999999</v>
      </c>
      <c r="Z53" s="148" t="s">
        <v>97</v>
      </c>
      <c r="AA53" s="149"/>
      <c r="AB53" s="150"/>
    </row>
    <row r="54" spans="1:34" ht="15.75" thickBot="1" x14ac:dyDescent="0.25">
      <c r="A54" t="s">
        <v>120</v>
      </c>
      <c r="B54" s="116">
        <v>86249459</v>
      </c>
      <c r="C54" s="116">
        <v>-270983</v>
      </c>
      <c r="D54" s="131">
        <v>1965777</v>
      </c>
      <c r="E54" s="116">
        <f t="shared" si="6"/>
        <v>9427670.45964396</v>
      </c>
      <c r="F54" s="132">
        <v>1040406894</v>
      </c>
      <c r="G54" s="130">
        <f t="shared" si="0"/>
        <v>-2.6045867396953256E-4</v>
      </c>
      <c r="H54" s="130">
        <f t="shared" si="1"/>
        <v>1.8894309633438473E-3</v>
      </c>
      <c r="I54" s="130">
        <f t="shared" si="2"/>
        <v>9.0615224812648741E-3</v>
      </c>
      <c r="J54" s="8">
        <f t="shared" si="7"/>
        <v>0.10930700979404358</v>
      </c>
      <c r="K54" s="8"/>
      <c r="O54" t="s">
        <v>45</v>
      </c>
      <c r="P54">
        <v>322</v>
      </c>
      <c r="U54" s="95" t="s">
        <v>275</v>
      </c>
      <c r="V54">
        <v>453</v>
      </c>
      <c r="W54" s="96">
        <v>0.29399999999999998</v>
      </c>
      <c r="Z54" s="62"/>
      <c r="AA54" s="76" t="s">
        <v>88</v>
      </c>
      <c r="AB54" s="108" t="s">
        <v>88</v>
      </c>
    </row>
    <row r="55" spans="1:34" ht="15.75" thickBot="1" x14ac:dyDescent="0.25">
      <c r="A55" s="61" t="s">
        <v>291</v>
      </c>
      <c r="B55" s="116">
        <v>29938183</v>
      </c>
      <c r="C55" s="116">
        <v>-88079</v>
      </c>
      <c r="D55" s="131">
        <v>704109</v>
      </c>
      <c r="E55" s="116">
        <f t="shared" si="6"/>
        <v>3368647.3477954338</v>
      </c>
      <c r="F55" s="132">
        <v>372651050</v>
      </c>
      <c r="G55" s="130">
        <f t="shared" si="0"/>
        <v>-2.3635784737491012E-4</v>
      </c>
      <c r="H55" s="130">
        <f t="shared" si="1"/>
        <v>1.8894593212604662E-3</v>
      </c>
      <c r="I55" s="130">
        <f t="shared" si="2"/>
        <v>9.0396829629097626E-3</v>
      </c>
      <c r="J55" s="8">
        <f t="shared" si="7"/>
        <v>0.11252010009409835</v>
      </c>
      <c r="K55" s="8"/>
      <c r="O55" t="s">
        <v>46</v>
      </c>
      <c r="P55">
        <v>368</v>
      </c>
      <c r="U55" s="95" t="s">
        <v>276</v>
      </c>
      <c r="V55">
        <v>454</v>
      </c>
      <c r="W55" s="96">
        <v>0.47099999999999997</v>
      </c>
      <c r="Z55" s="63"/>
      <c r="AA55" s="71" t="s">
        <v>1</v>
      </c>
      <c r="AB55" s="100" t="s">
        <v>9</v>
      </c>
    </row>
    <row r="56" spans="1:34" ht="15.75" thickBot="1" x14ac:dyDescent="0.25">
      <c r="A56" s="61" t="s">
        <v>292</v>
      </c>
      <c r="B56" s="116">
        <v>123267260</v>
      </c>
      <c r="C56" s="116">
        <v>-495205</v>
      </c>
      <c r="D56" s="131">
        <v>3151617</v>
      </c>
      <c r="E56" s="116">
        <f t="shared" si="6"/>
        <v>15216647.166723674</v>
      </c>
      <c r="F56" s="132">
        <v>1670443749</v>
      </c>
      <c r="G56" s="130">
        <f t="shared" si="0"/>
        <v>-2.9645116771902745E-4</v>
      </c>
      <c r="H56" s="130">
        <f t="shared" si="1"/>
        <v>1.8866944797672441E-3</v>
      </c>
      <c r="I56" s="130">
        <f t="shared" si="2"/>
        <v>9.1093442540839936E-3</v>
      </c>
      <c r="J56" s="8">
        <f t="shared" ref="J56" si="9">+E56/B56</f>
        <v>0.12344435308064505</v>
      </c>
      <c r="K56" s="8"/>
      <c r="O56" t="s">
        <v>47</v>
      </c>
      <c r="P56">
        <v>386</v>
      </c>
      <c r="U56" s="95" t="s">
        <v>277</v>
      </c>
      <c r="V56">
        <v>455</v>
      </c>
      <c r="W56" s="96">
        <v>0.18099999999999999</v>
      </c>
      <c r="Z56" s="64" t="s">
        <v>89</v>
      </c>
      <c r="AA56" s="151"/>
      <c r="AB56" s="152"/>
    </row>
    <row r="57" spans="1:34" ht="15.75" thickBot="1" x14ac:dyDescent="0.25">
      <c r="A57" t="s">
        <v>121</v>
      </c>
      <c r="B57" s="116">
        <v>55631555</v>
      </c>
      <c r="C57" s="116">
        <v>-258694</v>
      </c>
      <c r="D57" s="131">
        <v>0</v>
      </c>
      <c r="E57" s="116">
        <f t="shared" si="6"/>
        <v>8051883.3702276722</v>
      </c>
      <c r="F57" s="132">
        <v>876840985</v>
      </c>
      <c r="G57" s="130">
        <f t="shared" si="0"/>
        <v>-2.950295486016772E-4</v>
      </c>
      <c r="H57" s="130">
        <f t="shared" si="1"/>
        <v>0</v>
      </c>
      <c r="I57" s="130">
        <f t="shared" si="2"/>
        <v>9.1828319022150551E-3</v>
      </c>
      <c r="J57" s="8">
        <f t="shared" si="7"/>
        <v>0.14473590339561193</v>
      </c>
      <c r="K57" s="8"/>
      <c r="O57" t="s">
        <v>48</v>
      </c>
      <c r="P57">
        <v>415</v>
      </c>
      <c r="U57" s="95" t="s">
        <v>278</v>
      </c>
      <c r="V57">
        <v>456</v>
      </c>
      <c r="W57" s="96">
        <v>0.47099999999999997</v>
      </c>
      <c r="Y57" s="17"/>
      <c r="Z57" s="352" t="s">
        <v>95</v>
      </c>
      <c r="AA57" s="353"/>
      <c r="AB57" s="102"/>
      <c r="AC57" s="17"/>
      <c r="AD57" s="17"/>
      <c r="AE57" s="17"/>
      <c r="AF57" s="17"/>
      <c r="AG57" s="17"/>
      <c r="AH57" s="17"/>
    </row>
    <row r="58" spans="1:34" ht="15.75" thickBot="1" x14ac:dyDescent="0.25">
      <c r="A58" t="s">
        <v>122</v>
      </c>
      <c r="B58" s="116">
        <v>0</v>
      </c>
      <c r="C58" s="116">
        <v>0</v>
      </c>
      <c r="D58" s="131">
        <v>0</v>
      </c>
      <c r="E58" s="116">
        <f t="shared" si="6"/>
        <v>0</v>
      </c>
      <c r="F58" s="132">
        <v>0</v>
      </c>
      <c r="G58" s="130">
        <v>0</v>
      </c>
      <c r="H58" s="130">
        <v>0</v>
      </c>
      <c r="I58" s="130"/>
      <c r="J58" s="8"/>
      <c r="K58" s="116"/>
      <c r="U58" s="143" t="s">
        <v>279</v>
      </c>
      <c r="V58">
        <v>457</v>
      </c>
      <c r="W58" s="96">
        <v>0.11700000000000001</v>
      </c>
      <c r="Y58" s="91">
        <v>252</v>
      </c>
      <c r="Z58" s="297" t="s">
        <v>183</v>
      </c>
      <c r="AA58" s="355">
        <v>9.57</v>
      </c>
      <c r="AB58" s="102">
        <v>9.59</v>
      </c>
      <c r="AC58" s="86">
        <v>0.21</v>
      </c>
      <c r="AD58" s="86"/>
      <c r="AE58" s="86"/>
      <c r="AF58" s="86"/>
      <c r="AG58" s="17"/>
      <c r="AH58" s="17"/>
    </row>
    <row r="59" spans="1:34" ht="15.75" thickBot="1" x14ac:dyDescent="0.25">
      <c r="A59" s="84" t="s">
        <v>139</v>
      </c>
      <c r="B59" s="131">
        <v>18994751</v>
      </c>
      <c r="C59" s="131">
        <v>-101414</v>
      </c>
      <c r="D59" s="131">
        <v>0</v>
      </c>
      <c r="E59" s="131">
        <v>1080586</v>
      </c>
      <c r="F59" s="132">
        <v>123147808</v>
      </c>
      <c r="G59" s="133">
        <f>+C59/F59</f>
        <v>-8.2351445508473846E-4</v>
      </c>
      <c r="H59" s="133">
        <f>+D59/$F59</f>
        <v>0</v>
      </c>
      <c r="I59" s="133">
        <f>+E59/$F59</f>
        <v>8.7747075449365695E-3</v>
      </c>
      <c r="J59" s="8">
        <f t="shared" si="7"/>
        <v>5.6888663610278438E-2</v>
      </c>
      <c r="K59" s="134" t="s">
        <v>140</v>
      </c>
      <c r="U59" s="95" t="s">
        <v>280</v>
      </c>
      <c r="V59">
        <v>458</v>
      </c>
      <c r="W59" s="96">
        <v>0.21</v>
      </c>
      <c r="Y59" s="91">
        <v>458</v>
      </c>
      <c r="Z59" s="298" t="s">
        <v>184</v>
      </c>
      <c r="AA59" s="355">
        <v>11.13</v>
      </c>
      <c r="AB59" s="102">
        <v>9.59</v>
      </c>
      <c r="AC59" s="86">
        <v>0.21</v>
      </c>
      <c r="AD59" s="86"/>
      <c r="AE59" s="86"/>
      <c r="AF59" s="86"/>
      <c r="AG59" s="17"/>
      <c r="AH59" s="17"/>
    </row>
    <row r="60" spans="1:34" ht="15.75" thickBot="1" x14ac:dyDescent="0.25">
      <c r="A60" s="84" t="s">
        <v>393</v>
      </c>
      <c r="B60" s="131">
        <v>252419</v>
      </c>
      <c r="C60" s="131">
        <v>-1707</v>
      </c>
      <c r="D60" s="131">
        <v>0</v>
      </c>
      <c r="E60" s="131">
        <v>31691</v>
      </c>
      <c r="F60" s="132">
        <v>3442738</v>
      </c>
      <c r="G60" s="133">
        <f t="shared" ref="G60:G61" si="10">+C60/F60</f>
        <v>-4.9582628710055773E-4</v>
      </c>
      <c r="H60" s="133">
        <f t="shared" ref="H60:H61" si="11">+D60/$F60</f>
        <v>0</v>
      </c>
      <c r="I60" s="133">
        <f t="shared" ref="I60:I61" si="12">+E60/$F60</f>
        <v>9.2051733242552881E-3</v>
      </c>
      <c r="J60" s="8">
        <f t="shared" si="7"/>
        <v>0.12554918607553314</v>
      </c>
      <c r="K60" s="134"/>
      <c r="U60" s="95" t="s">
        <v>281</v>
      </c>
      <c r="V60">
        <v>470</v>
      </c>
      <c r="W60" s="96">
        <v>0.15</v>
      </c>
      <c r="Y60" s="91">
        <v>203</v>
      </c>
      <c r="Z60" s="298" t="s">
        <v>185</v>
      </c>
      <c r="AA60" s="355">
        <v>10.96</v>
      </c>
      <c r="AB60" s="102">
        <v>11.28</v>
      </c>
      <c r="AC60" s="86">
        <v>0.29799999999999999</v>
      </c>
      <c r="AD60" s="86"/>
      <c r="AE60" s="86"/>
      <c r="AF60" s="86"/>
      <c r="AG60" s="17"/>
      <c r="AH60" s="17"/>
    </row>
    <row r="61" spans="1:34" ht="15.75" thickBot="1" x14ac:dyDescent="0.25">
      <c r="A61" s="84" t="s">
        <v>386</v>
      </c>
      <c r="B61" s="131">
        <v>300153</v>
      </c>
      <c r="C61" s="131">
        <v>-1270</v>
      </c>
      <c r="D61" s="131">
        <v>0</v>
      </c>
      <c r="E61" s="131">
        <v>28445</v>
      </c>
      <c r="F61" s="132">
        <v>3103723</v>
      </c>
      <c r="G61" s="133">
        <f t="shared" si="10"/>
        <v>-4.091860001681851E-4</v>
      </c>
      <c r="H61" s="133">
        <f t="shared" si="11"/>
        <v>0</v>
      </c>
      <c r="I61" s="133">
        <f t="shared" si="12"/>
        <v>9.164799822664587E-3</v>
      </c>
      <c r="J61" s="8">
        <f t="shared" si="7"/>
        <v>9.4768334815910557E-2</v>
      </c>
      <c r="K61" s="134"/>
      <c r="U61" s="95" t="s">
        <v>282</v>
      </c>
      <c r="V61">
        <v>471</v>
      </c>
      <c r="W61" s="96">
        <v>0.15</v>
      </c>
      <c r="Y61" s="91">
        <v>204</v>
      </c>
      <c r="Z61" s="298" t="s">
        <v>186</v>
      </c>
      <c r="AA61" s="355">
        <v>13.51</v>
      </c>
      <c r="AB61" s="102">
        <v>13.91</v>
      </c>
      <c r="AC61" s="86">
        <v>0.46200000000000002</v>
      </c>
      <c r="AD61" s="86"/>
      <c r="AE61" s="86"/>
      <c r="AF61" s="86"/>
      <c r="AG61" s="17"/>
      <c r="AH61" s="17"/>
    </row>
    <row r="62" spans="1:34" ht="15.75" thickBot="1" x14ac:dyDescent="0.25">
      <c r="A62" s="84" t="s">
        <v>308</v>
      </c>
      <c r="B62" s="171">
        <v>11038460</v>
      </c>
      <c r="C62" s="171">
        <v>-68450</v>
      </c>
      <c r="D62" s="321">
        <v>0</v>
      </c>
      <c r="E62" s="171">
        <f>+G89+G90</f>
        <v>1512616.6748367765</v>
      </c>
      <c r="F62" s="322">
        <v>167447000</v>
      </c>
      <c r="G62" s="323">
        <f>+C62/$F62</f>
        <v>-4.0878606364999073E-4</v>
      </c>
      <c r="H62" s="323">
        <f>+D62/$F62</f>
        <v>0</v>
      </c>
      <c r="I62" s="323">
        <f>+E62/$F62</f>
        <v>9.0334056437964046E-3</v>
      </c>
      <c r="J62" s="8">
        <f t="shared" ref="J62" si="13">+E62/B62</f>
        <v>0.13703149486765151</v>
      </c>
      <c r="K62" s="8"/>
      <c r="U62" s="95" t="s">
        <v>283</v>
      </c>
      <c r="V62">
        <v>473</v>
      </c>
      <c r="W62" s="96">
        <v>0.35</v>
      </c>
      <c r="Y62" s="91">
        <v>209</v>
      </c>
      <c r="Z62" s="349" t="s">
        <v>404</v>
      </c>
      <c r="AA62" s="355">
        <v>27.69</v>
      </c>
      <c r="AB62" s="102">
        <v>28.51</v>
      </c>
      <c r="AC62" s="86">
        <v>1.18</v>
      </c>
      <c r="AD62" s="86"/>
      <c r="AE62" s="86"/>
      <c r="AF62" s="86"/>
      <c r="AG62" s="17"/>
      <c r="AH62" s="17"/>
    </row>
    <row r="63" spans="1:34" ht="15.75" thickBot="1" x14ac:dyDescent="0.25">
      <c r="A63" s="30"/>
      <c r="B63" s="116"/>
      <c r="C63" s="116"/>
      <c r="D63" s="131"/>
      <c r="E63" s="116"/>
      <c r="F63" s="132"/>
      <c r="G63" s="130"/>
      <c r="H63" s="130"/>
      <c r="I63" s="130"/>
      <c r="J63" s="116"/>
      <c r="K63" s="116"/>
      <c r="U63" s="95" t="s">
        <v>284</v>
      </c>
      <c r="V63">
        <v>476</v>
      </c>
      <c r="W63" s="96">
        <v>1.08</v>
      </c>
      <c r="Y63" s="91">
        <v>207</v>
      </c>
      <c r="Z63" s="349" t="s">
        <v>405</v>
      </c>
      <c r="AA63" s="355">
        <v>15.54</v>
      </c>
      <c r="AB63" s="102">
        <v>16</v>
      </c>
      <c r="AC63" s="86">
        <v>0.46200000000000002</v>
      </c>
      <c r="AD63" s="86"/>
      <c r="AE63" s="86"/>
      <c r="AF63" s="86"/>
      <c r="AG63" s="17"/>
      <c r="AH63" s="17"/>
    </row>
    <row r="64" spans="1:34" ht="15.75" thickBot="1" x14ac:dyDescent="0.25">
      <c r="A64" s="30" t="s">
        <v>131</v>
      </c>
      <c r="B64" s="116">
        <f>SUM(B48:B63)</f>
        <v>1110024909</v>
      </c>
      <c r="C64" s="116">
        <f>SUM(C48:C63)</f>
        <v>-3033257</v>
      </c>
      <c r="D64" s="131">
        <f>SUM(D48:D63)</f>
        <v>20379919</v>
      </c>
      <c r="E64" s="116">
        <f>SUM(E48:E63)</f>
        <v>108152560.94906832</v>
      </c>
      <c r="F64" s="132">
        <f>SUM(F48:F63)</f>
        <v>12038236553</v>
      </c>
      <c r="G64" s="130">
        <f>+C64/$F64</f>
        <v>-2.5196854926763293E-4</v>
      </c>
      <c r="H64" s="130">
        <f>+D64/$F64</f>
        <v>1.6929322588299864E-3</v>
      </c>
      <c r="I64" s="130">
        <f>+E64/$F64</f>
        <v>8.9840867034728655E-3</v>
      </c>
      <c r="J64" s="8">
        <f t="shared" ref="J64" si="14">+E64/B64</f>
        <v>9.7432553154596216E-2</v>
      </c>
      <c r="K64" s="116"/>
      <c r="U64" s="95" t="s">
        <v>285</v>
      </c>
      <c r="V64">
        <v>477</v>
      </c>
      <c r="W64" s="96">
        <v>1.08</v>
      </c>
      <c r="Y64" s="91">
        <v>210</v>
      </c>
      <c r="Z64" s="298" t="s">
        <v>187</v>
      </c>
      <c r="AA64" s="355">
        <v>28.89</v>
      </c>
      <c r="AB64" s="102">
        <v>29.74</v>
      </c>
      <c r="AC64" s="86">
        <v>1.18</v>
      </c>
      <c r="AD64" s="86"/>
      <c r="AE64" s="86"/>
      <c r="AF64" s="86"/>
      <c r="AG64" s="17"/>
      <c r="AH64" s="17"/>
    </row>
    <row r="65" spans="1:34" ht="15.75" thickBot="1" x14ac:dyDescent="0.25">
      <c r="A65" s="30" t="s">
        <v>132</v>
      </c>
      <c r="B65" s="171">
        <v>-3438312</v>
      </c>
      <c r="D65" s="17"/>
      <c r="F65" s="17"/>
      <c r="G65" s="116"/>
      <c r="H65" s="116"/>
      <c r="I65" s="116"/>
      <c r="J65" s="116"/>
      <c r="K65" s="116"/>
      <c r="U65" s="95" t="s">
        <v>286</v>
      </c>
      <c r="V65">
        <v>480</v>
      </c>
      <c r="W65" s="96">
        <v>0.15</v>
      </c>
      <c r="Y65" s="91">
        <v>201</v>
      </c>
      <c r="Z65" s="298" t="s">
        <v>188</v>
      </c>
      <c r="AA65" s="355">
        <v>8.14</v>
      </c>
      <c r="AB65" s="102">
        <v>8.3800000000000008</v>
      </c>
      <c r="AC65" s="86">
        <v>0.1</v>
      </c>
      <c r="AD65" s="86"/>
      <c r="AE65" s="86"/>
      <c r="AF65" s="86"/>
      <c r="AG65" s="17"/>
      <c r="AH65" s="17"/>
    </row>
    <row r="66" spans="1:34" ht="15.75" thickBot="1" x14ac:dyDescent="0.25">
      <c r="A66" s="30" t="s">
        <v>131</v>
      </c>
      <c r="B66" s="116">
        <f>+B64+B65</f>
        <v>1106586597</v>
      </c>
      <c r="D66" s="17"/>
      <c r="F66" s="34" t="s">
        <v>133</v>
      </c>
      <c r="G66" s="130">
        <f>MIN(G48:G62)</f>
        <v>-8.2351445508473846E-4</v>
      </c>
      <c r="H66" s="130">
        <f>MIN(H48:H56)</f>
        <v>1.1166339221313824E-3</v>
      </c>
      <c r="I66" s="130">
        <f>MIN(I48:I62)</f>
        <v>5.3025021653644302E-3</v>
      </c>
      <c r="J66" s="116"/>
      <c r="K66" s="116"/>
      <c r="U66" s="95" t="s">
        <v>287</v>
      </c>
      <c r="V66">
        <v>481</v>
      </c>
      <c r="W66" s="96">
        <v>0.35</v>
      </c>
      <c r="Y66" s="86" t="s">
        <v>155</v>
      </c>
      <c r="Z66" s="354"/>
      <c r="AA66" s="355"/>
      <c r="AB66" s="102"/>
      <c r="AC66" s="86"/>
      <c r="AD66" s="86"/>
      <c r="AE66" s="86"/>
      <c r="AF66" s="86"/>
      <c r="AG66" s="17"/>
      <c r="AH66" s="17"/>
    </row>
    <row r="67" spans="1:34" ht="15.75" thickBot="1" x14ac:dyDescent="0.25">
      <c r="D67" s="17"/>
      <c r="F67" s="34" t="s">
        <v>134</v>
      </c>
      <c r="G67" s="323">
        <f>MAX(G48:G63)</f>
        <v>0</v>
      </c>
      <c r="H67" s="323">
        <f>MAX(H48:H63)</f>
        <v>1.8895678196772657E-3</v>
      </c>
      <c r="I67" s="323">
        <f>MAX(I48:I63)</f>
        <v>9.2051733242552881E-3</v>
      </c>
      <c r="J67" s="116"/>
      <c r="K67" s="116"/>
      <c r="U67" s="95"/>
      <c r="W67" s="96"/>
      <c r="Z67" s="79" t="s">
        <v>94</v>
      </c>
      <c r="AA67" s="355"/>
      <c r="AB67" s="102"/>
    </row>
    <row r="68" spans="1:34" ht="15.75" thickBot="1" x14ac:dyDescent="0.25">
      <c r="D68" s="17"/>
      <c r="F68" s="34" t="s">
        <v>135</v>
      </c>
      <c r="G68" s="130">
        <f>+G67-G66</f>
        <v>8.2351445508473846E-4</v>
      </c>
      <c r="H68" s="130">
        <f t="shared" ref="H68:I68" si="15">+H67-H66</f>
        <v>7.7293389754588327E-4</v>
      </c>
      <c r="I68" s="130">
        <f t="shared" si="15"/>
        <v>3.9026711588908579E-3</v>
      </c>
      <c r="J68" s="116"/>
      <c r="K68" s="116"/>
      <c r="U68" s="95" t="s">
        <v>288</v>
      </c>
      <c r="V68">
        <v>482</v>
      </c>
      <c r="W68" s="96">
        <v>0.35</v>
      </c>
      <c r="Z68" s="81"/>
      <c r="AA68" s="169"/>
      <c r="AB68" s="170"/>
    </row>
    <row r="69" spans="1:34" ht="15.75" thickBot="1" x14ac:dyDescent="0.25">
      <c r="D69" s="17"/>
      <c r="G69" s="8">
        <f t="shared" ref="G69:H69" si="16">(G67-G66)/G66</f>
        <v>-1</v>
      </c>
      <c r="H69" s="8">
        <f t="shared" si="16"/>
        <v>0.69219990744194893</v>
      </c>
      <c r="I69" s="8">
        <f>(I67-I66)/I66</f>
        <v>0.73600557570401959</v>
      </c>
      <c r="U69" s="95" t="s">
        <v>289</v>
      </c>
      <c r="V69">
        <v>483</v>
      </c>
      <c r="W69" s="96">
        <v>1.08</v>
      </c>
      <c r="Y69">
        <v>471</v>
      </c>
      <c r="Z69" s="65" t="s">
        <v>189</v>
      </c>
      <c r="AA69" s="153">
        <v>15.07</v>
      </c>
      <c r="AB69" s="154">
        <v>15.51</v>
      </c>
      <c r="AC69">
        <v>0.15</v>
      </c>
    </row>
    <row r="70" spans="1:34" ht="15.75" thickBot="1" x14ac:dyDescent="0.25">
      <c r="A70" s="30" t="s">
        <v>315</v>
      </c>
      <c r="D70" s="17"/>
      <c r="E70" s="134">
        <f>+D95</f>
        <v>14340486.493507024</v>
      </c>
      <c r="F70" s="318"/>
      <c r="U70" s="95" t="s">
        <v>290</v>
      </c>
      <c r="V70">
        <v>484</v>
      </c>
      <c r="W70" s="96">
        <v>1.08</v>
      </c>
      <c r="Y70">
        <v>474</v>
      </c>
      <c r="Z70" s="66" t="s">
        <v>190</v>
      </c>
      <c r="AA70" s="155">
        <v>20.97</v>
      </c>
      <c r="AB70" s="156">
        <v>21.59</v>
      </c>
      <c r="AC70">
        <v>0.35</v>
      </c>
    </row>
    <row r="71" spans="1:34" ht="15.75" thickBot="1" x14ac:dyDescent="0.25">
      <c r="A71" s="45" t="s">
        <v>293</v>
      </c>
      <c r="C71" s="171">
        <v>-3033261.1354097999</v>
      </c>
      <c r="D71" s="321">
        <v>20379925.505623799</v>
      </c>
      <c r="E71" s="171">
        <v>122493045.598048</v>
      </c>
      <c r="U71" s="95"/>
      <c r="W71" s="96"/>
      <c r="Y71">
        <v>475</v>
      </c>
      <c r="Z71" s="66" t="s">
        <v>191</v>
      </c>
      <c r="AA71" s="155">
        <v>28.42</v>
      </c>
      <c r="AB71" s="156">
        <v>29.26</v>
      </c>
      <c r="AC71">
        <v>0.35</v>
      </c>
    </row>
    <row r="72" spans="1:34" ht="15.75" thickBot="1" x14ac:dyDescent="0.25">
      <c r="A72" s="30" t="s">
        <v>7</v>
      </c>
      <c r="C72" s="116">
        <f>+C64-C71</f>
        <v>4.1354097998701036</v>
      </c>
      <c r="D72" s="131">
        <f>+D64-D71</f>
        <v>-6.5056237988173962</v>
      </c>
      <c r="E72" s="116">
        <f>+E64+E70-E71</f>
        <v>1.8445273488759995</v>
      </c>
      <c r="U72" s="95"/>
      <c r="W72" s="96"/>
      <c r="Y72">
        <v>477</v>
      </c>
      <c r="Z72" s="367" t="s">
        <v>192</v>
      </c>
      <c r="AA72" s="159"/>
      <c r="AB72" s="160"/>
      <c r="AC72">
        <v>1.08</v>
      </c>
    </row>
    <row r="73" spans="1:34" ht="15.75" thickBot="1" x14ac:dyDescent="0.25">
      <c r="D73" s="17"/>
      <c r="U73" s="95"/>
      <c r="W73" s="96"/>
      <c r="Y73">
        <v>477</v>
      </c>
      <c r="Z73" s="368"/>
      <c r="AA73" s="153">
        <v>42.78</v>
      </c>
      <c r="AB73" s="154">
        <v>44.04</v>
      </c>
      <c r="AC73" s="17">
        <v>1.08</v>
      </c>
    </row>
    <row r="74" spans="1:34" ht="15.75" thickBot="1" x14ac:dyDescent="0.25">
      <c r="D74" s="321"/>
      <c r="U74" s="95"/>
      <c r="W74" s="96"/>
      <c r="Y74" t="s">
        <v>155</v>
      </c>
      <c r="Z74" s="62"/>
      <c r="AA74" s="157"/>
      <c r="AB74" s="158"/>
    </row>
    <row r="75" spans="1:34" ht="15.75" thickBot="1" x14ac:dyDescent="0.25">
      <c r="D75" s="17"/>
      <c r="U75" s="95"/>
      <c r="W75" s="96"/>
      <c r="Z75" s="64" t="s">
        <v>92</v>
      </c>
      <c r="AA75" s="151"/>
      <c r="AB75" s="152"/>
    </row>
    <row r="76" spans="1:34" ht="15.75" thickBot="1" x14ac:dyDescent="0.25">
      <c r="A76" s="115" t="s">
        <v>294</v>
      </c>
      <c r="U76" s="95"/>
      <c r="W76" s="96"/>
      <c r="Z76" s="79" t="s">
        <v>93</v>
      </c>
      <c r="AA76" s="151"/>
      <c r="AB76" s="152"/>
    </row>
    <row r="77" spans="1:34" ht="15.75" customHeight="1" thickBot="1" x14ac:dyDescent="0.25">
      <c r="B77" s="365" t="s">
        <v>312</v>
      </c>
      <c r="C77" s="369"/>
      <c r="D77" s="370"/>
      <c r="E77" s="365" t="s">
        <v>313</v>
      </c>
      <c r="F77" s="369"/>
      <c r="G77" s="370"/>
      <c r="U77" s="95"/>
      <c r="W77" s="96"/>
      <c r="Y77">
        <v>275</v>
      </c>
      <c r="Z77" s="65" t="s">
        <v>193</v>
      </c>
      <c r="AA77" s="161"/>
      <c r="AB77" s="162"/>
      <c r="AC77">
        <v>0.18099999999999999</v>
      </c>
    </row>
    <row r="78" spans="1:34" ht="30.75" thickBot="1" x14ac:dyDescent="0.25">
      <c r="B78" s="177" t="s">
        <v>314</v>
      </c>
      <c r="C78" s="178" t="s">
        <v>303</v>
      </c>
      <c r="D78" s="178" t="s">
        <v>5</v>
      </c>
      <c r="E78" s="177" t="s">
        <v>73</v>
      </c>
      <c r="F78" s="178" t="s">
        <v>304</v>
      </c>
      <c r="G78" s="178" t="s">
        <v>5</v>
      </c>
      <c r="H78" s="179" t="s">
        <v>131</v>
      </c>
      <c r="U78" s="95"/>
      <c r="W78" s="96"/>
      <c r="Y78">
        <v>275</v>
      </c>
      <c r="Z78" s="65" t="s">
        <v>194</v>
      </c>
      <c r="AA78" s="153">
        <v>24.89</v>
      </c>
      <c r="AB78" s="154">
        <v>25.62</v>
      </c>
      <c r="AC78">
        <v>0.18099999999999999</v>
      </c>
    </row>
    <row r="79" spans="1:34" ht="18.75" customHeight="1" x14ac:dyDescent="0.2">
      <c r="A79" s="30" t="s">
        <v>295</v>
      </c>
      <c r="B79" s="116">
        <v>5717840.918476155</v>
      </c>
      <c r="C79" s="116">
        <v>0</v>
      </c>
      <c r="D79" s="116">
        <f>+B79+C79</f>
        <v>5717840.918476155</v>
      </c>
      <c r="E79" s="116">
        <v>37700639.960813805</v>
      </c>
      <c r="F79" s="116">
        <v>0</v>
      </c>
      <c r="G79" s="116">
        <f>+E79+F79</f>
        <v>37700639.960813805</v>
      </c>
      <c r="H79" s="116">
        <f>+D79+G79</f>
        <v>43418480.879289962</v>
      </c>
      <c r="Y79">
        <v>266</v>
      </c>
      <c r="Z79" s="66" t="s">
        <v>195</v>
      </c>
      <c r="AA79" s="159"/>
      <c r="AB79" s="160"/>
      <c r="AC79">
        <v>0.29399999999999998</v>
      </c>
    </row>
    <row r="80" spans="1:34" ht="30.75" thickBot="1" x14ac:dyDescent="0.25">
      <c r="A80" s="47" t="s">
        <v>305</v>
      </c>
      <c r="B80" s="116">
        <v>651183.99182610121</v>
      </c>
      <c r="C80" s="116">
        <v>0</v>
      </c>
      <c r="D80" s="116">
        <f t="shared" ref="D80:D93" si="17">+B80+C80</f>
        <v>651183.99182610121</v>
      </c>
      <c r="E80" s="116">
        <v>0</v>
      </c>
      <c r="F80" s="116">
        <v>3511578.0647208197</v>
      </c>
      <c r="G80" s="116">
        <f t="shared" ref="G80:G93" si="18">+E80+F80</f>
        <v>3511578.0647208197</v>
      </c>
      <c r="H80" s="116">
        <f t="shared" ref="H80:H93" si="19">+D80+G80</f>
        <v>4162762.0565469209</v>
      </c>
      <c r="Y80">
        <v>266</v>
      </c>
      <c r="Z80" s="65" t="s">
        <v>194</v>
      </c>
      <c r="AA80" s="153">
        <v>27.34</v>
      </c>
      <c r="AB80" s="154">
        <v>28.15</v>
      </c>
      <c r="AC80">
        <v>0.29399999999999998</v>
      </c>
    </row>
    <row r="81" spans="1:29" ht="18.75" customHeight="1" x14ac:dyDescent="0.2">
      <c r="A81" s="30" t="s">
        <v>296</v>
      </c>
      <c r="B81" s="116">
        <v>1661503.3290181649</v>
      </c>
      <c r="C81" s="116">
        <v>0</v>
      </c>
      <c r="D81" s="116">
        <f t="shared" si="17"/>
        <v>1661503.3290181649</v>
      </c>
      <c r="E81" s="116">
        <v>0</v>
      </c>
      <c r="F81" s="116">
        <v>8958597.4444015305</v>
      </c>
      <c r="G81" s="116">
        <f t="shared" si="18"/>
        <v>8958597.4444015305</v>
      </c>
      <c r="H81" s="116">
        <f t="shared" si="19"/>
        <v>10620100.773419695</v>
      </c>
      <c r="Y81">
        <v>267</v>
      </c>
      <c r="Z81" s="66" t="s">
        <v>196</v>
      </c>
      <c r="AA81" s="159"/>
      <c r="AB81" s="160"/>
      <c r="AC81">
        <v>0.47099999999999997</v>
      </c>
    </row>
    <row r="82" spans="1:29" ht="30.75" thickBot="1" x14ac:dyDescent="0.25">
      <c r="A82" s="30" t="s">
        <v>297</v>
      </c>
      <c r="B82" s="116">
        <v>0</v>
      </c>
      <c r="C82" s="116">
        <v>2420273.3886549966</v>
      </c>
      <c r="D82" s="116">
        <f t="shared" si="17"/>
        <v>2420273.3886549966</v>
      </c>
      <c r="E82" s="116">
        <v>0</v>
      </c>
      <c r="F82" s="116">
        <v>17790883.059769787</v>
      </c>
      <c r="G82" s="116">
        <f t="shared" si="18"/>
        <v>17790883.059769787</v>
      </c>
      <c r="H82" s="116">
        <f t="shared" si="19"/>
        <v>20211156.448424783</v>
      </c>
      <c r="Y82">
        <v>267</v>
      </c>
      <c r="Z82" s="65" t="s">
        <v>194</v>
      </c>
      <c r="AA82" s="153">
        <v>31.4</v>
      </c>
      <c r="AB82" s="154">
        <v>32.33</v>
      </c>
      <c r="AC82">
        <v>0.47099999999999997</v>
      </c>
    </row>
    <row r="83" spans="1:29" ht="15" customHeight="1" x14ac:dyDescent="0.2">
      <c r="A83" s="30" t="s">
        <v>298</v>
      </c>
      <c r="B83" s="116">
        <v>0</v>
      </c>
      <c r="C83" s="116">
        <v>197436.52470383968</v>
      </c>
      <c r="D83" s="116">
        <f t="shared" si="17"/>
        <v>197436.52470383968</v>
      </c>
      <c r="E83" s="116">
        <v>0</v>
      </c>
      <c r="F83" s="116">
        <v>1472675.4001348896</v>
      </c>
      <c r="G83" s="116">
        <f t="shared" si="18"/>
        <v>1472675.4001348896</v>
      </c>
      <c r="H83" s="116">
        <f t="shared" si="19"/>
        <v>1670111.9248387292</v>
      </c>
      <c r="Y83">
        <v>276</v>
      </c>
      <c r="Z83" s="66" t="s">
        <v>197</v>
      </c>
      <c r="AA83" s="159"/>
      <c r="AB83" s="160"/>
      <c r="AC83">
        <v>8.3000000000000004E-2</v>
      </c>
    </row>
    <row r="84" spans="1:29" ht="30.75" thickBot="1" x14ac:dyDescent="0.25">
      <c r="A84" s="30" t="s">
        <v>299</v>
      </c>
      <c r="B84" s="116">
        <v>0</v>
      </c>
      <c r="C84" s="116">
        <v>1084253.5366142318</v>
      </c>
      <c r="D84" s="116">
        <f t="shared" si="17"/>
        <v>1084253.5366142318</v>
      </c>
      <c r="E84" s="116">
        <v>0</v>
      </c>
      <c r="F84" s="116">
        <v>9427670.45964396</v>
      </c>
      <c r="G84" s="116">
        <f t="shared" si="18"/>
        <v>9427670.45964396</v>
      </c>
      <c r="H84" s="116">
        <f t="shared" si="19"/>
        <v>10511923.996258192</v>
      </c>
      <c r="Y84">
        <v>276</v>
      </c>
      <c r="Z84" s="65" t="s">
        <v>194</v>
      </c>
      <c r="AA84" s="153">
        <v>14.17</v>
      </c>
      <c r="AB84" s="154">
        <v>14.59</v>
      </c>
      <c r="AC84">
        <v>8.3000000000000004E-2</v>
      </c>
    </row>
    <row r="85" spans="1:29" ht="15" x14ac:dyDescent="0.2">
      <c r="A85" s="30" t="s">
        <v>301</v>
      </c>
      <c r="B85" s="116">
        <v>0</v>
      </c>
      <c r="C85" s="116">
        <v>351842.24087179982</v>
      </c>
      <c r="D85" s="116">
        <f t="shared" si="17"/>
        <v>351842.24087179982</v>
      </c>
      <c r="E85" s="116">
        <v>0</v>
      </c>
      <c r="F85" s="116">
        <v>3368647.3477954338</v>
      </c>
      <c r="G85" s="116">
        <f t="shared" si="18"/>
        <v>3368647.3477954338</v>
      </c>
      <c r="H85" s="116">
        <f t="shared" si="19"/>
        <v>3720489.5886672335</v>
      </c>
      <c r="Y85">
        <v>274</v>
      </c>
      <c r="Z85" s="66" t="s">
        <v>198</v>
      </c>
      <c r="AA85" s="159"/>
      <c r="AB85" s="160"/>
      <c r="AC85">
        <v>0.11700000000000001</v>
      </c>
    </row>
    <row r="86" spans="1:29" ht="13.5" customHeight="1" x14ac:dyDescent="0.2">
      <c r="A86" s="30" t="s">
        <v>302</v>
      </c>
      <c r="B86" s="116">
        <v>0</v>
      </c>
      <c r="C86" s="116">
        <v>1610913.5598390328</v>
      </c>
      <c r="D86" s="116">
        <f t="shared" si="17"/>
        <v>1610913.5598390328</v>
      </c>
      <c r="E86" s="116">
        <v>0</v>
      </c>
      <c r="F86" s="116">
        <v>15216647.166723674</v>
      </c>
      <c r="G86" s="116">
        <f t="shared" si="18"/>
        <v>15216647.166723674</v>
      </c>
      <c r="H86" s="116">
        <f t="shared" si="19"/>
        <v>16827560.726562709</v>
      </c>
      <c r="Z86" s="65"/>
      <c r="AA86" s="161"/>
      <c r="AB86" s="162"/>
    </row>
    <row r="87" spans="1:29" ht="30.75" thickBot="1" x14ac:dyDescent="0.25">
      <c r="A87" s="30" t="s">
        <v>121</v>
      </c>
      <c r="B87" s="116">
        <v>0</v>
      </c>
      <c r="C87" s="116">
        <v>541227.26950269972</v>
      </c>
      <c r="D87" s="116">
        <f t="shared" si="17"/>
        <v>541227.26950269972</v>
      </c>
      <c r="E87" s="116">
        <v>0</v>
      </c>
      <c r="F87" s="116">
        <v>8051883.3702276722</v>
      </c>
      <c r="G87" s="116">
        <f t="shared" si="18"/>
        <v>8051883.3702276722</v>
      </c>
      <c r="H87" s="116">
        <f t="shared" si="19"/>
        <v>8593110.6397303715</v>
      </c>
      <c r="Y87">
        <v>274</v>
      </c>
      <c r="Z87" s="65" t="s">
        <v>194</v>
      </c>
      <c r="AA87" s="153">
        <v>17.190000000000001</v>
      </c>
      <c r="AB87" s="154">
        <v>17.7</v>
      </c>
      <c r="AC87">
        <v>0.11700000000000001</v>
      </c>
    </row>
    <row r="88" spans="1:29" ht="15" customHeight="1" x14ac:dyDescent="0.2">
      <c r="A88" s="30" t="s">
        <v>300</v>
      </c>
      <c r="B88" s="116">
        <v>0</v>
      </c>
      <c r="C88" s="116">
        <v>0</v>
      </c>
      <c r="D88" s="116">
        <f t="shared" si="17"/>
        <v>0</v>
      </c>
      <c r="E88" s="116">
        <v>0</v>
      </c>
      <c r="F88" s="116">
        <v>0</v>
      </c>
      <c r="G88" s="116">
        <f t="shared" si="18"/>
        <v>0</v>
      </c>
      <c r="H88" s="116">
        <f t="shared" si="19"/>
        <v>0</v>
      </c>
      <c r="Y88">
        <v>277</v>
      </c>
      <c r="Z88" s="66" t="s">
        <v>199</v>
      </c>
      <c r="AA88" s="159"/>
      <c r="AB88" s="160"/>
      <c r="AC88">
        <v>0.18099999999999999</v>
      </c>
    </row>
    <row r="89" spans="1:29" ht="15" customHeight="1" x14ac:dyDescent="0.2">
      <c r="A89" s="92" t="s">
        <v>307</v>
      </c>
      <c r="B89" s="116">
        <v>0</v>
      </c>
      <c r="C89" s="116">
        <v>62269.74</v>
      </c>
      <c r="D89" s="116">
        <f t="shared" si="17"/>
        <v>62269.74</v>
      </c>
      <c r="E89" s="116">
        <v>0</v>
      </c>
      <c r="F89" s="116">
        <v>990192.82346330467</v>
      </c>
      <c r="G89" s="116">
        <f t="shared" si="18"/>
        <v>990192.82346330467</v>
      </c>
      <c r="H89" s="116">
        <f t="shared" si="19"/>
        <v>1052462.5634633047</v>
      </c>
      <c r="Y89">
        <v>277</v>
      </c>
      <c r="Z89" s="65" t="s">
        <v>194</v>
      </c>
      <c r="AA89" s="153">
        <v>22.15</v>
      </c>
      <c r="AB89" s="154">
        <v>22.8</v>
      </c>
      <c r="AC89">
        <v>0.18099999999999999</v>
      </c>
    </row>
    <row r="90" spans="1:29" ht="15" customHeight="1" x14ac:dyDescent="0.2">
      <c r="A90" s="30" t="s">
        <v>306</v>
      </c>
      <c r="B90" s="116">
        <v>0</v>
      </c>
      <c r="C90" s="116">
        <v>41741.993999999977</v>
      </c>
      <c r="D90" s="116">
        <f t="shared" si="17"/>
        <v>41741.993999999977</v>
      </c>
      <c r="E90" s="116">
        <v>0</v>
      </c>
      <c r="F90" s="116">
        <v>522423.85137347179</v>
      </c>
      <c r="G90" s="116">
        <f t="shared" si="18"/>
        <v>522423.85137347179</v>
      </c>
      <c r="H90" s="116">
        <f t="shared" si="19"/>
        <v>564165.84537347173</v>
      </c>
      <c r="Z90" s="65"/>
      <c r="AA90" s="153"/>
      <c r="AB90" s="154"/>
    </row>
    <row r="91" spans="1:29" ht="15.75" thickBot="1" x14ac:dyDescent="0.25">
      <c r="A91" s="30" t="s">
        <v>385</v>
      </c>
      <c r="B91" s="116">
        <v>0</v>
      </c>
      <c r="C91" s="116">
        <v>0</v>
      </c>
      <c r="D91" s="116">
        <f t="shared" ref="D91:D92" si="20">+B91+C91</f>
        <v>0</v>
      </c>
      <c r="E91" s="116">
        <v>0</v>
      </c>
      <c r="F91" s="116">
        <v>0</v>
      </c>
      <c r="G91" s="116">
        <f t="shared" ref="G91:G92" si="21">+E91+F91</f>
        <v>0</v>
      </c>
      <c r="H91" s="116">
        <f t="shared" ref="H91:H92" si="22">+D91+G91</f>
        <v>0</v>
      </c>
      <c r="Z91" s="65"/>
      <c r="AA91" s="153"/>
      <c r="AB91" s="154"/>
    </row>
    <row r="92" spans="1:29" ht="15.75" thickBot="1" x14ac:dyDescent="0.25">
      <c r="A92" s="30" t="s">
        <v>386</v>
      </c>
      <c r="B92" s="116">
        <v>0</v>
      </c>
      <c r="C92" s="116">
        <v>0</v>
      </c>
      <c r="D92" s="116">
        <f t="shared" si="20"/>
        <v>0</v>
      </c>
      <c r="E92" s="116">
        <v>0</v>
      </c>
      <c r="F92" s="116">
        <v>0</v>
      </c>
      <c r="G92" s="116">
        <f t="shared" si="21"/>
        <v>0</v>
      </c>
      <c r="H92" s="116">
        <f t="shared" si="22"/>
        <v>0</v>
      </c>
      <c r="Y92">
        <v>279</v>
      </c>
      <c r="Z92" s="66" t="s">
        <v>200</v>
      </c>
      <c r="AA92" s="155">
        <v>41.43</v>
      </c>
      <c r="AB92" s="156">
        <v>42.65</v>
      </c>
      <c r="AC92">
        <v>1</v>
      </c>
    </row>
    <row r="93" spans="1:29" ht="15" customHeight="1" x14ac:dyDescent="0.2">
      <c r="A93" s="84" t="s">
        <v>139</v>
      </c>
      <c r="B93" s="116">
        <v>0</v>
      </c>
      <c r="C93" s="116">
        <v>0</v>
      </c>
      <c r="D93" s="116">
        <f t="shared" si="17"/>
        <v>0</v>
      </c>
      <c r="E93" s="116">
        <v>1140721</v>
      </c>
      <c r="F93" s="116">
        <v>0</v>
      </c>
      <c r="G93" s="116">
        <f t="shared" si="18"/>
        <v>1140721</v>
      </c>
      <c r="H93" s="116">
        <f t="shared" si="19"/>
        <v>1140721</v>
      </c>
      <c r="Y93">
        <v>278</v>
      </c>
      <c r="Z93" s="66" t="s">
        <v>201</v>
      </c>
      <c r="AA93" s="159"/>
      <c r="AB93" s="160"/>
      <c r="AC93">
        <v>1</v>
      </c>
    </row>
    <row r="94" spans="1:29" ht="30.75" thickBot="1" x14ac:dyDescent="0.25">
      <c r="A94" s="30"/>
      <c r="B94" s="116"/>
      <c r="C94" s="116"/>
      <c r="E94" s="116"/>
      <c r="F94" s="116"/>
      <c r="Y94">
        <v>278</v>
      </c>
      <c r="Z94" s="65" t="s">
        <v>194</v>
      </c>
      <c r="AA94" s="153">
        <v>72.55</v>
      </c>
      <c r="AB94" s="154">
        <v>74.69</v>
      </c>
      <c r="AC94">
        <v>1</v>
      </c>
    </row>
    <row r="95" spans="1:29" ht="15.75" thickBot="1" x14ac:dyDescent="0.25">
      <c r="A95" s="30"/>
      <c r="B95" s="116">
        <f>SUM(B79:B93)</f>
        <v>8030528.2393204216</v>
      </c>
      <c r="C95" s="116">
        <f>SUM(C79:C93)</f>
        <v>6309958.2541866004</v>
      </c>
      <c r="D95" s="180">
        <f>SUM(D79:D93)</f>
        <v>14340486.493507024</v>
      </c>
      <c r="E95" s="116">
        <f>SUM(E79:E93)</f>
        <v>38841360.960813805</v>
      </c>
      <c r="F95" s="116">
        <f>SUM(F79:F93)</f>
        <v>69311198.988254547</v>
      </c>
      <c r="G95" s="116">
        <f t="shared" ref="G95:H95" si="23">SUM(G79:G93)</f>
        <v>108152559.94906834</v>
      </c>
      <c r="H95" s="116">
        <f t="shared" si="23"/>
        <v>122493046.44257538</v>
      </c>
      <c r="Y95">
        <v>417</v>
      </c>
      <c r="Z95" s="66" t="s">
        <v>202</v>
      </c>
      <c r="AA95" s="155">
        <v>23.68</v>
      </c>
      <c r="AB95" s="156">
        <v>24.38</v>
      </c>
      <c r="AC95">
        <v>0.11700000000000001</v>
      </c>
    </row>
    <row r="96" spans="1:29" ht="15.75" thickBot="1" x14ac:dyDescent="0.25">
      <c r="A96" s="30"/>
      <c r="B96" s="116"/>
      <c r="C96" s="116"/>
      <c r="D96" s="116"/>
      <c r="E96" s="116"/>
      <c r="F96" s="129"/>
      <c r="Y96">
        <v>419</v>
      </c>
      <c r="Z96" s="66" t="s">
        <v>203</v>
      </c>
      <c r="AA96" s="155">
        <v>24.77</v>
      </c>
      <c r="AB96" s="156">
        <v>25.5</v>
      </c>
      <c r="AC96">
        <v>0.11700000000000001</v>
      </c>
    </row>
    <row r="97" spans="2:29" ht="15.75" thickBot="1" x14ac:dyDescent="0.25">
      <c r="B97" s="116"/>
      <c r="C97" s="116"/>
      <c r="D97" s="116"/>
      <c r="E97" s="116"/>
      <c r="F97" s="116"/>
      <c r="Y97">
        <v>280</v>
      </c>
      <c r="Z97" s="66" t="s">
        <v>204</v>
      </c>
      <c r="AA97" s="155">
        <v>19.38</v>
      </c>
      <c r="AB97" s="156">
        <v>19.95</v>
      </c>
      <c r="AC97">
        <v>8.3000000000000004E-2</v>
      </c>
    </row>
    <row r="98" spans="2:29" ht="15.75" thickBot="1" x14ac:dyDescent="0.25">
      <c r="B98" s="116"/>
      <c r="C98" s="116"/>
      <c r="D98" s="116"/>
      <c r="E98" s="116"/>
      <c r="F98" s="116"/>
      <c r="Y98">
        <v>281</v>
      </c>
      <c r="Z98" s="66" t="s">
        <v>205</v>
      </c>
      <c r="AA98" s="155">
        <v>20.350000000000001</v>
      </c>
      <c r="AB98" s="156">
        <v>20.95</v>
      </c>
      <c r="AC98">
        <v>0.11700000000000001</v>
      </c>
    </row>
    <row r="99" spans="2:29" ht="15.75" thickBot="1" x14ac:dyDescent="0.25">
      <c r="B99" s="116"/>
      <c r="C99" s="116"/>
      <c r="D99" s="116"/>
      <c r="E99" s="116"/>
      <c r="F99" s="116"/>
      <c r="Y99">
        <v>282</v>
      </c>
      <c r="Z99" s="66" t="s">
        <v>206</v>
      </c>
      <c r="AA99" s="155">
        <v>19.53</v>
      </c>
      <c r="AB99" s="156">
        <v>20.11</v>
      </c>
      <c r="AC99">
        <v>8.3000000000000004E-2</v>
      </c>
    </row>
    <row r="100" spans="2:29" ht="15.75" thickBot="1" x14ac:dyDescent="0.25">
      <c r="B100" s="116"/>
      <c r="C100" s="116"/>
      <c r="D100" s="116"/>
      <c r="E100" s="116"/>
      <c r="F100" s="116"/>
      <c r="Y100">
        <v>283</v>
      </c>
      <c r="Z100" s="66" t="s">
        <v>207</v>
      </c>
      <c r="AA100" s="155">
        <v>20.82</v>
      </c>
      <c r="AB100" s="156">
        <v>21.43</v>
      </c>
      <c r="AC100">
        <v>0.11700000000000001</v>
      </c>
    </row>
    <row r="101" spans="2:29" ht="15.75" thickBot="1" x14ac:dyDescent="0.25">
      <c r="B101" s="116"/>
      <c r="C101" s="116"/>
      <c r="D101" s="116"/>
      <c r="E101" s="116"/>
      <c r="F101" s="116"/>
      <c r="Y101">
        <v>426</v>
      </c>
      <c r="Z101" s="66" t="s">
        <v>208</v>
      </c>
      <c r="AA101" s="155">
        <v>33.22</v>
      </c>
      <c r="AB101" s="156">
        <v>34.200000000000003</v>
      </c>
      <c r="AC101">
        <v>8.3000000000000004E-2</v>
      </c>
    </row>
    <row r="102" spans="2:29" ht="15.75" thickBot="1" x14ac:dyDescent="0.25">
      <c r="B102" s="116"/>
      <c r="C102" s="116"/>
      <c r="D102" s="116"/>
      <c r="E102" s="116"/>
      <c r="F102" s="116"/>
      <c r="Y102">
        <v>428</v>
      </c>
      <c r="Z102" s="66" t="s">
        <v>209</v>
      </c>
      <c r="AA102" s="155">
        <v>34.090000000000003</v>
      </c>
      <c r="AB102" s="156">
        <v>35.1</v>
      </c>
      <c r="AC102">
        <v>0.11</v>
      </c>
    </row>
    <row r="103" spans="2:29" ht="15.75" thickBot="1" x14ac:dyDescent="0.25">
      <c r="B103" s="116"/>
      <c r="C103" s="116"/>
      <c r="D103" s="116"/>
      <c r="E103" s="116"/>
      <c r="F103" s="116"/>
      <c r="Y103">
        <v>430</v>
      </c>
      <c r="Z103" s="66" t="s">
        <v>210</v>
      </c>
      <c r="AA103" s="155">
        <v>32.26</v>
      </c>
      <c r="AB103" s="156">
        <v>33.21</v>
      </c>
      <c r="AC103">
        <v>8.3000000000000004E-2</v>
      </c>
    </row>
    <row r="104" spans="2:29" ht="15.75" thickBot="1" x14ac:dyDescent="0.25">
      <c r="B104" s="116"/>
      <c r="C104" s="116"/>
      <c r="D104" s="116"/>
      <c r="E104" s="116"/>
      <c r="F104" s="116"/>
      <c r="Y104">
        <v>432</v>
      </c>
      <c r="Z104" s="66" t="s">
        <v>211</v>
      </c>
      <c r="AA104" s="155">
        <v>34.33</v>
      </c>
      <c r="AB104" s="156">
        <v>35.340000000000003</v>
      </c>
      <c r="AC104">
        <v>0.11700000000000001</v>
      </c>
    </row>
    <row r="105" spans="2:29" ht="15.75" thickBot="1" x14ac:dyDescent="0.25">
      <c r="B105" s="116"/>
      <c r="C105" s="116"/>
      <c r="D105" s="116"/>
      <c r="E105" s="116"/>
      <c r="F105" s="116"/>
      <c r="Y105" t="s">
        <v>155</v>
      </c>
      <c r="Z105" s="67"/>
      <c r="AA105" s="163"/>
      <c r="AB105" s="164"/>
    </row>
    <row r="106" spans="2:29" ht="15.75" thickBot="1" x14ac:dyDescent="0.25">
      <c r="B106" s="116"/>
      <c r="C106" s="116"/>
      <c r="D106" s="116"/>
      <c r="E106" s="116"/>
      <c r="F106" s="116"/>
      <c r="Z106" s="63" t="s">
        <v>95</v>
      </c>
      <c r="AA106" s="151"/>
      <c r="AB106" s="152"/>
    </row>
    <row r="107" spans="2:29" ht="15.75" thickBot="1" x14ac:dyDescent="0.25">
      <c r="B107" s="116"/>
      <c r="C107" s="116"/>
      <c r="D107" s="116"/>
      <c r="E107" s="116"/>
      <c r="F107" s="116"/>
      <c r="Y107">
        <v>318</v>
      </c>
      <c r="Z107" s="65" t="s">
        <v>212</v>
      </c>
      <c r="AA107" s="153">
        <v>17.420000000000002</v>
      </c>
      <c r="AB107" s="154">
        <v>17.93</v>
      </c>
      <c r="AC107">
        <v>0.21</v>
      </c>
    </row>
    <row r="108" spans="2:29" ht="15.75" thickBot="1" x14ac:dyDescent="0.25">
      <c r="B108" s="116"/>
      <c r="C108" s="116"/>
      <c r="D108" s="116"/>
      <c r="E108" s="116"/>
      <c r="F108" s="116"/>
      <c r="Y108">
        <v>314</v>
      </c>
      <c r="Z108" s="66" t="s">
        <v>213</v>
      </c>
      <c r="AA108" s="155">
        <v>19.2</v>
      </c>
      <c r="AB108" s="156">
        <v>19.77</v>
      </c>
      <c r="AC108">
        <v>0.29799999999999999</v>
      </c>
    </row>
    <row r="109" spans="2:29" ht="15.75" thickBot="1" x14ac:dyDescent="0.25">
      <c r="B109" s="116"/>
      <c r="C109" s="116"/>
      <c r="D109" s="116"/>
      <c r="E109" s="116"/>
      <c r="F109" s="116"/>
      <c r="Y109">
        <v>315</v>
      </c>
      <c r="Z109" s="66" t="s">
        <v>214</v>
      </c>
      <c r="AA109" s="155">
        <v>22.95</v>
      </c>
      <c r="AB109" s="156">
        <v>23.63</v>
      </c>
      <c r="AC109">
        <v>0.46200000000000002</v>
      </c>
    </row>
    <row r="110" spans="2:29" ht="15.75" thickBot="1" x14ac:dyDescent="0.25">
      <c r="B110" s="116"/>
      <c r="C110" s="116"/>
      <c r="D110" s="116"/>
      <c r="E110" s="116"/>
      <c r="F110" s="116"/>
      <c r="Y110">
        <v>347</v>
      </c>
      <c r="Z110" s="66" t="s">
        <v>215</v>
      </c>
      <c r="AA110" s="155">
        <v>22.94</v>
      </c>
      <c r="AB110" s="156">
        <v>23.62</v>
      </c>
      <c r="AC110">
        <v>0.46200000000000002</v>
      </c>
    </row>
    <row r="111" spans="2:29" ht="15.75" thickBot="1" x14ac:dyDescent="0.25">
      <c r="B111" s="116"/>
      <c r="C111" s="116"/>
      <c r="D111" s="116"/>
      <c r="E111" s="116"/>
      <c r="F111" s="116"/>
      <c r="Y111">
        <v>206</v>
      </c>
      <c r="Z111" s="66" t="s">
        <v>216</v>
      </c>
      <c r="AA111" s="155">
        <v>12.45</v>
      </c>
      <c r="AB111" s="156">
        <v>12.82</v>
      </c>
      <c r="AC111">
        <v>0.1</v>
      </c>
    </row>
    <row r="112" spans="2:29" ht="15.75" thickBot="1" x14ac:dyDescent="0.25">
      <c r="B112" s="116"/>
      <c r="C112" s="116"/>
      <c r="D112" s="116"/>
      <c r="E112" s="116"/>
      <c r="F112" s="116"/>
      <c r="Y112">
        <v>208</v>
      </c>
      <c r="Z112" s="66" t="s">
        <v>217</v>
      </c>
      <c r="AA112" s="155">
        <v>14.24</v>
      </c>
      <c r="AB112" s="156">
        <v>14.66</v>
      </c>
      <c r="AC112">
        <v>0.21</v>
      </c>
    </row>
    <row r="113" spans="2:29" ht="15.75" thickBot="1" x14ac:dyDescent="0.25">
      <c r="B113" s="116"/>
      <c r="C113" s="116"/>
      <c r="D113" s="116"/>
      <c r="E113" s="116"/>
      <c r="F113" s="116"/>
      <c r="Y113" t="s">
        <v>155</v>
      </c>
      <c r="Z113" s="67"/>
      <c r="AA113" s="163"/>
      <c r="AB113" s="164"/>
    </row>
    <row r="114" spans="2:29" ht="15.75" thickBot="1" x14ac:dyDescent="0.25">
      <c r="B114" s="116"/>
      <c r="C114" s="116"/>
      <c r="D114" s="116"/>
      <c r="E114" s="116"/>
      <c r="F114" s="116"/>
      <c r="Z114" s="64" t="s">
        <v>96</v>
      </c>
      <c r="AA114" s="151"/>
      <c r="AB114" s="152"/>
    </row>
    <row r="115" spans="2:29" ht="15.75" thickBot="1" x14ac:dyDescent="0.25">
      <c r="B115" s="116"/>
      <c r="C115" s="116"/>
      <c r="D115" s="116"/>
      <c r="E115" s="116"/>
      <c r="F115" s="116"/>
      <c r="Y115">
        <v>349</v>
      </c>
      <c r="Z115" s="63" t="s">
        <v>218</v>
      </c>
      <c r="AA115" s="165">
        <v>9.02</v>
      </c>
      <c r="AB115" s="166">
        <v>9.2899999999999991</v>
      </c>
      <c r="AC115">
        <v>0.10199999999999999</v>
      </c>
    </row>
    <row r="116" spans="2:29" ht="15.75" thickBot="1" x14ac:dyDescent="0.25">
      <c r="B116" s="116"/>
      <c r="C116" s="116"/>
      <c r="D116" s="116"/>
      <c r="E116" s="116"/>
      <c r="F116" s="116"/>
      <c r="Y116">
        <v>348</v>
      </c>
      <c r="Z116" s="77" t="s">
        <v>219</v>
      </c>
      <c r="AA116" s="167">
        <v>13.12</v>
      </c>
      <c r="AB116" s="168">
        <v>13.51</v>
      </c>
      <c r="AC116">
        <v>0.44700000000000001</v>
      </c>
    </row>
    <row r="117" spans="2:29" x14ac:dyDescent="0.2">
      <c r="B117" s="116"/>
      <c r="C117" s="116"/>
      <c r="D117" s="116"/>
      <c r="E117" s="116"/>
      <c r="F117" s="116"/>
      <c r="AB117" s="32"/>
    </row>
    <row r="118" spans="2:29" x14ac:dyDescent="0.2">
      <c r="B118" s="116"/>
      <c r="C118" s="116"/>
      <c r="D118" s="116"/>
      <c r="E118" s="116"/>
      <c r="F118" s="116"/>
      <c r="AB118" s="32"/>
    </row>
    <row r="119" spans="2:29" x14ac:dyDescent="0.2">
      <c r="B119" s="116"/>
      <c r="C119" s="116"/>
      <c r="D119" s="116"/>
      <c r="E119" s="116"/>
      <c r="F119" s="116"/>
      <c r="AB119" s="32"/>
    </row>
    <row r="120" spans="2:29" x14ac:dyDescent="0.2">
      <c r="B120" s="116"/>
      <c r="C120" s="116"/>
      <c r="D120" s="116"/>
      <c r="E120" s="116"/>
      <c r="F120" s="116"/>
      <c r="AB120" s="32"/>
    </row>
    <row r="121" spans="2:29" x14ac:dyDescent="0.2">
      <c r="B121" s="116"/>
      <c r="C121" s="116"/>
      <c r="D121" s="116"/>
      <c r="E121" s="116"/>
      <c r="F121" s="116"/>
      <c r="AB121" s="32"/>
    </row>
    <row r="122" spans="2:29" x14ac:dyDescent="0.2">
      <c r="B122" s="116"/>
      <c r="C122" s="116"/>
      <c r="D122" s="116"/>
      <c r="E122" s="116"/>
      <c r="F122" s="116"/>
      <c r="AB122" s="32"/>
    </row>
    <row r="123" spans="2:29" x14ac:dyDescent="0.2">
      <c r="B123" s="116"/>
      <c r="C123" s="116"/>
      <c r="D123" s="116"/>
      <c r="E123" s="116"/>
      <c r="F123" s="116"/>
      <c r="AB123" s="32"/>
    </row>
    <row r="124" spans="2:29" x14ac:dyDescent="0.2">
      <c r="B124" s="116"/>
      <c r="C124" s="116"/>
      <c r="D124" s="116"/>
      <c r="E124" s="116"/>
      <c r="F124" s="116"/>
      <c r="AB124" s="32"/>
    </row>
    <row r="125" spans="2:29" x14ac:dyDescent="0.2">
      <c r="B125" s="116"/>
      <c r="C125" s="116"/>
      <c r="D125" s="116"/>
      <c r="E125" s="116"/>
      <c r="F125" s="116"/>
      <c r="AB125" s="32"/>
    </row>
    <row r="126" spans="2:29" x14ac:dyDescent="0.2">
      <c r="B126" s="116"/>
      <c r="C126" s="116"/>
      <c r="D126" s="116"/>
      <c r="E126" s="116"/>
      <c r="F126" s="116"/>
    </row>
    <row r="127" spans="2:29" x14ac:dyDescent="0.2">
      <c r="B127" s="116"/>
      <c r="C127" s="116"/>
      <c r="D127" s="116"/>
      <c r="E127" s="116"/>
      <c r="F127" s="116"/>
    </row>
    <row r="128" spans="2:29" x14ac:dyDescent="0.2">
      <c r="B128" s="116"/>
      <c r="C128" s="116"/>
      <c r="D128" s="116"/>
      <c r="E128" s="116"/>
      <c r="F128" s="116"/>
    </row>
    <row r="129" spans="2:6" x14ac:dyDescent="0.2">
      <c r="B129" s="116"/>
      <c r="C129" s="116"/>
      <c r="D129" s="116"/>
      <c r="E129" s="116"/>
      <c r="F129" s="116"/>
    </row>
    <row r="130" spans="2:6" x14ac:dyDescent="0.2">
      <c r="B130" s="116"/>
      <c r="C130" s="116"/>
      <c r="D130" s="116"/>
      <c r="E130" s="116"/>
      <c r="F130" s="116"/>
    </row>
    <row r="131" spans="2:6" x14ac:dyDescent="0.2">
      <c r="B131" s="116"/>
      <c r="C131" s="116"/>
      <c r="D131" s="116"/>
      <c r="E131" s="116"/>
      <c r="F131" s="116"/>
    </row>
    <row r="132" spans="2:6" x14ac:dyDescent="0.2">
      <c r="B132" s="116"/>
      <c r="C132" s="116"/>
      <c r="D132" s="116"/>
      <c r="E132" s="116"/>
      <c r="F132" s="116"/>
    </row>
    <row r="133" spans="2:6" x14ac:dyDescent="0.2">
      <c r="B133" s="116"/>
      <c r="C133" s="116"/>
      <c r="D133" s="116"/>
      <c r="E133" s="116"/>
      <c r="F133" s="116"/>
    </row>
    <row r="134" spans="2:6" x14ac:dyDescent="0.2">
      <c r="B134" s="116"/>
      <c r="C134" s="116"/>
      <c r="D134" s="116"/>
      <c r="E134" s="116"/>
      <c r="F134" s="116"/>
    </row>
    <row r="135" spans="2:6" x14ac:dyDescent="0.2">
      <c r="B135" s="116"/>
      <c r="C135" s="116"/>
      <c r="D135" s="116"/>
      <c r="E135" s="116"/>
      <c r="F135" s="116"/>
    </row>
  </sheetData>
  <mergeCells count="4">
    <mergeCell ref="I21:J21"/>
    <mergeCell ref="Z72:Z73"/>
    <mergeCell ref="B77:D77"/>
    <mergeCell ref="E77:G77"/>
  </mergeCells>
  <phoneticPr fontId="5" type="noConversion"/>
  <pageMargins left="0.75" right="0.75" top="1" bottom="1" header="0.5" footer="0.5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4"/>
  <sheetViews>
    <sheetView view="pageBreakPreview" zoomScale="80" zoomScaleNormal="100" zoomScaleSheetLayoutView="80" workbookViewId="0">
      <selection activeCell="R33" sqref="R33"/>
    </sheetView>
  </sheetViews>
  <sheetFormatPr defaultRowHeight="12.75" x14ac:dyDescent="0.2"/>
  <cols>
    <col min="1" max="1" width="8.140625" customWidth="1"/>
    <col min="2" max="2" width="2.140625" customWidth="1"/>
    <col min="3" max="3" width="7.28515625" bestFit="1" customWidth="1"/>
    <col min="4" max="4" width="2.5703125" customWidth="1"/>
    <col min="5" max="5" width="9.85546875" bestFit="1" customWidth="1"/>
    <col min="6" max="6" width="3" customWidth="1"/>
    <col min="7" max="8" width="12.28515625" bestFit="1" customWidth="1"/>
    <col min="9" max="10" width="9.28515625" bestFit="1" customWidth="1"/>
    <col min="11" max="11" width="11.42578125" customWidth="1"/>
    <col min="12" max="12" width="11.28515625" bestFit="1" customWidth="1"/>
    <col min="13" max="13" width="11.5703125" customWidth="1"/>
    <col min="14" max="15" width="12.28515625" bestFit="1" customWidth="1"/>
    <col min="16" max="16" width="10.85546875" customWidth="1"/>
    <col min="17" max="17" width="5.5703125" customWidth="1"/>
    <col min="18" max="18" width="5" customWidth="1"/>
    <col min="19" max="19" width="10.85546875" customWidth="1"/>
    <col min="20" max="20" width="11.5703125" bestFit="1" customWidth="1"/>
    <col min="21" max="21" width="11.42578125" customWidth="1"/>
    <col min="22" max="22" width="2" customWidth="1"/>
    <col min="23" max="23" width="11.85546875" bestFit="1" customWidth="1"/>
    <col min="24" max="24" width="4.7109375" customWidth="1"/>
    <col min="25" max="25" width="13" customWidth="1"/>
    <col min="26" max="26" width="5" customWidth="1"/>
    <col min="27" max="27" width="3.140625" customWidth="1"/>
    <col min="28" max="28" width="16.28515625" bestFit="1" customWidth="1"/>
    <col min="29" max="30" width="12" bestFit="1" customWidth="1"/>
    <col min="31" max="31" width="4.5703125" customWidth="1"/>
    <col min="32" max="32" width="12" bestFit="1" customWidth="1"/>
    <col min="33" max="33" width="3.28515625" customWidth="1"/>
    <col min="34" max="34" width="12.140625" bestFit="1" customWidth="1"/>
    <col min="35" max="36" width="12.5703125" bestFit="1" customWidth="1"/>
  </cols>
  <sheetData>
    <row r="1" spans="1:42" x14ac:dyDescent="0.2">
      <c r="A1" s="377" t="str">
        <f>+'Rate Case Constants'!C9</f>
        <v>LOUISVILLE GAS AND ELECTRIC COMPANY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</row>
    <row r="2" spans="1:42" x14ac:dyDescent="0.2">
      <c r="A2" s="379" t="str">
        <f>+'Rate Case Constants'!A2:C2</f>
        <v>Rate Case Constants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</row>
    <row r="3" spans="1:42" x14ac:dyDescent="0.2">
      <c r="A3" s="378" t="str">
        <f>+'Rate Case Constants'!C24</f>
        <v>Typical Electric Bill Comparison under Present &amp; Proposed Rates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</row>
    <row r="4" spans="1:42" x14ac:dyDescent="0.2">
      <c r="A4" s="379" t="str">
        <f>+'Rate Case Constants'!A3:C3</f>
        <v>For the 2014 Rate Case Filing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</row>
    <row r="7" spans="1:42" x14ac:dyDescent="0.2">
      <c r="A7" t="str">
        <f>+'Rate Case Constants'!C33</f>
        <v>DATA: ____BASE PERIOD__X___FORECASTED PERIOD</v>
      </c>
      <c r="P7" s="208" t="str">
        <f>+'Rate Case Constants'!C25</f>
        <v>SCHEDULE N (Electric)</v>
      </c>
    </row>
    <row r="8" spans="1:42" x14ac:dyDescent="0.2">
      <c r="A8" t="str">
        <f>+'Rate Case Constants'!C29</f>
        <v>TYPE OF FILING: __X__ ORIGINAL  _____ UPDATED  _____ REVISED</v>
      </c>
      <c r="L8" s="209"/>
      <c r="P8" s="209" t="str">
        <f>+'Rate Case Constants'!L14</f>
        <v>PAGE 7 of 22</v>
      </c>
    </row>
    <row r="9" spans="1:42" x14ac:dyDescent="0.2">
      <c r="A9" t="str">
        <f>+'Rate Case Constants'!C34</f>
        <v>WORKPAPER REFERENCE NO(S):________</v>
      </c>
      <c r="P9" s="209" t="str">
        <f>+'Rate Case Constants'!C37</f>
        <v>WITNESS:   R. M. CONROY</v>
      </c>
    </row>
    <row r="10" spans="1:42" x14ac:dyDescent="0.2">
      <c r="A10" s="205"/>
      <c r="B10" s="16"/>
      <c r="C10" s="16"/>
      <c r="D10" s="16"/>
      <c r="E10" s="20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S10" s="86" t="s">
        <v>72</v>
      </c>
      <c r="T10">
        <f>+INPUT!G53</f>
        <v>-2.2879025756697955E-4</v>
      </c>
    </row>
    <row r="11" spans="1:42" x14ac:dyDescent="0.2">
      <c r="A11" s="45" t="s">
        <v>317</v>
      </c>
      <c r="B11" s="2"/>
      <c r="C11" s="2"/>
      <c r="S11" s="86" t="s">
        <v>74</v>
      </c>
      <c r="T11">
        <f>+INPUT!H53</f>
        <v>1.8895678196772657E-3</v>
      </c>
    </row>
    <row r="12" spans="1:42" x14ac:dyDescent="0.2">
      <c r="B12" s="2"/>
      <c r="C12" s="2"/>
      <c r="S12" s="86" t="s">
        <v>73</v>
      </c>
      <c r="T12">
        <f>+INPUT!I53</f>
        <v>9.0376809664283707E-3</v>
      </c>
    </row>
    <row r="13" spans="1:42" x14ac:dyDescent="0.2">
      <c r="A13" s="45"/>
      <c r="G13" s="222" t="s">
        <v>362</v>
      </c>
      <c r="H13" s="223" t="s">
        <v>363</v>
      </c>
      <c r="I13" s="223" t="s">
        <v>364</v>
      </c>
      <c r="J13" s="222" t="s">
        <v>365</v>
      </c>
      <c r="K13" s="222" t="s">
        <v>366</v>
      </c>
      <c r="L13" s="222" t="s">
        <v>367</v>
      </c>
      <c r="M13" s="223" t="s">
        <v>368</v>
      </c>
      <c r="N13" s="222" t="s">
        <v>369</v>
      </c>
      <c r="O13" s="222" t="s">
        <v>370</v>
      </c>
      <c r="P13" s="222" t="s">
        <v>371</v>
      </c>
      <c r="Y13" s="3" t="s">
        <v>73</v>
      </c>
      <c r="Z13" s="3"/>
      <c r="AG13" s="30"/>
      <c r="AH13" s="3" t="s">
        <v>73</v>
      </c>
      <c r="AI13" s="30"/>
      <c r="AJ13" s="30"/>
      <c r="AK13" s="30"/>
      <c r="AL13" s="30"/>
      <c r="AM13" s="30"/>
      <c r="AN13" s="30"/>
      <c r="AO13" s="30"/>
      <c r="AP13" s="30"/>
    </row>
    <row r="14" spans="1:42" x14ac:dyDescent="0.2">
      <c r="G14" s="351" t="s">
        <v>406</v>
      </c>
      <c r="H14" s="351" t="s">
        <v>406</v>
      </c>
      <c r="I14" s="226"/>
      <c r="J14" s="226"/>
      <c r="K14" s="226"/>
      <c r="L14" s="226"/>
      <c r="M14" s="226"/>
      <c r="N14" s="222" t="s">
        <v>5</v>
      </c>
      <c r="O14" s="222" t="s">
        <v>5</v>
      </c>
      <c r="P14" s="226"/>
      <c r="S14" s="3" t="s">
        <v>1</v>
      </c>
      <c r="T14" s="3" t="s">
        <v>1</v>
      </c>
      <c r="U14" s="3" t="s">
        <v>1</v>
      </c>
      <c r="W14" s="3" t="s">
        <v>1</v>
      </c>
      <c r="Y14" s="3" t="s">
        <v>1</v>
      </c>
      <c r="Z14" s="3"/>
      <c r="AB14" s="3" t="s">
        <v>9</v>
      </c>
      <c r="AC14" s="3" t="s">
        <v>9</v>
      </c>
      <c r="AD14" s="21" t="s">
        <v>9</v>
      </c>
      <c r="AE14" s="20"/>
      <c r="AF14" s="21" t="s">
        <v>9</v>
      </c>
      <c r="AG14" s="20"/>
      <c r="AH14" s="3" t="s">
        <v>1</v>
      </c>
      <c r="AI14" s="20"/>
      <c r="AK14" s="30"/>
      <c r="AM14" s="30"/>
      <c r="AN14" s="30"/>
    </row>
    <row r="15" spans="1:42" x14ac:dyDescent="0.2">
      <c r="C15" s="3" t="s">
        <v>27</v>
      </c>
      <c r="E15" s="3"/>
      <c r="F15" s="3"/>
      <c r="G15" s="222" t="s">
        <v>1</v>
      </c>
      <c r="H15" s="222" t="s">
        <v>75</v>
      </c>
      <c r="I15" s="222"/>
      <c r="J15" s="222"/>
      <c r="K15" s="372" t="s">
        <v>136</v>
      </c>
      <c r="L15" s="372"/>
      <c r="M15" s="373"/>
      <c r="N15" s="222" t="s">
        <v>1</v>
      </c>
      <c r="O15" s="222" t="s">
        <v>75</v>
      </c>
      <c r="P15" s="222"/>
      <c r="Q15" s="3"/>
      <c r="R15" s="3"/>
      <c r="S15" s="3" t="s">
        <v>2</v>
      </c>
      <c r="T15" s="3" t="s">
        <v>59</v>
      </c>
      <c r="U15" s="3" t="s">
        <v>28</v>
      </c>
      <c r="V15" s="3"/>
      <c r="W15" s="3" t="s">
        <v>5</v>
      </c>
      <c r="Y15" s="3" t="s">
        <v>77</v>
      </c>
      <c r="Z15" s="3"/>
      <c r="AB15" s="26" t="s">
        <v>58</v>
      </c>
      <c r="AC15" s="3" t="s">
        <v>59</v>
      </c>
      <c r="AD15" s="22" t="s">
        <v>18</v>
      </c>
      <c r="AE15" s="21"/>
      <c r="AF15" s="21" t="s">
        <v>5</v>
      </c>
      <c r="AG15" s="23"/>
      <c r="AH15" s="3" t="s">
        <v>77</v>
      </c>
      <c r="AI15" s="21" t="s">
        <v>6</v>
      </c>
      <c r="AJ15" s="3" t="s">
        <v>8</v>
      </c>
      <c r="AK15" s="48"/>
      <c r="AL15" s="48"/>
      <c r="AM15" s="47"/>
      <c r="AN15" s="47"/>
      <c r="AO15" s="47"/>
      <c r="AP15" s="47"/>
    </row>
    <row r="16" spans="1:42" x14ac:dyDescent="0.2">
      <c r="A16" s="3" t="s">
        <v>53</v>
      </c>
      <c r="C16" s="3" t="s">
        <v>24</v>
      </c>
      <c r="E16" s="3" t="s">
        <v>52</v>
      </c>
      <c r="F16" s="3"/>
      <c r="G16" s="222" t="s">
        <v>4</v>
      </c>
      <c r="H16" s="222" t="s">
        <v>4</v>
      </c>
      <c r="I16" s="222" t="s">
        <v>76</v>
      </c>
      <c r="J16" s="222" t="s">
        <v>76</v>
      </c>
      <c r="K16" s="222" t="s">
        <v>72</v>
      </c>
      <c r="L16" s="222" t="s">
        <v>74</v>
      </c>
      <c r="M16" s="222" t="s">
        <v>73</v>
      </c>
      <c r="N16" s="222" t="s">
        <v>4</v>
      </c>
      <c r="O16" s="222" t="s">
        <v>4</v>
      </c>
      <c r="P16" s="222" t="s">
        <v>76</v>
      </c>
      <c r="Q16" s="3"/>
      <c r="R16" s="3"/>
      <c r="S16" s="26" t="s">
        <v>3</v>
      </c>
      <c r="T16" s="3" t="s">
        <v>3</v>
      </c>
      <c r="U16" s="3" t="s">
        <v>60</v>
      </c>
      <c r="V16" s="3"/>
      <c r="W16" s="3" t="s">
        <v>4</v>
      </c>
      <c r="Y16" s="3" t="s">
        <v>3</v>
      </c>
      <c r="Z16" s="3"/>
      <c r="AB16" s="26" t="s">
        <v>3</v>
      </c>
      <c r="AC16" s="3" t="s">
        <v>3</v>
      </c>
      <c r="AD16" s="22" t="s">
        <v>57</v>
      </c>
      <c r="AE16" s="21"/>
      <c r="AF16" s="21" t="s">
        <v>4</v>
      </c>
      <c r="AG16" s="23"/>
      <c r="AH16" s="3" t="s">
        <v>3</v>
      </c>
      <c r="AI16" s="21" t="s">
        <v>7</v>
      </c>
      <c r="AJ16" s="3" t="s">
        <v>7</v>
      </c>
      <c r="AL16" s="30"/>
      <c r="AM16" s="30"/>
      <c r="AN16" s="30"/>
      <c r="AO16" s="30"/>
      <c r="AP16" s="30"/>
    </row>
    <row r="17" spans="1:41" x14ac:dyDescent="0.2">
      <c r="A17" s="3"/>
      <c r="C17" s="3"/>
      <c r="E17" s="3"/>
      <c r="F17" s="3"/>
      <c r="G17" s="222"/>
      <c r="H17" s="222"/>
      <c r="I17" s="222" t="s">
        <v>70</v>
      </c>
      <c r="J17" s="223" t="s">
        <v>71</v>
      </c>
      <c r="K17" s="224"/>
      <c r="L17" s="224"/>
      <c r="M17" s="225"/>
      <c r="N17" s="222" t="s">
        <v>70</v>
      </c>
      <c r="O17" s="222" t="s">
        <v>70</v>
      </c>
      <c r="P17" s="223" t="s">
        <v>71</v>
      </c>
      <c r="Q17" s="3"/>
      <c r="R17" s="3"/>
      <c r="S17" s="26"/>
      <c r="T17" s="43">
        <f>+INPUT!$G$6</f>
        <v>3.9260000000000003E-2</v>
      </c>
      <c r="U17" s="46">
        <f>+INPUT!$G$12</f>
        <v>13.95</v>
      </c>
      <c r="V17" s="45" t="s">
        <v>68</v>
      </c>
      <c r="W17" s="3"/>
      <c r="Y17" s="43"/>
      <c r="Z17" s="43"/>
      <c r="AB17" s="26"/>
      <c r="AC17" s="43">
        <f>+INPUT!$G$27</f>
        <v>3.9640000000000002E-2</v>
      </c>
      <c r="AD17" s="46">
        <f>INPUT!$G$33</f>
        <v>14.62</v>
      </c>
      <c r="AE17" s="45" t="s">
        <v>68</v>
      </c>
      <c r="AF17" s="21"/>
      <c r="AG17" s="23"/>
      <c r="AH17" s="43"/>
      <c r="AI17" s="21"/>
      <c r="AJ17" s="3"/>
      <c r="AM17" s="30"/>
      <c r="AN17" s="47"/>
      <c r="AO17" s="30"/>
    </row>
    <row r="18" spans="1:41" x14ac:dyDescent="0.2">
      <c r="A18" s="3"/>
      <c r="C18" s="3"/>
      <c r="E18" s="3"/>
      <c r="F18" s="3"/>
      <c r="G18" s="222"/>
      <c r="H18" s="222"/>
      <c r="I18" s="222" t="str">
        <f>("[ "&amp;H13&amp;" - "&amp;G13&amp;" ]")</f>
        <v>[ B - A ]</v>
      </c>
      <c r="J18" s="222" t="str">
        <f>("[ "&amp;I13&amp;" / "&amp;G13&amp;" ]")</f>
        <v>[ C / A ]</v>
      </c>
      <c r="K18" s="224"/>
      <c r="L18" s="224"/>
      <c r="M18" s="224"/>
      <c r="N18" s="222" t="str">
        <f>("["&amp;G13&amp;"+"&amp;$K$13&amp;"+"&amp;$L$13&amp;"+"&amp;$M$13&amp;"]")</f>
        <v>[A+E+F+G]</v>
      </c>
      <c r="O18" s="222" t="str">
        <f>("["&amp;H13&amp;"+"&amp;$K$13&amp;"+"&amp;$L$13&amp;"+"&amp;$M$13&amp;"]")</f>
        <v>[B+E+F+G]</v>
      </c>
      <c r="P18" s="222" t="str">
        <f>("[("&amp;O13&amp;" - "&amp;N13&amp;")/"&amp;N13&amp;"]")</f>
        <v>[(I - H)/H]</v>
      </c>
      <c r="Q18" s="3"/>
      <c r="R18" s="3"/>
      <c r="S18" s="26"/>
      <c r="T18" s="3" t="s">
        <v>14</v>
      </c>
      <c r="U18" s="46">
        <f>+INPUT!$G$13</f>
        <v>11.66</v>
      </c>
      <c r="V18" s="45" t="s">
        <v>69</v>
      </c>
      <c r="W18" s="3"/>
      <c r="Y18" s="3" t="s">
        <v>14</v>
      </c>
      <c r="Z18" s="3"/>
      <c r="AB18" s="26"/>
      <c r="AC18" s="3" t="s">
        <v>14</v>
      </c>
      <c r="AD18" s="46">
        <f>INPUT!$G$34</f>
        <v>12.33</v>
      </c>
      <c r="AE18" s="45" t="s">
        <v>69</v>
      </c>
      <c r="AF18" s="21"/>
      <c r="AG18" s="23"/>
      <c r="AH18" s="3"/>
      <c r="AI18" s="21"/>
      <c r="AJ18" s="3"/>
    </row>
    <row r="19" spans="1:41" x14ac:dyDescent="0.2">
      <c r="A19" s="3"/>
      <c r="E19" s="3"/>
      <c r="F19" s="3"/>
      <c r="G19" s="3"/>
      <c r="H19" s="3"/>
      <c r="I19" s="222"/>
      <c r="J19" s="222"/>
      <c r="K19" s="3"/>
      <c r="L19" s="3"/>
      <c r="M19" s="3"/>
      <c r="N19" s="222"/>
      <c r="O19" s="3"/>
      <c r="P19" s="222"/>
      <c r="Q19" s="3"/>
      <c r="R19" s="3"/>
      <c r="T19" s="3"/>
      <c r="U19" s="3"/>
      <c r="V19" s="3"/>
      <c r="W19" s="3"/>
      <c r="Y19" s="3"/>
      <c r="Z19" s="3"/>
      <c r="AC19" s="21"/>
      <c r="AD19" s="21"/>
      <c r="AE19" s="21"/>
      <c r="AF19" s="21"/>
      <c r="AG19" s="20"/>
      <c r="AH19" s="21"/>
      <c r="AI19" s="20"/>
    </row>
    <row r="20" spans="1:41" x14ac:dyDescent="0.2">
      <c r="A20" s="1">
        <v>50</v>
      </c>
      <c r="C20" s="13">
        <v>0.3</v>
      </c>
      <c r="E20" s="1">
        <f>C20*($A$20*730)</f>
        <v>10950</v>
      </c>
      <c r="G20" s="29">
        <f>+W20</f>
        <v>1230.607</v>
      </c>
      <c r="H20" s="29">
        <f>+AF20</f>
        <v>1298.268</v>
      </c>
      <c r="I20" s="29">
        <f>+H20-G20</f>
        <v>67.661000000000058</v>
      </c>
      <c r="J20" s="57">
        <f>ROUND(+I20/G20,4)</f>
        <v>5.5E-2</v>
      </c>
      <c r="K20" s="29">
        <f>ROUND($T$10*$E20,2)</f>
        <v>-2.5099999999999998</v>
      </c>
      <c r="L20" s="29">
        <f>ROUND($T$11*$E20,2)</f>
        <v>20.69</v>
      </c>
      <c r="M20" s="29">
        <f>ROUND($T$12*$E20,2)</f>
        <v>98.96</v>
      </c>
      <c r="N20" s="29">
        <f>+G20+K20+L20+M20</f>
        <v>1347.7470000000001</v>
      </c>
      <c r="O20" s="29">
        <f>+H20+K20+L20+M20</f>
        <v>1415.4080000000001</v>
      </c>
      <c r="P20" s="57">
        <f>(O20-N20)/N20</f>
        <v>5.0203042559174724E-2</v>
      </c>
      <c r="S20" s="7">
        <f>+INPUT!$G$4</f>
        <v>170</v>
      </c>
      <c r="T20" s="20">
        <f>$T$17*E20</f>
        <v>429.89700000000005</v>
      </c>
      <c r="U20" s="20">
        <f>ROUND((($A$20*$U$17*5)+($A$20*$U$18*7))/12,2)</f>
        <v>630.71</v>
      </c>
      <c r="V20" s="20"/>
      <c r="W20" s="20">
        <f>S20+T20+U20</f>
        <v>1230.607</v>
      </c>
      <c r="X20" s="20"/>
      <c r="Y20" s="20"/>
      <c r="Z20" s="20"/>
      <c r="AA20" s="20"/>
      <c r="AB20" s="7">
        <f>INPUT!$G$25</f>
        <v>200</v>
      </c>
      <c r="AC20" s="20">
        <f>$AC$17*E20</f>
        <v>434.05799999999999</v>
      </c>
      <c r="AD20" s="20">
        <f>ROUND((($A$20*$AD$17*5)+($A$20*$AD$18*7))/12,2)</f>
        <v>664.21</v>
      </c>
      <c r="AE20" s="20"/>
      <c r="AF20" s="20">
        <f>AB20+AC20+AD20</f>
        <v>1298.268</v>
      </c>
      <c r="AG20" s="20"/>
      <c r="AH20" s="20"/>
      <c r="AI20" s="19">
        <f>AF20-W20</f>
        <v>67.661000000000058</v>
      </c>
      <c r="AJ20" s="18">
        <f>AF20/W20-1</f>
        <v>5.4981809789802938E-2</v>
      </c>
    </row>
    <row r="21" spans="1:41" x14ac:dyDescent="0.2">
      <c r="A21" s="1"/>
      <c r="C21" s="13">
        <v>0.5</v>
      </c>
      <c r="E21" s="1">
        <f>C21*($A$20*730)</f>
        <v>18250</v>
      </c>
      <c r="G21" s="29">
        <f>+W21</f>
        <v>1517.2049999999999</v>
      </c>
      <c r="H21" s="29">
        <f>+AF21</f>
        <v>1587.64</v>
      </c>
      <c r="I21" s="29">
        <f>+H21-G21</f>
        <v>70.435000000000173</v>
      </c>
      <c r="J21" s="57">
        <f>ROUND(+I21/G21,4)</f>
        <v>4.6399999999999997E-2</v>
      </c>
      <c r="K21" s="29">
        <f>ROUND($T$10*$E21,2)</f>
        <v>-4.18</v>
      </c>
      <c r="L21" s="29">
        <f>ROUND($T$11*$E21,2)</f>
        <v>34.479999999999997</v>
      </c>
      <c r="M21" s="29">
        <f>ROUND($T$12*$E21,2)</f>
        <v>164.94</v>
      </c>
      <c r="N21" s="29">
        <f>+G21+K21+L21+M21</f>
        <v>1712.4449999999999</v>
      </c>
      <c r="O21" s="29">
        <f>+H21+K21+L21+M21</f>
        <v>1782.88</v>
      </c>
      <c r="P21" s="57">
        <f>(O21-N21)/N21</f>
        <v>4.1131248010885121E-2</v>
      </c>
      <c r="S21" s="7">
        <f>$S$20</f>
        <v>170</v>
      </c>
      <c r="T21" s="20">
        <f>$T$17*E21</f>
        <v>716.495</v>
      </c>
      <c r="U21" s="20">
        <f>ROUND((($A$20*$U$17*5)+($A$20*$U$18*7))/12,2)</f>
        <v>630.71</v>
      </c>
      <c r="V21" s="20"/>
      <c r="W21" s="20">
        <f>S21+T21+U21</f>
        <v>1517.2049999999999</v>
      </c>
      <c r="X21" s="20"/>
      <c r="Y21" s="20"/>
      <c r="Z21" s="20"/>
      <c r="AA21" s="20"/>
      <c r="AB21" s="7">
        <f>+$AB$20</f>
        <v>200</v>
      </c>
      <c r="AC21" s="20">
        <f>$AC$17*E21</f>
        <v>723.43000000000006</v>
      </c>
      <c r="AD21" s="20">
        <f>ROUND((($A$20*$AD$17*5)+($A$20*$AD$18*7))/12,2)</f>
        <v>664.21</v>
      </c>
      <c r="AE21" s="20"/>
      <c r="AF21" s="20">
        <f>AB21+AC21+AD21</f>
        <v>1587.64</v>
      </c>
      <c r="AG21" s="20"/>
      <c r="AH21" s="20"/>
      <c r="AI21" s="19">
        <f>AF21-W21</f>
        <v>70.435000000000173</v>
      </c>
      <c r="AJ21" s="18">
        <f>AF21/W21-1</f>
        <v>4.6424181307074708E-2</v>
      </c>
    </row>
    <row r="22" spans="1:41" x14ac:dyDescent="0.2">
      <c r="A22" s="1"/>
      <c r="C22" s="13">
        <v>0.7</v>
      </c>
      <c r="E22" s="1">
        <f>C22*($A$20*730)</f>
        <v>25550</v>
      </c>
      <c r="G22" s="29">
        <f>+W22</f>
        <v>1803.8030000000001</v>
      </c>
      <c r="H22" s="29">
        <f>+AF22</f>
        <v>1877.0120000000002</v>
      </c>
      <c r="I22" s="29">
        <f>+H22-G22</f>
        <v>73.20900000000006</v>
      </c>
      <c r="J22" s="57">
        <f>ROUND(+I22/G22,4)</f>
        <v>4.0599999999999997E-2</v>
      </c>
      <c r="K22" s="29">
        <f>ROUND($T$10*$E22,2)</f>
        <v>-5.85</v>
      </c>
      <c r="L22" s="29">
        <f>ROUND($T$11*$E22,2)</f>
        <v>48.28</v>
      </c>
      <c r="M22" s="29">
        <f>ROUND($T$12*$E22,2)</f>
        <v>230.91</v>
      </c>
      <c r="N22" s="29">
        <f>+G22+K22+L22+M22</f>
        <v>2077.143</v>
      </c>
      <c r="O22" s="29">
        <f>+H22+K22+L22+M22</f>
        <v>2150.3520000000003</v>
      </c>
      <c r="P22" s="57">
        <f>(O22-N22)/N22</f>
        <v>3.5245045719047886E-2</v>
      </c>
      <c r="S22" s="7">
        <f>$S$20</f>
        <v>170</v>
      </c>
      <c r="T22" s="20">
        <f>$T$17*E22</f>
        <v>1003.0930000000001</v>
      </c>
      <c r="U22" s="20">
        <f>ROUND((($A$20*$U$17*5)+($A$20*$U$18*7))/12,2)</f>
        <v>630.71</v>
      </c>
      <c r="V22" s="20"/>
      <c r="W22" s="20">
        <f>S22+T22+U22</f>
        <v>1803.8030000000001</v>
      </c>
      <c r="X22" s="20"/>
      <c r="Y22" s="20"/>
      <c r="Z22" s="20"/>
      <c r="AA22" s="20"/>
      <c r="AB22" s="7">
        <f>+$AB$20</f>
        <v>200</v>
      </c>
      <c r="AC22" s="20">
        <f>$AC$17*E22</f>
        <v>1012.802</v>
      </c>
      <c r="AD22" s="20">
        <f>ROUND((($A$20*$AD$17*5)+($A$20*$AD$18*7))/12,2)</f>
        <v>664.21</v>
      </c>
      <c r="AE22" s="20"/>
      <c r="AF22" s="20">
        <f>AB22+AC22+AD22</f>
        <v>1877.0120000000002</v>
      </c>
      <c r="AG22" s="20"/>
      <c r="AH22" s="20"/>
      <c r="AI22" s="19">
        <f>AF22-W22</f>
        <v>73.20900000000006</v>
      </c>
      <c r="AJ22" s="18">
        <f>AF22/W22-1</f>
        <v>4.0585917641782432E-2</v>
      </c>
    </row>
    <row r="23" spans="1:41" x14ac:dyDescent="0.2">
      <c r="A23" s="1"/>
      <c r="C23" s="13"/>
      <c r="E23" s="1"/>
      <c r="J23" s="5"/>
      <c r="P23" s="57"/>
      <c r="S23" s="7"/>
      <c r="T23" s="20"/>
      <c r="U23" s="20"/>
      <c r="V23" s="20"/>
      <c r="W23" s="20"/>
      <c r="X23" s="20"/>
      <c r="Y23" s="20"/>
      <c r="Z23" s="20"/>
      <c r="AA23" s="20"/>
      <c r="AB23" s="7"/>
      <c r="AC23" s="20"/>
      <c r="AD23" s="20"/>
      <c r="AE23" s="20"/>
      <c r="AF23" s="20"/>
      <c r="AG23" s="20"/>
      <c r="AH23" s="20"/>
      <c r="AI23" s="19"/>
      <c r="AJ23" s="18"/>
    </row>
    <row r="24" spans="1:41" x14ac:dyDescent="0.2">
      <c r="A24" s="1">
        <v>100</v>
      </c>
      <c r="C24" s="13">
        <v>0.3</v>
      </c>
      <c r="E24" s="1">
        <f>C24*($A$24*730)</f>
        <v>21900</v>
      </c>
      <c r="G24" s="29">
        <f>+W24</f>
        <v>2291.2139999999999</v>
      </c>
      <c r="H24" s="29">
        <f>+AF24</f>
        <v>2396.5360000000001</v>
      </c>
      <c r="I24" s="29">
        <f>+H24-G24</f>
        <v>105.32200000000012</v>
      </c>
      <c r="J24" s="57">
        <f>ROUND(+I24/G24,4)</f>
        <v>4.5999999999999999E-2</v>
      </c>
      <c r="K24" s="29">
        <f>ROUND($T$10*$E24,2)</f>
        <v>-5.01</v>
      </c>
      <c r="L24" s="29">
        <f>ROUND($T$11*$E24,2)</f>
        <v>41.38</v>
      </c>
      <c r="M24" s="29">
        <f>ROUND($T$12*$E24,2)</f>
        <v>197.93</v>
      </c>
      <c r="N24" s="29">
        <f>+G24+K24+L24+M24</f>
        <v>2525.5139999999997</v>
      </c>
      <c r="O24" s="29">
        <f>+H24+K24+L24+M24</f>
        <v>2630.8359999999998</v>
      </c>
      <c r="P24" s="57">
        <f>(O24-N24)/N24</f>
        <v>4.1703193884492479E-2</v>
      </c>
      <c r="S24" s="7">
        <f>$S$20</f>
        <v>170</v>
      </c>
      <c r="T24" s="20">
        <f>$T$17*E24</f>
        <v>859.7940000000001</v>
      </c>
      <c r="U24" s="20">
        <f>ROUND((($A$24*$U$17*5)+($A$24*$U$18*7))/12,2)</f>
        <v>1261.42</v>
      </c>
      <c r="V24" s="20"/>
      <c r="W24" s="20">
        <f>S24+T24+U24</f>
        <v>2291.2139999999999</v>
      </c>
      <c r="X24" s="20"/>
      <c r="Y24" s="20"/>
      <c r="Z24" s="20"/>
      <c r="AA24" s="20"/>
      <c r="AB24" s="7">
        <f>+$AB$20</f>
        <v>200</v>
      </c>
      <c r="AC24" s="20">
        <f>$AC$17*E24</f>
        <v>868.11599999999999</v>
      </c>
      <c r="AD24" s="20">
        <f>ROUND((($A$24*$AD$17*5)+($A$24*$AD$18*7))/12,2)</f>
        <v>1328.42</v>
      </c>
      <c r="AE24" s="20"/>
      <c r="AF24" s="20">
        <f>AB24+AC24+AD24</f>
        <v>2396.5360000000001</v>
      </c>
      <c r="AG24" s="24"/>
      <c r="AH24" s="20"/>
      <c r="AI24" s="19">
        <f>AF24-W24</f>
        <v>105.32200000000012</v>
      </c>
      <c r="AJ24" s="18">
        <f>AF24/W24-1</f>
        <v>4.5967770797489926E-2</v>
      </c>
    </row>
    <row r="25" spans="1:41" x14ac:dyDescent="0.2">
      <c r="A25" s="1"/>
      <c r="C25" s="13">
        <v>0.5</v>
      </c>
      <c r="E25" s="1">
        <f>C25*($A$24*730)</f>
        <v>36500</v>
      </c>
      <c r="G25" s="29">
        <f>+W25</f>
        <v>2864.41</v>
      </c>
      <c r="H25" s="29">
        <f>+AF25</f>
        <v>2975.28</v>
      </c>
      <c r="I25" s="29">
        <f>+H25-G25</f>
        <v>110.87000000000035</v>
      </c>
      <c r="J25" s="57">
        <f>ROUND(+I25/G25,4)</f>
        <v>3.8699999999999998E-2</v>
      </c>
      <c r="K25" s="29">
        <f>ROUND($T$10*$E25,2)</f>
        <v>-8.35</v>
      </c>
      <c r="L25" s="29">
        <f>ROUND($T$11*$E25,2)</f>
        <v>68.97</v>
      </c>
      <c r="M25" s="29">
        <f>ROUND($T$12*$E25,2)</f>
        <v>329.88</v>
      </c>
      <c r="N25" s="29">
        <f>+G25+K25+L25+M25</f>
        <v>3254.91</v>
      </c>
      <c r="O25" s="29">
        <f>+H25+K25+L25+M25</f>
        <v>3365.78</v>
      </c>
      <c r="P25" s="57">
        <f>(O25-N25)/N25</f>
        <v>3.4062385749529279E-2</v>
      </c>
      <c r="S25" s="7">
        <f>$S$20</f>
        <v>170</v>
      </c>
      <c r="T25" s="20">
        <f>$T$17*E25</f>
        <v>1432.99</v>
      </c>
      <c r="U25" s="20">
        <f>ROUND((($A$24*$U$17*5)+($A$24*$U$18*7))/12,2)</f>
        <v>1261.42</v>
      </c>
      <c r="V25" s="20"/>
      <c r="W25" s="20">
        <f>S25+T25+U25</f>
        <v>2864.41</v>
      </c>
      <c r="X25" s="20"/>
      <c r="Y25" s="20"/>
      <c r="Z25" s="20"/>
      <c r="AA25" s="20"/>
      <c r="AB25" s="7">
        <f>+$AB$20</f>
        <v>200</v>
      </c>
      <c r="AC25" s="20">
        <f>$AC$17*E25</f>
        <v>1446.8600000000001</v>
      </c>
      <c r="AD25" s="20">
        <f>ROUND((($A$24*$AD$17*5)+($A$24*$AD$18*7))/12,2)</f>
        <v>1328.42</v>
      </c>
      <c r="AE25" s="20"/>
      <c r="AF25" s="20">
        <f>AB25+AC25+AD25</f>
        <v>2975.28</v>
      </c>
      <c r="AG25" s="24"/>
      <c r="AH25" s="20"/>
      <c r="AI25" s="19">
        <f>AF25-W25</f>
        <v>110.87000000000035</v>
      </c>
      <c r="AJ25" s="18">
        <f>AF25/W25-1</f>
        <v>3.8706051158877486E-2</v>
      </c>
    </row>
    <row r="26" spans="1:41" x14ac:dyDescent="0.2">
      <c r="A26" s="1"/>
      <c r="C26" s="13">
        <v>0.7</v>
      </c>
      <c r="E26" s="1">
        <f>C26*($A$24*730)</f>
        <v>51100</v>
      </c>
      <c r="G26" s="29">
        <f>+W26</f>
        <v>3437.6060000000002</v>
      </c>
      <c r="H26" s="29">
        <f>+AF26</f>
        <v>3554.0240000000003</v>
      </c>
      <c r="I26" s="29">
        <f>+H26-G26</f>
        <v>116.41800000000012</v>
      </c>
      <c r="J26" s="57">
        <f>ROUND(+I26/G26,4)</f>
        <v>3.39E-2</v>
      </c>
      <c r="K26" s="29">
        <f>ROUND($T$10*$E26,2)</f>
        <v>-11.69</v>
      </c>
      <c r="L26" s="29">
        <f>ROUND($T$11*$E26,2)</f>
        <v>96.56</v>
      </c>
      <c r="M26" s="29">
        <f>ROUND($T$12*$E26,2)</f>
        <v>461.83</v>
      </c>
      <c r="N26" s="29">
        <f>+G26+K26+L26+M26</f>
        <v>3984.306</v>
      </c>
      <c r="O26" s="29">
        <f>+H26+K26+L26+M26</f>
        <v>4100.7240000000002</v>
      </c>
      <c r="P26" s="57">
        <f>(O26-N26)/N26</f>
        <v>2.9219141300894088E-2</v>
      </c>
      <c r="S26" s="7">
        <f>$S$20</f>
        <v>170</v>
      </c>
      <c r="T26" s="20">
        <f>$T$17*E26</f>
        <v>2006.1860000000001</v>
      </c>
      <c r="U26" s="20">
        <f>ROUND((($A$24*$U$17*5)+($A$24*$U$18*7))/12,2)</f>
        <v>1261.42</v>
      </c>
      <c r="V26" s="20"/>
      <c r="W26" s="20">
        <f>S26+T26+U26</f>
        <v>3437.6060000000002</v>
      </c>
      <c r="X26" s="20"/>
      <c r="Y26" s="20"/>
      <c r="Z26" s="20"/>
      <c r="AA26" s="20"/>
      <c r="AB26" s="7">
        <f>+$AB$20</f>
        <v>200</v>
      </c>
      <c r="AC26" s="20">
        <f>$AC$17*E26</f>
        <v>2025.604</v>
      </c>
      <c r="AD26" s="20">
        <f>ROUND((($A$24*$AD$17*5)+($A$24*$AD$18*7))/12,2)</f>
        <v>1328.42</v>
      </c>
      <c r="AE26" s="20"/>
      <c r="AF26" s="20">
        <f>AB26+AC26+AD26</f>
        <v>3554.0240000000003</v>
      </c>
      <c r="AG26" s="20"/>
      <c r="AH26" s="20"/>
      <c r="AI26" s="19">
        <f>AF26-W26</f>
        <v>116.41800000000012</v>
      </c>
      <c r="AJ26" s="18">
        <f>AF26/W26-1</f>
        <v>3.3866010240847899E-2</v>
      </c>
    </row>
    <row r="27" spans="1:41" x14ac:dyDescent="0.2">
      <c r="A27" s="1"/>
      <c r="C27" s="13"/>
      <c r="E27" s="1"/>
      <c r="J27" s="5"/>
      <c r="P27" s="57"/>
      <c r="S27" s="7"/>
      <c r="T27" s="20"/>
      <c r="U27" s="20"/>
      <c r="V27" s="20"/>
      <c r="W27" s="20"/>
      <c r="X27" s="20"/>
      <c r="Y27" s="20"/>
      <c r="Z27" s="20"/>
      <c r="AA27" s="20"/>
      <c r="AB27" s="7"/>
      <c r="AC27" s="20"/>
      <c r="AD27" s="20"/>
      <c r="AE27" s="20"/>
      <c r="AF27" s="20"/>
      <c r="AG27" s="20"/>
      <c r="AH27" s="20"/>
      <c r="AI27" s="19"/>
      <c r="AJ27" s="18"/>
    </row>
    <row r="28" spans="1:41" x14ac:dyDescent="0.2">
      <c r="A28" s="1">
        <v>250</v>
      </c>
      <c r="C28" s="13">
        <v>0.3</v>
      </c>
      <c r="E28" s="1">
        <f>C28*($A$28*730)</f>
        <v>54750</v>
      </c>
      <c r="G28" s="29">
        <f>+W28</f>
        <v>5473.0249999999996</v>
      </c>
      <c r="H28" s="29">
        <f>+AF28</f>
        <v>5691.33</v>
      </c>
      <c r="I28" s="29">
        <f>+H28-G28</f>
        <v>218.30500000000029</v>
      </c>
      <c r="J28" s="57">
        <f>ROUND(+I28/G28,4)</f>
        <v>3.9899999999999998E-2</v>
      </c>
      <c r="K28" s="29">
        <f>ROUND($T$10*$E28,2)</f>
        <v>-12.53</v>
      </c>
      <c r="L28" s="29">
        <f>ROUND($T$11*$E28,2)</f>
        <v>103.45</v>
      </c>
      <c r="M28" s="29">
        <f>ROUND($T$12*$E28,2)</f>
        <v>494.81</v>
      </c>
      <c r="N28" s="29">
        <f>+G28+K28+L28+M28</f>
        <v>6058.7550000000001</v>
      </c>
      <c r="O28" s="29">
        <f>+H28+K28+L28+M28</f>
        <v>6277.06</v>
      </c>
      <c r="P28" s="57">
        <f>(O28-N28)/N28</f>
        <v>3.6031329868925266E-2</v>
      </c>
      <c r="S28" s="7">
        <f>$S$20</f>
        <v>170</v>
      </c>
      <c r="T28" s="20">
        <f>$T$17*E28</f>
        <v>2149.4850000000001</v>
      </c>
      <c r="U28" s="20">
        <f>ROUND((($A$28*$U$17*5)+($A$28*$U$18*7))/12,2)</f>
        <v>3153.54</v>
      </c>
      <c r="V28" s="20"/>
      <c r="W28" s="20">
        <f>S28+T28+U28</f>
        <v>5473.0249999999996</v>
      </c>
      <c r="X28" s="20"/>
      <c r="Y28" s="20"/>
      <c r="Z28" s="20"/>
      <c r="AA28" s="20"/>
      <c r="AB28" s="7">
        <f>+$AB$20</f>
        <v>200</v>
      </c>
      <c r="AC28" s="20">
        <f>$AC$17*E28</f>
        <v>2170.29</v>
      </c>
      <c r="AD28" s="20">
        <f>ROUND((($A$28*$AD$17*5)+($A$28*$AD$18*7))/12,2)</f>
        <v>3321.04</v>
      </c>
      <c r="AE28" s="20"/>
      <c r="AF28" s="20">
        <f>AB28+AC28+AD28</f>
        <v>5691.33</v>
      </c>
      <c r="AG28" s="20"/>
      <c r="AH28" s="20"/>
      <c r="AI28" s="19">
        <f>AF28-W28</f>
        <v>218.30500000000029</v>
      </c>
      <c r="AJ28" s="18">
        <f>AF28/W28-1</f>
        <v>3.9887447983519175E-2</v>
      </c>
    </row>
    <row r="29" spans="1:41" x14ac:dyDescent="0.2">
      <c r="A29" s="1"/>
      <c r="C29" s="13">
        <v>0.5</v>
      </c>
      <c r="E29" s="1">
        <f>C29*($A$28*730)</f>
        <v>91250</v>
      </c>
      <c r="G29" s="29">
        <f>+W29</f>
        <v>6906.0150000000003</v>
      </c>
      <c r="H29" s="29">
        <f>+AF29</f>
        <v>7138.1900000000005</v>
      </c>
      <c r="I29" s="29">
        <f>+H29-G29</f>
        <v>232.17500000000018</v>
      </c>
      <c r="J29" s="57">
        <f>ROUND(+I29/G29,4)</f>
        <v>3.3599999999999998E-2</v>
      </c>
      <c r="K29" s="29">
        <f>ROUND($T$10*$E29,2)</f>
        <v>-20.88</v>
      </c>
      <c r="L29" s="29">
        <f>ROUND($T$11*$E29,2)</f>
        <v>172.42</v>
      </c>
      <c r="M29" s="29">
        <f>ROUND($T$12*$E29,2)</f>
        <v>824.69</v>
      </c>
      <c r="N29" s="29">
        <f>+G29+K29+L29+M29</f>
        <v>7882.2450000000008</v>
      </c>
      <c r="O29" s="29">
        <f>+H29+K29+L29+M29</f>
        <v>8114.42</v>
      </c>
      <c r="P29" s="57">
        <f>(O29-N29)/N29</f>
        <v>2.945544067711664E-2</v>
      </c>
      <c r="S29" s="7">
        <f>$S$20</f>
        <v>170</v>
      </c>
      <c r="T29" s="20">
        <f>$T$17*E29</f>
        <v>3582.4750000000004</v>
      </c>
      <c r="U29" s="20">
        <f>ROUND((($A$28*$U$17*5)+($A$28*$U$18*7))/12,2)</f>
        <v>3153.54</v>
      </c>
      <c r="V29" s="20"/>
      <c r="W29" s="20">
        <f>S29+T29+U29</f>
        <v>6906.0150000000003</v>
      </c>
      <c r="X29" s="20"/>
      <c r="Y29" s="20"/>
      <c r="Z29" s="20"/>
      <c r="AA29" s="20"/>
      <c r="AB29" s="7">
        <f>+$AB$20</f>
        <v>200</v>
      </c>
      <c r="AC29" s="20">
        <f>$AC$17*E29</f>
        <v>3617.15</v>
      </c>
      <c r="AD29" s="20">
        <f>ROUND((($A$28*$AD$17*5)+($A$28*$AD$18*7))/12,2)</f>
        <v>3321.04</v>
      </c>
      <c r="AE29" s="20"/>
      <c r="AF29" s="20">
        <f>AB29+AC29+AD29</f>
        <v>7138.1900000000005</v>
      </c>
      <c r="AG29" s="20"/>
      <c r="AH29" s="20"/>
      <c r="AI29" s="19">
        <f>AF29-W29</f>
        <v>232.17500000000018</v>
      </c>
      <c r="AJ29" s="18">
        <f>AF29/W29-1</f>
        <v>3.3619243514530384E-2</v>
      </c>
    </row>
    <row r="30" spans="1:41" x14ac:dyDescent="0.2">
      <c r="A30" s="1"/>
      <c r="C30" s="13">
        <v>0.7</v>
      </c>
      <c r="E30" s="1">
        <f>C30*($A$28*730)</f>
        <v>127749.99999999999</v>
      </c>
      <c r="G30" s="29">
        <f>+W30</f>
        <v>8339.005000000001</v>
      </c>
      <c r="H30" s="29">
        <f>+AF30</f>
        <v>8585.0499999999993</v>
      </c>
      <c r="I30" s="29">
        <f>+H30-G30</f>
        <v>246.04499999999825</v>
      </c>
      <c r="J30" s="57">
        <f>ROUND(+I30/G30,4)</f>
        <v>2.9499999999999998E-2</v>
      </c>
      <c r="K30" s="29">
        <f>ROUND($T$10*$E30,2)</f>
        <v>-29.23</v>
      </c>
      <c r="L30" s="29">
        <f>ROUND($T$11*$E30,2)</f>
        <v>241.39</v>
      </c>
      <c r="M30" s="29">
        <f>ROUND($T$12*$E30,2)</f>
        <v>1154.56</v>
      </c>
      <c r="N30" s="29">
        <f>+G30+K30+L30+M30</f>
        <v>9705.7250000000004</v>
      </c>
      <c r="O30" s="29">
        <f>+H30+K30+L30+M30</f>
        <v>9951.7699999999986</v>
      </c>
      <c r="P30" s="57">
        <f>(O30-N30)/N30</f>
        <v>2.5350501894500228E-2</v>
      </c>
      <c r="S30" s="7">
        <f>$S$20</f>
        <v>170</v>
      </c>
      <c r="T30" s="20">
        <f>$T$17*E30</f>
        <v>5015.4650000000001</v>
      </c>
      <c r="U30" s="20">
        <f>ROUND((($A$28*$U$17*5)+($A$28*$U$18*7))/12,2)</f>
        <v>3153.54</v>
      </c>
      <c r="V30" s="20"/>
      <c r="W30" s="20">
        <f>S30+T30+U30</f>
        <v>8339.005000000001</v>
      </c>
      <c r="X30" s="20"/>
      <c r="Y30" s="20"/>
      <c r="Z30" s="20"/>
      <c r="AA30" s="20"/>
      <c r="AB30" s="7">
        <f>+$AB$20</f>
        <v>200</v>
      </c>
      <c r="AC30" s="20">
        <f>$AC$17*E30</f>
        <v>5064.0099999999993</v>
      </c>
      <c r="AD30" s="20">
        <f>ROUND((($A$28*$AD$17*5)+($A$28*$AD$18*7))/12,2)</f>
        <v>3321.04</v>
      </c>
      <c r="AE30" s="20"/>
      <c r="AF30" s="20">
        <f>AB30+AC30+AD30</f>
        <v>8585.0499999999993</v>
      </c>
      <c r="AG30" s="20"/>
      <c r="AH30" s="20"/>
      <c r="AI30" s="19">
        <f>AF30-W30</f>
        <v>246.04499999999825</v>
      </c>
      <c r="AJ30" s="18">
        <f>AF30/W30-1</f>
        <v>2.9505318680106196E-2</v>
      </c>
    </row>
    <row r="31" spans="1:41" x14ac:dyDescent="0.2">
      <c r="A31" s="1"/>
      <c r="C31" s="13"/>
      <c r="E31" s="1"/>
      <c r="J31" s="5"/>
      <c r="P31" s="57"/>
      <c r="S31" s="7"/>
      <c r="T31" s="20"/>
      <c r="U31" s="20"/>
      <c r="V31" s="20"/>
      <c r="W31" s="20"/>
      <c r="X31" s="20"/>
      <c r="Y31" s="20"/>
      <c r="Z31" s="20"/>
      <c r="AA31" s="20"/>
      <c r="AB31" s="7"/>
      <c r="AC31" s="20"/>
      <c r="AD31" s="20"/>
      <c r="AE31" s="20"/>
      <c r="AF31" s="20"/>
      <c r="AG31" s="20"/>
      <c r="AH31" s="20"/>
      <c r="AI31" s="19"/>
      <c r="AJ31" s="18"/>
    </row>
    <row r="32" spans="1:41" x14ac:dyDescent="0.2">
      <c r="A32" s="1">
        <v>500</v>
      </c>
      <c r="C32" s="13">
        <v>0.3</v>
      </c>
      <c r="E32" s="1">
        <f>C32*($A$32*730)</f>
        <v>109500</v>
      </c>
      <c r="G32" s="29">
        <f>+W32</f>
        <v>10776.05</v>
      </c>
      <c r="H32" s="29">
        <f>+AF32</f>
        <v>11182.66</v>
      </c>
      <c r="I32" s="29">
        <f>+H32-G32</f>
        <v>406.61000000000058</v>
      </c>
      <c r="J32" s="57">
        <f>ROUND(+I32/G32,4)</f>
        <v>3.7699999999999997E-2</v>
      </c>
      <c r="K32" s="29">
        <f>ROUND($T$10*$E32,2)</f>
        <v>-25.05</v>
      </c>
      <c r="L32" s="29">
        <f>ROUND($T$11*$E32,2)</f>
        <v>206.91</v>
      </c>
      <c r="M32" s="29">
        <f>ROUND($T$12*$E32,2)</f>
        <v>989.63</v>
      </c>
      <c r="N32" s="29">
        <f>+G32+K32+L32+M32</f>
        <v>11947.539999999999</v>
      </c>
      <c r="O32" s="29">
        <f>+H32+K32+L32+M32</f>
        <v>12354.15</v>
      </c>
      <c r="P32" s="57">
        <f>(O32-N32)/N32</f>
        <v>3.4032947368244894E-2</v>
      </c>
      <c r="S32" s="7">
        <f>$S$20</f>
        <v>170</v>
      </c>
      <c r="T32" s="20">
        <f>$T$17*E32</f>
        <v>4298.97</v>
      </c>
      <c r="U32" s="20">
        <f>ROUND((($A$32*$U$17*5)+($A$32*$U$18*7))/12,2)</f>
        <v>6307.08</v>
      </c>
      <c r="V32" s="20"/>
      <c r="W32" s="20">
        <f>S32+T32+U32</f>
        <v>10776.05</v>
      </c>
      <c r="X32" s="20"/>
      <c r="Y32" s="20"/>
      <c r="Z32" s="20"/>
      <c r="AA32" s="20"/>
      <c r="AB32" s="7">
        <f>+$AB$20</f>
        <v>200</v>
      </c>
      <c r="AC32" s="20">
        <f>$AC$17*E32</f>
        <v>4340.58</v>
      </c>
      <c r="AD32" s="20">
        <f>ROUND((($A$32*$AD$17*5)+($A$32*$AD$18*7))/12,2)</f>
        <v>6642.08</v>
      </c>
      <c r="AE32" s="20"/>
      <c r="AF32" s="20">
        <f>AB32+AC32+AD32</f>
        <v>11182.66</v>
      </c>
      <c r="AG32" s="20"/>
      <c r="AH32" s="20"/>
      <c r="AI32" s="19">
        <f>AF32-W32</f>
        <v>406.61000000000058</v>
      </c>
      <c r="AJ32" s="18">
        <f>AF32/W32-1</f>
        <v>3.7732749940841082E-2</v>
      </c>
    </row>
    <row r="33" spans="1:36" x14ac:dyDescent="0.2">
      <c r="A33" s="1"/>
      <c r="C33" s="13">
        <v>0.5</v>
      </c>
      <c r="E33" s="1">
        <f>C33*($A$32*730)</f>
        <v>182500</v>
      </c>
      <c r="G33" s="29">
        <f>+W33</f>
        <v>13642.03</v>
      </c>
      <c r="H33" s="29">
        <f>+AF33</f>
        <v>14076.380000000001</v>
      </c>
      <c r="I33" s="29">
        <f>+H33-G33</f>
        <v>434.35000000000036</v>
      </c>
      <c r="J33" s="57">
        <f>ROUND(+I33/G33,4)</f>
        <v>3.1800000000000002E-2</v>
      </c>
      <c r="K33" s="29">
        <f>ROUND($T$10*$E33,2)</f>
        <v>-41.75</v>
      </c>
      <c r="L33" s="29">
        <f>ROUND($T$11*$E33,2)</f>
        <v>344.85</v>
      </c>
      <c r="M33" s="29">
        <f>ROUND($T$12*$E33,2)</f>
        <v>1649.38</v>
      </c>
      <c r="N33" s="29">
        <f>+G33+K33+L33+M33</f>
        <v>15594.510000000002</v>
      </c>
      <c r="O33" s="29">
        <f>+H33+K33+L33+M33</f>
        <v>16028.86</v>
      </c>
      <c r="P33" s="57">
        <f>(O33-N33)/N33</f>
        <v>2.7852750743691111E-2</v>
      </c>
      <c r="S33" s="7">
        <f>$S$20</f>
        <v>170</v>
      </c>
      <c r="T33" s="20">
        <f>$T$17*E33</f>
        <v>7164.9500000000007</v>
      </c>
      <c r="U33" s="20">
        <f>ROUND((($A$32*$U$17*5)+($A$32*$U$18*7))/12,2)</f>
        <v>6307.08</v>
      </c>
      <c r="V33" s="20"/>
      <c r="W33" s="20">
        <f>S33+T33+U33</f>
        <v>13642.03</v>
      </c>
      <c r="X33" s="20"/>
      <c r="Y33" s="20"/>
      <c r="Z33" s="20"/>
      <c r="AA33" s="20"/>
      <c r="AB33" s="7">
        <f>+$AB$20</f>
        <v>200</v>
      </c>
      <c r="AC33" s="20">
        <f>$AC$17*E33</f>
        <v>7234.3</v>
      </c>
      <c r="AD33" s="20">
        <f>ROUND((($A$32*$AD$17*5)+($A$32*$AD$18*7))/12,2)</f>
        <v>6642.08</v>
      </c>
      <c r="AE33" s="20"/>
      <c r="AF33" s="20">
        <f>AB33+AC33+AD33</f>
        <v>14076.380000000001</v>
      </c>
      <c r="AG33" s="20"/>
      <c r="AH33" s="20"/>
      <c r="AI33" s="19">
        <f>AF33-W33</f>
        <v>434.35000000000036</v>
      </c>
      <c r="AJ33" s="18">
        <f>AF33/W33-1</f>
        <v>3.1839103124681634E-2</v>
      </c>
    </row>
    <row r="34" spans="1:36" x14ac:dyDescent="0.2">
      <c r="A34" s="1"/>
      <c r="C34" s="13">
        <v>0.7</v>
      </c>
      <c r="E34" s="1">
        <f>C34*($A$32*730)</f>
        <v>255499.99999999997</v>
      </c>
      <c r="G34" s="29">
        <f>+W34</f>
        <v>16508.010000000002</v>
      </c>
      <c r="H34" s="29">
        <f>+AF34</f>
        <v>16970.099999999999</v>
      </c>
      <c r="I34" s="29">
        <f>+H34-G34</f>
        <v>462.08999999999651</v>
      </c>
      <c r="J34" s="57">
        <f>ROUND(+I34/G34,4)</f>
        <v>2.8000000000000001E-2</v>
      </c>
      <c r="K34" s="29">
        <f>ROUND($T$10*$E34,2)</f>
        <v>-58.46</v>
      </c>
      <c r="L34" s="29">
        <f>ROUND($T$11*$E34,2)</f>
        <v>482.78</v>
      </c>
      <c r="M34" s="29">
        <f>ROUND($T$12*$E34,2)</f>
        <v>2309.13</v>
      </c>
      <c r="N34" s="29">
        <f>+G34+K34+L34+M34</f>
        <v>19241.460000000003</v>
      </c>
      <c r="O34" s="29">
        <f>+H34+K34+L34+M34</f>
        <v>19703.55</v>
      </c>
      <c r="P34" s="57">
        <f>(O34-N34)/N34</f>
        <v>2.4015329398080834E-2</v>
      </c>
      <c r="S34" s="7">
        <f>$S$20</f>
        <v>170</v>
      </c>
      <c r="T34" s="20">
        <f>$T$17*E34</f>
        <v>10030.93</v>
      </c>
      <c r="U34" s="20">
        <f>ROUND((($A$32*$U$17*5)+($A$32*$U$18*7))/12,2)</f>
        <v>6307.08</v>
      </c>
      <c r="V34" s="20"/>
      <c r="W34" s="20">
        <f>S34+T34+U34</f>
        <v>16508.010000000002</v>
      </c>
      <c r="X34" s="20"/>
      <c r="Y34" s="20"/>
      <c r="Z34" s="20"/>
      <c r="AA34" s="20"/>
      <c r="AB34" s="7">
        <f>+$AB$20</f>
        <v>200</v>
      </c>
      <c r="AC34" s="20">
        <f>$AC$17*E34</f>
        <v>10128.019999999999</v>
      </c>
      <c r="AD34" s="20">
        <f>ROUND((($A$32*$AD$17*5)+($A$32*$AD$18*7))/12,2)</f>
        <v>6642.08</v>
      </c>
      <c r="AE34" s="20"/>
      <c r="AF34" s="20">
        <f>AB34+AC34+AD34</f>
        <v>16970.099999999999</v>
      </c>
      <c r="AG34" s="20"/>
      <c r="AH34" s="20"/>
      <c r="AI34" s="19">
        <f>AF34-W34</f>
        <v>462.08999999999651</v>
      </c>
      <c r="AJ34" s="18">
        <f>AF34/W34-1</f>
        <v>2.7991865766981983E-2</v>
      </c>
    </row>
    <row r="35" spans="1:36" x14ac:dyDescent="0.2">
      <c r="A35" s="1"/>
      <c r="C35" s="13"/>
      <c r="E35" s="1"/>
      <c r="J35" s="5"/>
      <c r="P35" s="57"/>
      <c r="S35" s="7"/>
      <c r="T35" s="20"/>
      <c r="U35" s="20"/>
      <c r="V35" s="20"/>
      <c r="W35" s="20"/>
      <c r="X35" s="20"/>
      <c r="Y35" s="20"/>
      <c r="Z35" s="20"/>
      <c r="AA35" s="20"/>
      <c r="AB35" s="7"/>
      <c r="AC35" s="20"/>
      <c r="AD35" s="20"/>
      <c r="AE35" s="20"/>
      <c r="AF35" s="20"/>
      <c r="AG35" s="20"/>
      <c r="AH35" s="20"/>
      <c r="AI35" s="19"/>
      <c r="AJ35" s="18"/>
    </row>
    <row r="36" spans="1:36" x14ac:dyDescent="0.2">
      <c r="A36" s="1">
        <v>1000</v>
      </c>
      <c r="C36" s="13">
        <v>0.3</v>
      </c>
      <c r="E36" s="1">
        <f>C36*($A$36*730)</f>
        <v>219000</v>
      </c>
      <c r="G36" s="29">
        <f>+W36</f>
        <v>21382.11</v>
      </c>
      <c r="H36" s="29">
        <f>+AF36</f>
        <v>22165.33</v>
      </c>
      <c r="I36" s="29">
        <f>+H36-G36</f>
        <v>783.22000000000116</v>
      </c>
      <c r="J36" s="57">
        <f>ROUND(+I36/G36,4)</f>
        <v>3.6600000000000001E-2</v>
      </c>
      <c r="K36" s="29">
        <f>ROUND($T$10*$E36,2)</f>
        <v>-50.11</v>
      </c>
      <c r="L36" s="29">
        <f>ROUND($T$11*$E36,2)</f>
        <v>413.82</v>
      </c>
      <c r="M36" s="29">
        <f>ROUND($T$12*$E36,2)</f>
        <v>1979.25</v>
      </c>
      <c r="N36" s="29">
        <f>+G36+K36+L36+M36</f>
        <v>23725.07</v>
      </c>
      <c r="O36" s="29">
        <f>+H36+K36+L36+M36</f>
        <v>24508.29</v>
      </c>
      <c r="P36" s="57">
        <f>(O36-N36)/N36</f>
        <v>3.3012336739154033E-2</v>
      </c>
      <c r="S36" s="7">
        <f>$S$20</f>
        <v>170</v>
      </c>
      <c r="T36" s="20">
        <f>$T$17*E36</f>
        <v>8597.94</v>
      </c>
      <c r="U36" s="20">
        <f>ROUND((($A$36*$U$17*5)+($A$36*$U$18*7))/12,2)</f>
        <v>12614.17</v>
      </c>
      <c r="V36" s="20"/>
      <c r="W36" s="20">
        <f>S36+T36+U36</f>
        <v>21382.11</v>
      </c>
      <c r="X36" s="20"/>
      <c r="Y36" s="20"/>
      <c r="Z36" s="20"/>
      <c r="AA36" s="20"/>
      <c r="AB36" s="7">
        <f>+$AB$20</f>
        <v>200</v>
      </c>
      <c r="AC36" s="20">
        <f>$AC$17*E36</f>
        <v>8681.16</v>
      </c>
      <c r="AD36" s="20">
        <f>ROUND((($A$36*$AD$17*5)+($A$36*$AD$18*7))/12,2)</f>
        <v>13284.17</v>
      </c>
      <c r="AE36" s="20"/>
      <c r="AF36" s="20">
        <f>AB36+AC36+AD36</f>
        <v>22165.33</v>
      </c>
      <c r="AG36" s="20"/>
      <c r="AH36" s="20"/>
      <c r="AI36" s="19">
        <f>AF36-W36</f>
        <v>783.22000000000116</v>
      </c>
      <c r="AJ36" s="18">
        <f>AF36/W36-1</f>
        <v>3.6629687154354773E-2</v>
      </c>
    </row>
    <row r="37" spans="1:36" x14ac:dyDescent="0.2">
      <c r="A37" s="1"/>
      <c r="C37" s="13">
        <v>0.5</v>
      </c>
      <c r="E37" s="1">
        <f>C37*($A$36*730)</f>
        <v>365000</v>
      </c>
      <c r="G37" s="29">
        <f>+W37</f>
        <v>27114.07</v>
      </c>
      <c r="H37" s="29">
        <f>+AF37</f>
        <v>27952.77</v>
      </c>
      <c r="I37" s="29">
        <f>+H37-G37</f>
        <v>838.70000000000073</v>
      </c>
      <c r="J37" s="57">
        <f>ROUND(+I37/G37,4)</f>
        <v>3.09E-2</v>
      </c>
      <c r="K37" s="29">
        <f>ROUND($T$10*$E37,2)</f>
        <v>-83.51</v>
      </c>
      <c r="L37" s="29">
        <f>ROUND($T$11*$E37,2)</f>
        <v>689.69</v>
      </c>
      <c r="M37" s="29">
        <f>ROUND($T$12*$E37,2)</f>
        <v>3298.75</v>
      </c>
      <c r="N37" s="29">
        <f>+G37+K37+L37+M37</f>
        <v>31019</v>
      </c>
      <c r="O37" s="29">
        <f>+H37+K37+L37+M37</f>
        <v>31857.7</v>
      </c>
      <c r="P37" s="57">
        <f>(O37-N37)/N37</f>
        <v>2.7038266868693404E-2</v>
      </c>
      <c r="S37" s="7">
        <f>$S$20</f>
        <v>170</v>
      </c>
      <c r="T37" s="20">
        <f>$T$17*E37</f>
        <v>14329.900000000001</v>
      </c>
      <c r="U37" s="20">
        <f>ROUND((($A$36*$U$17*5)+($A$36*$U$18*7))/12,2)</f>
        <v>12614.17</v>
      </c>
      <c r="V37" s="20"/>
      <c r="W37" s="20">
        <f>S37+T37+U37</f>
        <v>27114.07</v>
      </c>
      <c r="X37" s="20"/>
      <c r="Y37" s="20"/>
      <c r="Z37" s="20"/>
      <c r="AA37" s="20"/>
      <c r="AB37" s="7">
        <f>+$AB$20</f>
        <v>200</v>
      </c>
      <c r="AC37" s="20">
        <f>$AC$17*E37</f>
        <v>14468.6</v>
      </c>
      <c r="AD37" s="20">
        <f>ROUND((($A$36*$AD$17*5)+($A$36*$AD$18*7))/12,2)</f>
        <v>13284.17</v>
      </c>
      <c r="AE37" s="20"/>
      <c r="AF37" s="20">
        <f>AB37+AC37+AD37</f>
        <v>27952.77</v>
      </c>
      <c r="AG37" s="20"/>
      <c r="AH37" s="20"/>
      <c r="AI37" s="19">
        <f>AF37-W37</f>
        <v>838.70000000000073</v>
      </c>
      <c r="AJ37" s="18">
        <f>AF37/W37-1</f>
        <v>3.0932279808969954E-2</v>
      </c>
    </row>
    <row r="38" spans="1:36" x14ac:dyDescent="0.2">
      <c r="A38" s="1"/>
      <c r="C38" s="13">
        <v>0.7</v>
      </c>
      <c r="E38" s="1">
        <f>C38*($A$36*730)</f>
        <v>510999.99999999994</v>
      </c>
      <c r="G38" s="29">
        <f>+W38</f>
        <v>32846.03</v>
      </c>
      <c r="H38" s="29">
        <f>+AF38</f>
        <v>33740.21</v>
      </c>
      <c r="I38" s="29">
        <f>+H38-G38</f>
        <v>894.18000000000029</v>
      </c>
      <c r="J38" s="57">
        <f>ROUND(+I38/G38,4)</f>
        <v>2.7199999999999998E-2</v>
      </c>
      <c r="K38" s="29">
        <f>ROUND($T$10*$E38,2)</f>
        <v>-116.91</v>
      </c>
      <c r="L38" s="29">
        <f>ROUND($T$11*$E38,2)</f>
        <v>965.57</v>
      </c>
      <c r="M38" s="29">
        <f>ROUND($T$12*$E38,2)</f>
        <v>4618.25</v>
      </c>
      <c r="N38" s="29">
        <f>+G38+K38+L38+M38</f>
        <v>38312.94</v>
      </c>
      <c r="O38" s="29">
        <f>+H38+K38+L38+M38</f>
        <v>39207.119999999995</v>
      </c>
      <c r="P38" s="57">
        <f>(O38-N38)/N38</f>
        <v>2.3338851051367841E-2</v>
      </c>
      <c r="S38" s="7">
        <f>$S$20</f>
        <v>170</v>
      </c>
      <c r="T38" s="20">
        <f>$T$17*E38</f>
        <v>20061.86</v>
      </c>
      <c r="U38" s="20">
        <f>ROUND((($A$36*$U$17*5)+($A$36*$U$18*7))/12,2)</f>
        <v>12614.17</v>
      </c>
      <c r="V38" s="20"/>
      <c r="W38" s="20">
        <f>S38+T38+U38</f>
        <v>32846.03</v>
      </c>
      <c r="X38" s="20"/>
      <c r="Y38" s="20"/>
      <c r="Z38" s="20"/>
      <c r="AA38" s="20"/>
      <c r="AB38" s="7">
        <f>+$AB$20</f>
        <v>200</v>
      </c>
      <c r="AC38" s="20">
        <f>$AC$17*E38</f>
        <v>20256.039999999997</v>
      </c>
      <c r="AD38" s="20">
        <f>ROUND((($A$36*$AD$17*5)+($A$36*$AD$18*7))/12,2)</f>
        <v>13284.17</v>
      </c>
      <c r="AE38" s="20"/>
      <c r="AF38" s="20">
        <f>AB38+AC38+AD38</f>
        <v>33740.21</v>
      </c>
      <c r="AG38" s="20"/>
      <c r="AH38" s="20"/>
      <c r="AI38" s="19">
        <f>AF38-W38</f>
        <v>894.18000000000029</v>
      </c>
      <c r="AJ38" s="18">
        <f>AF38/W38-1</f>
        <v>2.722338133406077E-2</v>
      </c>
    </row>
    <row r="39" spans="1:36" x14ac:dyDescent="0.2">
      <c r="E39" s="1"/>
      <c r="L39" s="29"/>
      <c r="T39" s="20"/>
      <c r="U39" s="20"/>
      <c r="V39" s="20"/>
      <c r="W39" s="20"/>
      <c r="X39" s="20"/>
      <c r="Y39" s="20"/>
      <c r="Z39" s="20"/>
      <c r="AA39" s="20"/>
    </row>
    <row r="40" spans="1:36" x14ac:dyDescent="0.2">
      <c r="A40" s="17" t="s">
        <v>373</v>
      </c>
      <c r="T40" s="20"/>
      <c r="U40" s="20"/>
      <c r="V40" s="20"/>
      <c r="W40" s="20"/>
      <c r="X40" s="20"/>
      <c r="Y40" s="20"/>
      <c r="Z40" s="20"/>
      <c r="AA40" s="20"/>
    </row>
    <row r="41" spans="1:36" x14ac:dyDescent="0.2">
      <c r="A41" s="228" t="str">
        <f>("Average usage = "&amp;TEXT(INPUT!G19*1,"0,000")&amp;" kWh per month")</f>
        <v>Average usage = 186,014 kWh per month</v>
      </c>
      <c r="E41" s="1"/>
      <c r="S41" s="7"/>
      <c r="T41" s="20"/>
      <c r="U41" s="12"/>
      <c r="W41" s="12"/>
      <c r="AA41" s="6"/>
      <c r="AC41" s="9"/>
    </row>
    <row r="42" spans="1:36" x14ac:dyDescent="0.2">
      <c r="A42" s="230" t="s">
        <v>375</v>
      </c>
      <c r="E42" s="1"/>
      <c r="S42" s="7"/>
      <c r="T42" s="20"/>
      <c r="U42" s="12"/>
      <c r="W42" s="12"/>
      <c r="AA42" s="6"/>
      <c r="AC42" s="9"/>
    </row>
    <row r="43" spans="1:36" x14ac:dyDescent="0.2">
      <c r="A43" s="229" t="s">
        <v>376</v>
      </c>
    </row>
    <row r="44" spans="1:36" x14ac:dyDescent="0.2">
      <c r="A44" s="229" t="str">
        <f>+'Rate Case Constants'!C26</f>
        <v>Calculations may vary from other schedules due to rounding</v>
      </c>
    </row>
  </sheetData>
  <mergeCells count="5">
    <mergeCell ref="K15:M15"/>
    <mergeCell ref="A1:P1"/>
    <mergeCell ref="A2:P2"/>
    <mergeCell ref="A3:P3"/>
    <mergeCell ref="A4:P4"/>
  </mergeCells>
  <printOptions horizontalCentered="1"/>
  <pageMargins left="0.25" right="0.25" top="1" bottom="0.5" header="1" footer="0.5"/>
  <pageSetup scale="9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8"/>
  <sheetViews>
    <sheetView view="pageBreakPreview" zoomScaleNormal="100" zoomScaleSheetLayoutView="100" workbookViewId="0">
      <selection activeCell="R33" sqref="R33"/>
    </sheetView>
  </sheetViews>
  <sheetFormatPr defaultRowHeight="12.75" x14ac:dyDescent="0.2"/>
  <cols>
    <col min="1" max="1" width="7.140625" customWidth="1"/>
    <col min="2" max="2" width="3.7109375" customWidth="1"/>
    <col min="3" max="3" width="6.5703125" customWidth="1"/>
    <col min="4" max="4" width="1.85546875" customWidth="1"/>
    <col min="5" max="5" width="9.5703125" customWidth="1"/>
    <col min="6" max="6" width="2" customWidth="1"/>
    <col min="7" max="7" width="13.42578125" bestFit="1" customWidth="1"/>
    <col min="8" max="8" width="14.7109375" customWidth="1"/>
    <col min="9" max="9" width="10.28515625" bestFit="1" customWidth="1"/>
    <col min="10" max="10" width="9.85546875" customWidth="1"/>
    <col min="11" max="11" width="10.7109375" bestFit="1" customWidth="1"/>
    <col min="12" max="12" width="11.28515625" bestFit="1" customWidth="1"/>
    <col min="13" max="13" width="12.42578125" customWidth="1"/>
    <col min="14" max="15" width="13.42578125" bestFit="1" customWidth="1"/>
    <col min="16" max="18" width="9.85546875" customWidth="1"/>
    <col min="19" max="19" width="10" customWidth="1"/>
    <col min="20" max="20" width="13.5703125" customWidth="1"/>
    <col min="21" max="21" width="12.5703125" bestFit="1" customWidth="1"/>
    <col min="22" max="22" width="12.7109375" bestFit="1" customWidth="1"/>
    <col min="23" max="23" width="12" bestFit="1" customWidth="1"/>
    <col min="24" max="24" width="13" bestFit="1" customWidth="1"/>
    <col min="25" max="25" width="3.140625" customWidth="1"/>
    <col min="26" max="26" width="14.42578125" customWidth="1"/>
    <col min="27" max="27" width="3.85546875" customWidth="1"/>
    <col min="28" max="28" width="2.42578125" customWidth="1"/>
    <col min="29" max="29" width="14.42578125" bestFit="1" customWidth="1"/>
    <col min="30" max="30" width="12.7109375" bestFit="1" customWidth="1"/>
    <col min="31" max="31" width="11.5703125" bestFit="1" customWidth="1"/>
    <col min="32" max="32" width="13.85546875" bestFit="1" customWidth="1"/>
    <col min="33" max="33" width="11.5703125" bestFit="1" customWidth="1"/>
    <col min="34" max="34" width="12.7109375" bestFit="1" customWidth="1"/>
    <col min="35" max="35" width="12.7109375" customWidth="1"/>
    <col min="36" max="36" width="11.140625" customWidth="1"/>
    <col min="37" max="37" width="11.42578125" bestFit="1" customWidth="1"/>
    <col min="38" max="38" width="10.7109375" customWidth="1"/>
    <col min="39" max="39" width="11.42578125" bestFit="1" customWidth="1"/>
  </cols>
  <sheetData>
    <row r="1" spans="1:39" x14ac:dyDescent="0.2">
      <c r="A1" s="377" t="str">
        <f>+'Rate Case Constants'!C9</f>
        <v>LOUISVILLE GAS AND ELECTRIC COMPANY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</row>
    <row r="2" spans="1:39" x14ac:dyDescent="0.2">
      <c r="A2" s="379" t="str">
        <f>+'Rate Case Constants'!A2:C2</f>
        <v>Rate Case Constants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</row>
    <row r="3" spans="1:39" x14ac:dyDescent="0.2">
      <c r="A3" s="378" t="str">
        <f>+'Rate Case Constants'!C24</f>
        <v>Typical Electric Bill Comparison under Present &amp; Proposed Rates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</row>
    <row r="4" spans="1:39" x14ac:dyDescent="0.2">
      <c r="A4" s="379" t="str">
        <f>+'Rate Case Constants'!A3:C3</f>
        <v>For the 2014 Rate Case Filing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</row>
    <row r="7" spans="1:39" x14ac:dyDescent="0.2">
      <c r="A7" t="str">
        <f>+'Rate Case Constants'!C33</f>
        <v>DATA: ____BASE PERIOD__X___FORECASTED PERIOD</v>
      </c>
      <c r="P7" s="208" t="str">
        <f>+'Rate Case Constants'!C25</f>
        <v>SCHEDULE N (Electric)</v>
      </c>
    </row>
    <row r="8" spans="1:39" x14ac:dyDescent="0.2">
      <c r="A8" t="str">
        <f>+'Rate Case Constants'!C29</f>
        <v>TYPE OF FILING: __X__ ORIGINAL  _____ UPDATED  _____ REVISED</v>
      </c>
      <c r="L8" s="209"/>
      <c r="P8" s="209" t="str">
        <f>+'Rate Case Constants'!L15</f>
        <v>PAGE 8 of 22</v>
      </c>
    </row>
    <row r="9" spans="1:39" x14ac:dyDescent="0.2">
      <c r="A9" t="str">
        <f>+'Rate Case Constants'!C34</f>
        <v>WORKPAPER REFERENCE NO(S):________</v>
      </c>
      <c r="P9" s="209" t="str">
        <f>+'Rate Case Constants'!C37</f>
        <v>WITNESS:   R. M. CONROY</v>
      </c>
    </row>
    <row r="10" spans="1:39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S10" s="86" t="s">
        <v>72</v>
      </c>
      <c r="T10">
        <f>+INPUT!G54</f>
        <v>-2.6045867396953256E-4</v>
      </c>
    </row>
    <row r="11" spans="1:39" x14ac:dyDescent="0.2">
      <c r="A11" s="45" t="s">
        <v>318</v>
      </c>
      <c r="S11" s="86" t="s">
        <v>74</v>
      </c>
      <c r="T11">
        <f>+INPUT!H54</f>
        <v>1.8894309633438473E-3</v>
      </c>
      <c r="V11" s="61" t="s">
        <v>99</v>
      </c>
      <c r="AD11" s="61" t="s">
        <v>99</v>
      </c>
    </row>
    <row r="12" spans="1:39" x14ac:dyDescent="0.2"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86" t="s">
        <v>73</v>
      </c>
      <c r="T12">
        <f>+INPUT!I54</f>
        <v>9.0615224812648741E-3</v>
      </c>
    </row>
    <row r="13" spans="1:39" x14ac:dyDescent="0.2">
      <c r="A13" s="45"/>
      <c r="G13" s="213" t="s">
        <v>362</v>
      </c>
      <c r="H13" s="214" t="s">
        <v>363</v>
      </c>
      <c r="I13" s="214" t="s">
        <v>364</v>
      </c>
      <c r="J13" s="213" t="s">
        <v>365</v>
      </c>
      <c r="K13" s="213" t="s">
        <v>366</v>
      </c>
      <c r="L13" s="213" t="s">
        <v>367</v>
      </c>
      <c r="M13" s="214" t="s">
        <v>368</v>
      </c>
      <c r="N13" s="213" t="s">
        <v>369</v>
      </c>
      <c r="O13" s="213" t="s">
        <v>370</v>
      </c>
      <c r="P13" s="213" t="s">
        <v>371</v>
      </c>
      <c r="U13" s="3" t="s">
        <v>1</v>
      </c>
      <c r="V13" s="3" t="s">
        <v>1</v>
      </c>
      <c r="W13" s="3" t="s">
        <v>1</v>
      </c>
      <c r="Z13" s="3" t="s">
        <v>73</v>
      </c>
      <c r="AD13" s="20"/>
      <c r="AE13" s="21" t="s">
        <v>9</v>
      </c>
      <c r="AF13" s="21" t="s">
        <v>9</v>
      </c>
      <c r="AG13" s="21" t="s">
        <v>9</v>
      </c>
      <c r="AH13" s="20"/>
      <c r="AI13" s="3" t="s">
        <v>73</v>
      </c>
    </row>
    <row r="14" spans="1:39" x14ac:dyDescent="0.2">
      <c r="G14" s="351" t="s">
        <v>406</v>
      </c>
      <c r="H14" s="351" t="s">
        <v>406</v>
      </c>
      <c r="I14" s="217"/>
      <c r="J14" s="217"/>
      <c r="K14" s="217"/>
      <c r="L14" s="217"/>
      <c r="M14" s="217"/>
      <c r="N14" s="213" t="s">
        <v>5</v>
      </c>
      <c r="O14" s="213" t="s">
        <v>5</v>
      </c>
      <c r="P14" s="217"/>
      <c r="S14" s="3" t="s">
        <v>1</v>
      </c>
      <c r="T14" s="3" t="s">
        <v>1</v>
      </c>
      <c r="U14" s="3" t="s">
        <v>34</v>
      </c>
      <c r="V14" s="3" t="s">
        <v>30</v>
      </c>
      <c r="W14" s="3" t="s">
        <v>22</v>
      </c>
      <c r="X14" s="3" t="s">
        <v>1</v>
      </c>
      <c r="Y14" s="3"/>
      <c r="Z14" s="3" t="s">
        <v>1</v>
      </c>
      <c r="AC14" s="3" t="s">
        <v>9</v>
      </c>
      <c r="AD14" s="3" t="s">
        <v>9</v>
      </c>
      <c r="AE14" s="21" t="s">
        <v>34</v>
      </c>
      <c r="AF14" s="21" t="s">
        <v>30</v>
      </c>
      <c r="AG14" s="21" t="s">
        <v>22</v>
      </c>
      <c r="AH14" s="21" t="s">
        <v>9</v>
      </c>
      <c r="AI14" s="3" t="s">
        <v>1</v>
      </c>
      <c r="AK14" s="3"/>
    </row>
    <row r="15" spans="1:39" x14ac:dyDescent="0.2">
      <c r="C15" s="3" t="s">
        <v>23</v>
      </c>
      <c r="E15" s="3"/>
      <c r="F15" s="3"/>
      <c r="G15" s="213" t="s">
        <v>1</v>
      </c>
      <c r="H15" s="213" t="s">
        <v>75</v>
      </c>
      <c r="I15" s="213"/>
      <c r="J15" s="213"/>
      <c r="K15" s="372" t="s">
        <v>136</v>
      </c>
      <c r="L15" s="372"/>
      <c r="M15" s="373"/>
      <c r="N15" s="213" t="s">
        <v>1</v>
      </c>
      <c r="O15" s="213" t="s">
        <v>75</v>
      </c>
      <c r="P15" s="213"/>
      <c r="Q15" s="3"/>
      <c r="R15" s="3"/>
      <c r="S15" s="3" t="s">
        <v>2</v>
      </c>
      <c r="T15" s="3" t="s">
        <v>59</v>
      </c>
      <c r="U15" s="3" t="s">
        <v>25</v>
      </c>
      <c r="V15" s="3" t="s">
        <v>25</v>
      </c>
      <c r="W15" s="3" t="s">
        <v>18</v>
      </c>
      <c r="X15" s="3" t="s">
        <v>5</v>
      </c>
      <c r="Y15" s="3"/>
      <c r="Z15" s="3" t="s">
        <v>77</v>
      </c>
      <c r="AC15" s="26" t="s">
        <v>58</v>
      </c>
      <c r="AD15" s="3" t="s">
        <v>59</v>
      </c>
      <c r="AE15" s="21" t="s">
        <v>25</v>
      </c>
      <c r="AF15" s="21" t="s">
        <v>25</v>
      </c>
      <c r="AG15" s="21" t="s">
        <v>18</v>
      </c>
      <c r="AH15" s="21" t="s">
        <v>5</v>
      </c>
      <c r="AI15" s="3" t="s">
        <v>77</v>
      </c>
      <c r="AK15" s="3" t="s">
        <v>6</v>
      </c>
      <c r="AL15" s="3"/>
      <c r="AM15" s="3" t="s">
        <v>8</v>
      </c>
    </row>
    <row r="16" spans="1:39" x14ac:dyDescent="0.2">
      <c r="A16" s="3" t="s">
        <v>26</v>
      </c>
      <c r="C16" s="3" t="s">
        <v>24</v>
      </c>
      <c r="E16" s="3" t="s">
        <v>0</v>
      </c>
      <c r="F16" s="3"/>
      <c r="G16" s="213" t="s">
        <v>4</v>
      </c>
      <c r="H16" s="213" t="s">
        <v>4</v>
      </c>
      <c r="I16" s="213" t="s">
        <v>76</v>
      </c>
      <c r="J16" s="213" t="s">
        <v>76</v>
      </c>
      <c r="K16" s="222" t="s">
        <v>72</v>
      </c>
      <c r="L16" s="222" t="s">
        <v>74</v>
      </c>
      <c r="M16" s="222" t="s">
        <v>73</v>
      </c>
      <c r="N16" s="213" t="s">
        <v>4</v>
      </c>
      <c r="O16" s="213" t="s">
        <v>4</v>
      </c>
      <c r="P16" s="213" t="s">
        <v>76</v>
      </c>
      <c r="Q16" s="3"/>
      <c r="R16" s="3"/>
      <c r="S16" s="26" t="s">
        <v>3</v>
      </c>
      <c r="T16" s="3" t="s">
        <v>3</v>
      </c>
      <c r="U16" s="3" t="s">
        <v>3</v>
      </c>
      <c r="V16" s="3" t="s">
        <v>3</v>
      </c>
      <c r="W16" s="3" t="s">
        <v>3</v>
      </c>
      <c r="X16" s="3" t="s">
        <v>4</v>
      </c>
      <c r="Y16" s="3"/>
      <c r="Z16" s="3" t="s">
        <v>3</v>
      </c>
      <c r="AC16" s="26" t="s">
        <v>3</v>
      </c>
      <c r="AD16" s="3" t="s">
        <v>3</v>
      </c>
      <c r="AE16" s="21" t="s">
        <v>3</v>
      </c>
      <c r="AF16" s="21" t="s">
        <v>3</v>
      </c>
      <c r="AG16" s="21" t="s">
        <v>3</v>
      </c>
      <c r="AH16" s="21" t="s">
        <v>4</v>
      </c>
      <c r="AI16" s="3" t="s">
        <v>3</v>
      </c>
      <c r="AK16" s="3" t="s">
        <v>7</v>
      </c>
      <c r="AL16" s="3"/>
      <c r="AM16" s="3" t="s">
        <v>7</v>
      </c>
    </row>
    <row r="17" spans="1:39" x14ac:dyDescent="0.2">
      <c r="A17" s="3"/>
      <c r="C17" s="3"/>
      <c r="E17" s="3"/>
      <c r="F17" s="3"/>
      <c r="G17" s="213"/>
      <c r="H17" s="213"/>
      <c r="I17" s="213" t="s">
        <v>70</v>
      </c>
      <c r="J17" s="214" t="s">
        <v>71</v>
      </c>
      <c r="K17" s="215"/>
      <c r="L17" s="215"/>
      <c r="M17" s="216"/>
      <c r="N17" s="213" t="s">
        <v>70</v>
      </c>
      <c r="O17" s="213" t="s">
        <v>70</v>
      </c>
      <c r="P17" s="214" t="s">
        <v>71</v>
      </c>
      <c r="Q17" s="3"/>
      <c r="R17" s="3"/>
      <c r="S17" s="26"/>
      <c r="T17" s="43">
        <f>+INPUT!$K$6</f>
        <v>3.9899999999999998E-2</v>
      </c>
      <c r="U17" s="44">
        <f>+INPUT!$K$14</f>
        <v>6.11</v>
      </c>
      <c r="V17" s="44">
        <f>+INPUT!$K$15</f>
        <v>4.51</v>
      </c>
      <c r="W17" s="44">
        <f>+INPUT!$K$16</f>
        <v>4</v>
      </c>
      <c r="X17" s="3"/>
      <c r="Y17" s="3"/>
      <c r="Z17" s="43"/>
      <c r="AC17" s="26"/>
      <c r="AD17" s="43">
        <f>+INPUT!$K$27</f>
        <v>4.0480000000000002E-2</v>
      </c>
      <c r="AE17" s="44">
        <f>+INPUT!$K$35</f>
        <v>6.37</v>
      </c>
      <c r="AF17" s="44">
        <f>+INPUT!$K$36</f>
        <v>4.76</v>
      </c>
      <c r="AG17" s="44">
        <f>+INPUT!$K$37</f>
        <v>4.26</v>
      </c>
      <c r="AH17" s="21"/>
      <c r="AI17" s="43"/>
      <c r="AK17" s="3"/>
      <c r="AL17" s="3"/>
      <c r="AM17" s="3"/>
    </row>
    <row r="18" spans="1:39" x14ac:dyDescent="0.2">
      <c r="C18" s="3"/>
      <c r="E18" s="3"/>
      <c r="F18" s="3"/>
      <c r="G18" s="213"/>
      <c r="H18" s="213"/>
      <c r="I18" s="220" t="str">
        <f>("[ "&amp;H13&amp;" - "&amp;G13&amp;" ]")</f>
        <v>[ B - A ]</v>
      </c>
      <c r="J18" s="220" t="str">
        <f>("[ "&amp;I13&amp;" / "&amp;G13&amp;" ]")</f>
        <v>[ C / A ]</v>
      </c>
      <c r="K18" s="215"/>
      <c r="L18" s="215"/>
      <c r="M18" s="215"/>
      <c r="N18" s="221" t="str">
        <f>("["&amp;G13&amp;"+"&amp;$K$13&amp;"+"&amp;$L$13&amp;"+"&amp;$M$13&amp;"]")</f>
        <v>[A+E+F+G]</v>
      </c>
      <c r="O18" s="221" t="str">
        <f>("["&amp;H13&amp;"+"&amp;$K$13&amp;"+"&amp;$L$13&amp;"+"&amp;$M$13&amp;"]")</f>
        <v>[B+E+F+G]</v>
      </c>
      <c r="P18" s="222" t="str">
        <f>("[("&amp;O13&amp;" - "&amp;N13&amp;")/"&amp;N13&amp;"]")</f>
        <v>[(I - H)/H]</v>
      </c>
      <c r="Q18" s="3"/>
      <c r="R18" s="3"/>
      <c r="T18" s="3" t="s">
        <v>14</v>
      </c>
      <c r="U18" s="3" t="s">
        <v>61</v>
      </c>
      <c r="V18" s="3" t="s">
        <v>61</v>
      </c>
      <c r="W18" s="3" t="s">
        <v>61</v>
      </c>
      <c r="X18" s="3"/>
      <c r="Y18" s="3"/>
      <c r="Z18" s="3" t="s">
        <v>14</v>
      </c>
      <c r="AC18" s="26"/>
      <c r="AD18" s="3" t="s">
        <v>14</v>
      </c>
      <c r="AE18" s="3" t="s">
        <v>61</v>
      </c>
      <c r="AF18" s="3" t="s">
        <v>61</v>
      </c>
      <c r="AG18" s="3" t="s">
        <v>61</v>
      </c>
      <c r="AH18" s="21"/>
      <c r="AI18" s="3" t="s">
        <v>14</v>
      </c>
      <c r="AK18" s="3"/>
      <c r="AL18" s="3"/>
      <c r="AM18" s="3"/>
    </row>
    <row r="19" spans="1:39" x14ac:dyDescent="0.2">
      <c r="C19" s="3"/>
      <c r="E19" s="3"/>
      <c r="F19" s="3"/>
      <c r="G19" s="3"/>
      <c r="H19" s="3"/>
      <c r="I19" s="220"/>
      <c r="J19" s="220"/>
      <c r="K19" s="3"/>
      <c r="L19" s="3"/>
      <c r="M19" s="3"/>
      <c r="N19" s="221"/>
      <c r="O19" s="3"/>
      <c r="P19" s="222"/>
      <c r="Q19" s="3"/>
      <c r="R19" s="3"/>
      <c r="U19" s="3"/>
      <c r="V19" s="3"/>
      <c r="W19" s="3"/>
      <c r="X19" s="3"/>
      <c r="Y19" s="3"/>
      <c r="AC19" s="26"/>
      <c r="AD19" s="3"/>
      <c r="AE19" s="21"/>
      <c r="AF19" s="21"/>
      <c r="AG19" s="21"/>
      <c r="AH19" s="21"/>
      <c r="AK19" s="3"/>
      <c r="AL19" s="3"/>
      <c r="AM19" s="3"/>
    </row>
    <row r="20" spans="1:39" x14ac:dyDescent="0.2">
      <c r="A20" s="1">
        <v>250</v>
      </c>
      <c r="B20" s="1"/>
      <c r="C20" s="13">
        <v>0.3</v>
      </c>
      <c r="E20" s="1">
        <f>C20*($A$20*730)</f>
        <v>54750</v>
      </c>
      <c r="F20" s="1"/>
      <c r="G20" s="29">
        <f>+X20</f>
        <v>6039.5249999999996</v>
      </c>
      <c r="H20" s="29">
        <f>+AH20</f>
        <v>6263.7800000000007</v>
      </c>
      <c r="I20" s="29">
        <f>+H20-G20</f>
        <v>224.25500000000102</v>
      </c>
      <c r="J20" s="57">
        <f>ROUND(+I20/G20,4)</f>
        <v>3.7100000000000001E-2</v>
      </c>
      <c r="K20" s="29">
        <f>ROUND($T$10*$E20,2)</f>
        <v>-14.26</v>
      </c>
      <c r="L20" s="29">
        <f>ROUND($T$11*$E20,2)</f>
        <v>103.45</v>
      </c>
      <c r="M20" s="29">
        <f>ROUND($T$12*$E20,2)</f>
        <v>496.12</v>
      </c>
      <c r="N20" s="29">
        <f>+G20+K20+L20+M20</f>
        <v>6624.8349999999991</v>
      </c>
      <c r="O20" s="29">
        <f>+H20+K20+L20+M20</f>
        <v>6849.09</v>
      </c>
      <c r="P20" s="57">
        <f>(O20-N20)/N20</f>
        <v>3.3850654393656754E-2</v>
      </c>
      <c r="Q20" s="1"/>
      <c r="S20" s="7">
        <f>+INPUT!$K$4</f>
        <v>200</v>
      </c>
      <c r="T20" s="20">
        <f>$T$17*E20</f>
        <v>2184.5250000000001</v>
      </c>
      <c r="U20" s="20">
        <f>$U$17*$A$20</f>
        <v>1527.5</v>
      </c>
      <c r="V20" s="20">
        <f>$V$17*$A$20</f>
        <v>1127.5</v>
      </c>
      <c r="W20" s="20">
        <f>$W$17*$A$20</f>
        <v>1000</v>
      </c>
      <c r="X20" s="25">
        <f>S20+T20+U20+V20+W20</f>
        <v>6039.5249999999996</v>
      </c>
      <c r="Y20" s="25"/>
      <c r="Z20" s="20"/>
      <c r="AC20" s="7">
        <f>INPUT!$K$25</f>
        <v>200</v>
      </c>
      <c r="AD20" s="20">
        <f>$AD$17*E20</f>
        <v>2216.2800000000002</v>
      </c>
      <c r="AE20" s="20">
        <f>$A$20*$AE$17</f>
        <v>1592.5</v>
      </c>
      <c r="AF20" s="20">
        <f>$A$20*$AF$17</f>
        <v>1190</v>
      </c>
      <c r="AG20" s="20">
        <f>$A$20*$AG$17</f>
        <v>1065</v>
      </c>
      <c r="AH20" s="25">
        <f>AC20+AD20+AE20+AF20+AG20</f>
        <v>6263.7800000000007</v>
      </c>
      <c r="AI20" s="20"/>
      <c r="AJ20" s="17"/>
      <c r="AK20" s="7">
        <f>AH20-X20</f>
        <v>224.25500000000102</v>
      </c>
      <c r="AM20" s="18">
        <f>AH20/X20-1</f>
        <v>3.7131231346836158E-2</v>
      </c>
    </row>
    <row r="21" spans="1:39" x14ac:dyDescent="0.2">
      <c r="C21" s="13">
        <v>0.5</v>
      </c>
      <c r="E21" s="1">
        <f>C21*($A$20*730)</f>
        <v>91250</v>
      </c>
      <c r="F21" s="1"/>
      <c r="G21" s="29">
        <f t="shared" ref="G21:G38" si="0">+X21</f>
        <v>7495.875</v>
      </c>
      <c r="H21" s="29">
        <f>+AH21</f>
        <v>7741.3</v>
      </c>
      <c r="I21" s="29">
        <f>+H21-G21</f>
        <v>245.42500000000018</v>
      </c>
      <c r="J21" s="57">
        <f>ROUND(+I21/G21,4)</f>
        <v>3.27E-2</v>
      </c>
      <c r="K21" s="29">
        <f>ROUND($T$10*$E21,2)</f>
        <v>-23.77</v>
      </c>
      <c r="L21" s="29">
        <f>ROUND($T$11*$E21,2)</f>
        <v>172.41</v>
      </c>
      <c r="M21" s="29">
        <f>ROUND($T$12*$E21,2)</f>
        <v>826.86</v>
      </c>
      <c r="N21" s="29">
        <f>+G21+K21+L21+M21</f>
        <v>8471.375</v>
      </c>
      <c r="O21" s="29">
        <f>+H21+K21+L21+M21</f>
        <v>8716.7999999999993</v>
      </c>
      <c r="P21" s="57">
        <f>(O21-N21)/N21</f>
        <v>2.8971093830694458E-2</v>
      </c>
      <c r="Q21" s="1"/>
      <c r="S21" s="7">
        <f>$S$20</f>
        <v>200</v>
      </c>
      <c r="T21" s="20">
        <f>$T$17*E21</f>
        <v>3640.875</v>
      </c>
      <c r="U21" s="20">
        <f>$U$17*$A$20</f>
        <v>1527.5</v>
      </c>
      <c r="V21" s="20">
        <f>$V$17*$A$20</f>
        <v>1127.5</v>
      </c>
      <c r="W21" s="20">
        <f>$W$17*$A$20</f>
        <v>1000</v>
      </c>
      <c r="X21" s="25">
        <f>S21+T21+U21+V21+W21</f>
        <v>7495.875</v>
      </c>
      <c r="Y21" s="25"/>
      <c r="Z21" s="20"/>
      <c r="AC21" s="7">
        <f>$AC$20</f>
        <v>200</v>
      </c>
      <c r="AD21" s="20">
        <f>$AD$17*E21</f>
        <v>3693.8</v>
      </c>
      <c r="AE21" s="20">
        <f>$A$20*$AE$17</f>
        <v>1592.5</v>
      </c>
      <c r="AF21" s="20">
        <f>$A$20*$AF$17</f>
        <v>1190</v>
      </c>
      <c r="AG21" s="20">
        <f>$A$20*$AG$17</f>
        <v>1065</v>
      </c>
      <c r="AH21" s="25">
        <f>AC21+AD21+AE21+AF21+AG21</f>
        <v>7741.3</v>
      </c>
      <c r="AI21" s="20"/>
      <c r="AJ21" s="17"/>
      <c r="AK21" s="7">
        <f>AH21-X21</f>
        <v>245.42500000000018</v>
      </c>
      <c r="AM21" s="18">
        <f>AH21/X21-1</f>
        <v>3.2741341070922303E-2</v>
      </c>
    </row>
    <row r="22" spans="1:39" x14ac:dyDescent="0.2">
      <c r="C22" s="13">
        <v>0.7</v>
      </c>
      <c r="E22" s="1">
        <f>C22*($A$20*730)</f>
        <v>127749.99999999999</v>
      </c>
      <c r="F22" s="1"/>
      <c r="G22" s="29">
        <f t="shared" si="0"/>
        <v>8952.2249999999985</v>
      </c>
      <c r="H22" s="29">
        <f>+AH22</f>
        <v>9218.82</v>
      </c>
      <c r="I22" s="29">
        <f>+H22-G22</f>
        <v>266.59500000000116</v>
      </c>
      <c r="J22" s="57">
        <f>ROUND(+I22/G22,4)</f>
        <v>2.98E-2</v>
      </c>
      <c r="K22" s="29">
        <f>ROUND($T$10*$E22,2)</f>
        <v>-33.270000000000003</v>
      </c>
      <c r="L22" s="29">
        <f>ROUND($T$11*$E22,2)</f>
        <v>241.37</v>
      </c>
      <c r="M22" s="29">
        <f>ROUND($T$12*$E22,2)</f>
        <v>1157.6099999999999</v>
      </c>
      <c r="N22" s="29">
        <f>+G22+K22+L22+M22</f>
        <v>10317.934999999999</v>
      </c>
      <c r="O22" s="29">
        <f>+H22+K22+L22+M22</f>
        <v>10584.53</v>
      </c>
      <c r="P22" s="57">
        <f>(O22-N22)/N22</f>
        <v>2.5838018944682357E-2</v>
      </c>
      <c r="Q22" s="1"/>
      <c r="S22" s="7">
        <f>$S$20</f>
        <v>200</v>
      </c>
      <c r="T22" s="20">
        <f>$T$17*E22</f>
        <v>5097.2249999999995</v>
      </c>
      <c r="U22" s="20">
        <f>$U$17*$A$20</f>
        <v>1527.5</v>
      </c>
      <c r="V22" s="20">
        <f>$V$17*$A$20</f>
        <v>1127.5</v>
      </c>
      <c r="W22" s="20">
        <f>$W$17*$A$20</f>
        <v>1000</v>
      </c>
      <c r="X22" s="25">
        <f>S22+T22+U22+V22+W22</f>
        <v>8952.2249999999985</v>
      </c>
      <c r="Y22" s="25"/>
      <c r="Z22" s="20"/>
      <c r="AC22" s="7">
        <f>$AC$20</f>
        <v>200</v>
      </c>
      <c r="AD22" s="20">
        <f>$AD$17*E22</f>
        <v>5171.32</v>
      </c>
      <c r="AE22" s="20">
        <f>$A$20*$AE$17</f>
        <v>1592.5</v>
      </c>
      <c r="AF22" s="20">
        <f>$A$20*$AF$17</f>
        <v>1190</v>
      </c>
      <c r="AG22" s="20">
        <f>$A$20*$AG$17</f>
        <v>1065</v>
      </c>
      <c r="AH22" s="25">
        <f>AC22+AD22+AE22+AF22+AG22</f>
        <v>9218.82</v>
      </c>
      <c r="AI22" s="20"/>
      <c r="AJ22" s="17"/>
      <c r="AK22" s="7">
        <f>AH22-X22</f>
        <v>266.59500000000116</v>
      </c>
      <c r="AM22" s="18">
        <f>AH22/X22-1</f>
        <v>2.9779747492941766E-2</v>
      </c>
    </row>
    <row r="23" spans="1:39" x14ac:dyDescent="0.2">
      <c r="C23" s="13"/>
      <c r="E23" s="1"/>
      <c r="F23" s="1"/>
      <c r="G23" s="29"/>
      <c r="H23" s="29"/>
      <c r="J23" s="5"/>
      <c r="K23" s="1"/>
      <c r="L23" s="1"/>
      <c r="M23" s="1"/>
      <c r="P23" s="57"/>
      <c r="Q23" s="1"/>
      <c r="S23" s="7"/>
      <c r="T23" s="20"/>
      <c r="U23" s="20"/>
      <c r="V23" s="20"/>
      <c r="W23" s="20"/>
      <c r="X23" s="25"/>
      <c r="Y23" s="25"/>
      <c r="AC23" s="7"/>
      <c r="AD23" s="20"/>
      <c r="AE23" s="20"/>
      <c r="AF23" s="20"/>
      <c r="AG23" s="20"/>
      <c r="AH23" s="25"/>
      <c r="AJ23" s="17"/>
      <c r="AK23" s="6"/>
      <c r="AM23" s="6"/>
    </row>
    <row r="24" spans="1:39" x14ac:dyDescent="0.2">
      <c r="A24" s="1">
        <v>500</v>
      </c>
      <c r="B24" s="1"/>
      <c r="C24" s="13">
        <v>0.3</v>
      </c>
      <c r="E24" s="1">
        <f>C24*($A$24*730)</f>
        <v>109500</v>
      </c>
      <c r="F24" s="1"/>
      <c r="G24" s="29">
        <f t="shared" si="0"/>
        <v>11879.05</v>
      </c>
      <c r="H24" s="29">
        <f>+AH24</f>
        <v>12327.560000000001</v>
      </c>
      <c r="I24" s="29">
        <f>+H24-G24</f>
        <v>448.51000000000204</v>
      </c>
      <c r="J24" s="57">
        <f>ROUND(+I24/G24,4)</f>
        <v>3.78E-2</v>
      </c>
      <c r="K24" s="29">
        <f>ROUND($T$10*$E24,2)</f>
        <v>-28.52</v>
      </c>
      <c r="L24" s="29">
        <f>ROUND($T$11*$E24,2)</f>
        <v>206.89</v>
      </c>
      <c r="M24" s="29">
        <f>ROUND($T$12*$E24,2)</f>
        <v>992.24</v>
      </c>
      <c r="N24" s="29">
        <f>+G24+K24+L24+M24</f>
        <v>13049.659999999998</v>
      </c>
      <c r="O24" s="29">
        <f>+H24+K24+L24+M24</f>
        <v>13498.17</v>
      </c>
      <c r="P24" s="57">
        <f>(O24-N24)/N24</f>
        <v>3.4369477825476072E-2</v>
      </c>
      <c r="Q24" s="1"/>
      <c r="S24" s="7">
        <f>$S$20</f>
        <v>200</v>
      </c>
      <c r="T24" s="20">
        <f>$T$17*E24</f>
        <v>4369.05</v>
      </c>
      <c r="U24" s="20">
        <f>$U$17*$A$24</f>
        <v>3055</v>
      </c>
      <c r="V24" s="20">
        <f>$V$17*$A$24</f>
        <v>2255</v>
      </c>
      <c r="W24" s="20">
        <f>$W$17*$A$24</f>
        <v>2000</v>
      </c>
      <c r="X24" s="25">
        <f>S24+T24+U24+V24+W24</f>
        <v>11879.05</v>
      </c>
      <c r="Y24" s="25"/>
      <c r="Z24" s="20"/>
      <c r="AC24" s="7">
        <f>$AC$20</f>
        <v>200</v>
      </c>
      <c r="AD24" s="20">
        <f>$AD$17*E24</f>
        <v>4432.5600000000004</v>
      </c>
      <c r="AE24" s="20">
        <f>$A$24*$AE$17</f>
        <v>3185</v>
      </c>
      <c r="AF24" s="20">
        <f>$A$24*$AF$17</f>
        <v>2380</v>
      </c>
      <c r="AG24" s="20">
        <f>$A$24*$AG$17</f>
        <v>2130</v>
      </c>
      <c r="AH24" s="25">
        <f>AC24+AD24+AE24+AF24+AG24</f>
        <v>12327.560000000001</v>
      </c>
      <c r="AI24" s="20"/>
      <c r="AJ24" s="17"/>
      <c r="AK24" s="7">
        <f>AH24-X24</f>
        <v>448.51000000000204</v>
      </c>
      <c r="AL24" s="10"/>
      <c r="AM24" s="18">
        <f>AH24/X24-1</f>
        <v>3.7756386243007922E-2</v>
      </c>
    </row>
    <row r="25" spans="1:39" x14ac:dyDescent="0.2">
      <c r="C25" s="13">
        <v>0.5</v>
      </c>
      <c r="E25" s="1">
        <f>C25*($A$24*730)</f>
        <v>182500</v>
      </c>
      <c r="F25" s="1"/>
      <c r="G25" s="29">
        <f t="shared" si="0"/>
        <v>14791.75</v>
      </c>
      <c r="H25" s="29">
        <f>+AH25</f>
        <v>15282.6</v>
      </c>
      <c r="I25" s="29">
        <f>+H25-G25</f>
        <v>490.85000000000036</v>
      </c>
      <c r="J25" s="57">
        <f>ROUND(+I25/G25,4)</f>
        <v>3.32E-2</v>
      </c>
      <c r="K25" s="29">
        <f>ROUND($T$10*$E25,2)</f>
        <v>-47.53</v>
      </c>
      <c r="L25" s="29">
        <f>ROUND($T$11*$E25,2)</f>
        <v>344.82</v>
      </c>
      <c r="M25" s="29">
        <f>ROUND($T$12*$E25,2)</f>
        <v>1653.73</v>
      </c>
      <c r="N25" s="29">
        <f>+G25+K25+L25+M25</f>
        <v>16742.77</v>
      </c>
      <c r="O25" s="29">
        <f>+H25+K25+L25+M25</f>
        <v>17233.62</v>
      </c>
      <c r="P25" s="57">
        <f>(O25-N25)/N25</f>
        <v>2.9317132111353051E-2</v>
      </c>
      <c r="Q25" s="1"/>
      <c r="S25" s="7">
        <f>$S$20</f>
        <v>200</v>
      </c>
      <c r="T25" s="20">
        <f>$T$17*E25</f>
        <v>7281.75</v>
      </c>
      <c r="U25" s="20">
        <f>$U$17*$A$24</f>
        <v>3055</v>
      </c>
      <c r="V25" s="20">
        <f>$V$17*$A$24</f>
        <v>2255</v>
      </c>
      <c r="W25" s="20">
        <f>$W$17*$A$24</f>
        <v>2000</v>
      </c>
      <c r="X25" s="25">
        <f>S25+T25+U25+V25+W25</f>
        <v>14791.75</v>
      </c>
      <c r="Y25" s="25"/>
      <c r="Z25" s="20"/>
      <c r="AC25" s="7">
        <f>$AC$20</f>
        <v>200</v>
      </c>
      <c r="AD25" s="20">
        <f>$AD$17*E25</f>
        <v>7387.6</v>
      </c>
      <c r="AE25" s="20">
        <f>$A$24*$AE$17</f>
        <v>3185</v>
      </c>
      <c r="AF25" s="20">
        <f>$A$24*$AF$17</f>
        <v>2380</v>
      </c>
      <c r="AG25" s="20">
        <f>$A$24*$AG$17</f>
        <v>2130</v>
      </c>
      <c r="AH25" s="25">
        <f>AC25+AD25+AE25+AF25+AG25</f>
        <v>15282.6</v>
      </c>
      <c r="AI25" s="20"/>
      <c r="AJ25" s="17"/>
      <c r="AK25" s="7">
        <f>AH25-X25</f>
        <v>490.85000000000036</v>
      </c>
      <c r="AL25" s="10"/>
      <c r="AM25" s="18">
        <f>AH25/X25-1</f>
        <v>3.3184038399783677E-2</v>
      </c>
    </row>
    <row r="26" spans="1:39" x14ac:dyDescent="0.2">
      <c r="C26" s="13">
        <v>0.7</v>
      </c>
      <c r="E26" s="1">
        <f>C26*($A$24*730)</f>
        <v>255499.99999999997</v>
      </c>
      <c r="F26" s="1"/>
      <c r="G26" s="29">
        <f t="shared" si="0"/>
        <v>17704.449999999997</v>
      </c>
      <c r="H26" s="29">
        <f>+AH26</f>
        <v>18237.64</v>
      </c>
      <c r="I26" s="29">
        <f>+H26-G26</f>
        <v>533.19000000000233</v>
      </c>
      <c r="J26" s="57">
        <f>ROUND(+I26/G26,4)</f>
        <v>3.0099999999999998E-2</v>
      </c>
      <c r="K26" s="29">
        <f>ROUND($T$10*$E26,2)</f>
        <v>-66.55</v>
      </c>
      <c r="L26" s="29">
        <f>ROUND($T$11*$E26,2)</f>
        <v>482.75</v>
      </c>
      <c r="M26" s="29">
        <f>ROUND($T$12*$E26,2)</f>
        <v>2315.2199999999998</v>
      </c>
      <c r="N26" s="29">
        <f>+G26+K26+L26+M26</f>
        <v>20435.87</v>
      </c>
      <c r="O26" s="29">
        <f>+H26+K26+L26+M26</f>
        <v>20969.060000000001</v>
      </c>
      <c r="P26" s="57">
        <f>(O26-N26)/N26</f>
        <v>2.6090888227415929E-2</v>
      </c>
      <c r="Q26" s="1"/>
      <c r="S26" s="7">
        <f>$S$20</f>
        <v>200</v>
      </c>
      <c r="T26" s="20">
        <f>$T$17*E26</f>
        <v>10194.449999999999</v>
      </c>
      <c r="U26" s="20">
        <f>$U$17*$A$24</f>
        <v>3055</v>
      </c>
      <c r="V26" s="20">
        <f>$V$17*$A$24</f>
        <v>2255</v>
      </c>
      <c r="W26" s="20">
        <f>$W$17*$A$24</f>
        <v>2000</v>
      </c>
      <c r="X26" s="25">
        <f>S26+T26+U26+V26+W26</f>
        <v>17704.449999999997</v>
      </c>
      <c r="Y26" s="25"/>
      <c r="Z26" s="20"/>
      <c r="AC26" s="7">
        <f>$AC$20</f>
        <v>200</v>
      </c>
      <c r="AD26" s="20">
        <f>$AD$17*E26</f>
        <v>10342.64</v>
      </c>
      <c r="AE26" s="20">
        <f>$A$24*$AE$17</f>
        <v>3185</v>
      </c>
      <c r="AF26" s="20">
        <f>$A$24*$AF$17</f>
        <v>2380</v>
      </c>
      <c r="AG26" s="20">
        <f>$A$24*$AG$17</f>
        <v>2130</v>
      </c>
      <c r="AH26" s="25">
        <f>AC26+AD26+AE26+AF26+AG26</f>
        <v>18237.64</v>
      </c>
      <c r="AI26" s="20"/>
      <c r="AJ26" s="17"/>
      <c r="AK26" s="7">
        <f>AH26-X26</f>
        <v>533.19000000000233</v>
      </c>
      <c r="AM26" s="18">
        <f>AH26/X26-1</f>
        <v>3.0116157237304986E-2</v>
      </c>
    </row>
    <row r="27" spans="1:39" x14ac:dyDescent="0.2">
      <c r="C27" s="13"/>
      <c r="E27" s="1"/>
      <c r="F27" s="1"/>
      <c r="G27" s="29"/>
      <c r="H27" s="29"/>
      <c r="J27" s="5"/>
      <c r="K27" s="1"/>
      <c r="L27" s="1"/>
      <c r="M27" s="1"/>
      <c r="P27" s="57"/>
      <c r="Q27" s="1"/>
      <c r="S27" s="7"/>
      <c r="T27" s="20"/>
      <c r="U27" s="20"/>
      <c r="V27" s="20"/>
      <c r="W27" s="20"/>
      <c r="X27" s="25"/>
      <c r="Y27" s="25"/>
      <c r="AC27" s="7"/>
      <c r="AD27" s="20"/>
      <c r="AE27" s="20"/>
      <c r="AF27" s="20"/>
      <c r="AG27" s="20"/>
      <c r="AH27" s="25"/>
      <c r="AJ27" s="17"/>
      <c r="AK27" s="6"/>
      <c r="AM27" s="6"/>
    </row>
    <row r="28" spans="1:39" x14ac:dyDescent="0.2">
      <c r="A28" s="1">
        <v>1000</v>
      </c>
      <c r="B28" s="1"/>
      <c r="C28" s="13">
        <v>0.3</v>
      </c>
      <c r="E28" s="1">
        <f>C28*($A$28*730)</f>
        <v>219000</v>
      </c>
      <c r="F28" s="1"/>
      <c r="G28" s="29">
        <f t="shared" si="0"/>
        <v>23558.1</v>
      </c>
      <c r="H28" s="29">
        <f>+AH28</f>
        <v>24455.120000000003</v>
      </c>
      <c r="I28" s="29">
        <f>+H28-G28</f>
        <v>897.02000000000407</v>
      </c>
      <c r="J28" s="57">
        <f>ROUND(+I28/G28,4)</f>
        <v>3.8100000000000002E-2</v>
      </c>
      <c r="K28" s="29">
        <f>ROUND($T$10*$E28,2)</f>
        <v>-57.04</v>
      </c>
      <c r="L28" s="29">
        <f>ROUND($T$11*$E28,2)</f>
        <v>413.79</v>
      </c>
      <c r="M28" s="29">
        <f>ROUND($T$12*$E28,2)</f>
        <v>1984.47</v>
      </c>
      <c r="N28" s="29">
        <f>+G28+K28+L28+M28</f>
        <v>25899.32</v>
      </c>
      <c r="O28" s="29">
        <f>+H28+K28+L28+M28</f>
        <v>26796.340000000004</v>
      </c>
      <c r="P28" s="57">
        <f>(O28-N28)/N28</f>
        <v>3.4634886166895661E-2</v>
      </c>
      <c r="Q28" s="1"/>
      <c r="S28" s="7">
        <f>$S$20</f>
        <v>200</v>
      </c>
      <c r="T28" s="20">
        <f>$T$17*E28</f>
        <v>8738.1</v>
      </c>
      <c r="U28" s="20">
        <f>$U$17*$A$28</f>
        <v>6110</v>
      </c>
      <c r="V28" s="20">
        <f>$V$17*$A$28</f>
        <v>4510</v>
      </c>
      <c r="W28" s="20">
        <f>$W$17*$A$28</f>
        <v>4000</v>
      </c>
      <c r="X28" s="25">
        <f>S28+T28+U28+V28+W28</f>
        <v>23558.1</v>
      </c>
      <c r="Y28" s="25"/>
      <c r="Z28" s="20"/>
      <c r="AC28" s="7">
        <f>$AC$20</f>
        <v>200</v>
      </c>
      <c r="AD28" s="20">
        <f>$AD$17*E28</f>
        <v>8865.1200000000008</v>
      </c>
      <c r="AE28" s="20">
        <f>$A$28*$AE$17</f>
        <v>6370</v>
      </c>
      <c r="AF28" s="20">
        <f>$A$28*$AF$17</f>
        <v>4760</v>
      </c>
      <c r="AG28" s="20">
        <f>$A$28*$AG$17</f>
        <v>4260</v>
      </c>
      <c r="AH28" s="25">
        <f>AC28+AD28+AE28+AF28+AG28</f>
        <v>24455.120000000003</v>
      </c>
      <c r="AI28" s="20"/>
      <c r="AJ28" s="17"/>
      <c r="AK28" s="7">
        <f>AH28-X28</f>
        <v>897.02000000000407</v>
      </c>
      <c r="AM28" s="18">
        <f>AH28/X28-1</f>
        <v>3.8076924709548043E-2</v>
      </c>
    </row>
    <row r="29" spans="1:39" x14ac:dyDescent="0.2">
      <c r="C29" s="13">
        <v>0.5</v>
      </c>
      <c r="E29" s="1">
        <f>C29*($A$28*730)</f>
        <v>365000</v>
      </c>
      <c r="F29" s="1"/>
      <c r="G29" s="29">
        <f t="shared" si="0"/>
        <v>29383.5</v>
      </c>
      <c r="H29" s="29">
        <f>+AH29</f>
        <v>30365.200000000001</v>
      </c>
      <c r="I29" s="29">
        <f>+H29-G29</f>
        <v>981.70000000000073</v>
      </c>
      <c r="J29" s="57">
        <f>ROUND(+I29/G29,4)</f>
        <v>3.3399999999999999E-2</v>
      </c>
      <c r="K29" s="29">
        <f>ROUND($T$10*$E29,2)</f>
        <v>-95.07</v>
      </c>
      <c r="L29" s="29">
        <f>ROUND($T$11*$E29,2)</f>
        <v>689.64</v>
      </c>
      <c r="M29" s="29">
        <f>ROUND($T$12*$E29,2)</f>
        <v>3307.46</v>
      </c>
      <c r="N29" s="29">
        <f>+G29+K29+L29+M29</f>
        <v>33285.53</v>
      </c>
      <c r="O29" s="29">
        <f>+H29+K29+L29+M29</f>
        <v>34267.230000000003</v>
      </c>
      <c r="P29" s="57">
        <f>(O29-N29)/N29</f>
        <v>2.9493296336275985E-2</v>
      </c>
      <c r="Q29" s="1"/>
      <c r="S29" s="7">
        <f>$S$20</f>
        <v>200</v>
      </c>
      <c r="T29" s="20">
        <f>$T$17*E29</f>
        <v>14563.5</v>
      </c>
      <c r="U29" s="20">
        <f>$U$17*$A$28</f>
        <v>6110</v>
      </c>
      <c r="V29" s="20">
        <f>$V$17*$A$28</f>
        <v>4510</v>
      </c>
      <c r="W29" s="20">
        <f>$W$17*$A$28</f>
        <v>4000</v>
      </c>
      <c r="X29" s="25">
        <f>S29+T29+U29+V29+W29</f>
        <v>29383.5</v>
      </c>
      <c r="Y29" s="25"/>
      <c r="Z29" s="20"/>
      <c r="AC29" s="7">
        <f>$AC$20</f>
        <v>200</v>
      </c>
      <c r="AD29" s="20">
        <f>$AD$17*E29</f>
        <v>14775.2</v>
      </c>
      <c r="AE29" s="20">
        <f>$A$28*$AE$17</f>
        <v>6370</v>
      </c>
      <c r="AF29" s="20">
        <f>$A$28*$AF$17</f>
        <v>4760</v>
      </c>
      <c r="AG29" s="20">
        <f>$A$28*$AG$17</f>
        <v>4260</v>
      </c>
      <c r="AH29" s="25">
        <f>AC29+AD29+AE29+AF29+AG29</f>
        <v>30365.200000000001</v>
      </c>
      <c r="AI29" s="20"/>
      <c r="AJ29" s="17"/>
      <c r="AK29" s="7">
        <f>AH29-X29</f>
        <v>981.70000000000073</v>
      </c>
      <c r="AM29" s="18">
        <f>AH29/X29-1</f>
        <v>3.340990692055068E-2</v>
      </c>
    </row>
    <row r="30" spans="1:39" x14ac:dyDescent="0.2">
      <c r="C30" s="13">
        <v>0.7</v>
      </c>
      <c r="E30" s="1">
        <f>C30*($A$28*730)</f>
        <v>510999.99999999994</v>
      </c>
      <c r="F30" s="1"/>
      <c r="G30" s="29">
        <f t="shared" si="0"/>
        <v>35208.899999999994</v>
      </c>
      <c r="H30" s="29">
        <f>+AH30</f>
        <v>36275.279999999999</v>
      </c>
      <c r="I30" s="29">
        <f>+H30-G30</f>
        <v>1066.3800000000047</v>
      </c>
      <c r="J30" s="57">
        <f>ROUND(+I30/G30,4)</f>
        <v>3.0300000000000001E-2</v>
      </c>
      <c r="K30" s="29">
        <f>ROUND($T$10*$E30,2)</f>
        <v>-133.09</v>
      </c>
      <c r="L30" s="29">
        <f>ROUND($T$11*$E30,2)</f>
        <v>965.5</v>
      </c>
      <c r="M30" s="29">
        <f>ROUND($T$12*$E30,2)</f>
        <v>4630.4399999999996</v>
      </c>
      <c r="N30" s="29">
        <f>+G30+K30+L30+M30</f>
        <v>40671.75</v>
      </c>
      <c r="O30" s="29">
        <f>+H30+K30+L30+M30</f>
        <v>41738.130000000005</v>
      </c>
      <c r="P30" s="57">
        <f>(O30-N30)/N30</f>
        <v>2.6219181618691221E-2</v>
      </c>
      <c r="Q30" s="1"/>
      <c r="S30" s="7">
        <f>$S$20</f>
        <v>200</v>
      </c>
      <c r="T30" s="20">
        <f>$T$17*E30</f>
        <v>20388.899999999998</v>
      </c>
      <c r="U30" s="20">
        <f>$U$17*$A$28</f>
        <v>6110</v>
      </c>
      <c r="V30" s="20">
        <f>$V$17*$A$28</f>
        <v>4510</v>
      </c>
      <c r="W30" s="20">
        <f>$W$17*$A$28</f>
        <v>4000</v>
      </c>
      <c r="X30" s="25">
        <f>S30+T30+U30+V30+W30</f>
        <v>35208.899999999994</v>
      </c>
      <c r="Y30" s="25"/>
      <c r="Z30" s="20"/>
      <c r="AC30" s="7">
        <f>$AC$20</f>
        <v>200</v>
      </c>
      <c r="AD30" s="20">
        <f>$AD$17*E30</f>
        <v>20685.28</v>
      </c>
      <c r="AE30" s="20">
        <f>$A$28*$AE$17</f>
        <v>6370</v>
      </c>
      <c r="AF30" s="20">
        <f>$A$28*$AF$17</f>
        <v>4760</v>
      </c>
      <c r="AG30" s="20">
        <f>$A$28*$AG$17</f>
        <v>4260</v>
      </c>
      <c r="AH30" s="25">
        <f>AC30+AD30+AE30+AF30+AG30</f>
        <v>36275.279999999999</v>
      </c>
      <c r="AI30" s="20"/>
      <c r="AJ30" s="17"/>
      <c r="AK30" s="7">
        <f>AH30-X30</f>
        <v>1066.3800000000047</v>
      </c>
      <c r="AM30" s="18">
        <f>AH30/X30-1</f>
        <v>3.028722851324539E-2</v>
      </c>
    </row>
    <row r="31" spans="1:39" x14ac:dyDescent="0.2">
      <c r="C31" s="13"/>
      <c r="E31" s="1"/>
      <c r="F31" s="1"/>
      <c r="G31" s="29"/>
      <c r="H31" s="29"/>
      <c r="J31" s="5"/>
      <c r="K31" s="1"/>
      <c r="L31" s="1"/>
      <c r="M31" s="1"/>
      <c r="P31" s="57"/>
      <c r="Q31" s="1"/>
      <c r="S31" s="7"/>
      <c r="T31" s="20"/>
      <c r="U31" s="20"/>
      <c r="V31" s="20"/>
      <c r="W31" s="20"/>
      <c r="X31" s="25"/>
      <c r="Y31" s="25"/>
      <c r="AC31" s="7"/>
      <c r="AD31" s="20"/>
      <c r="AE31" s="20"/>
      <c r="AF31" s="20"/>
      <c r="AG31" s="20"/>
      <c r="AH31" s="25"/>
      <c r="AJ31" s="17"/>
      <c r="AK31" s="6"/>
      <c r="AM31" s="6"/>
    </row>
    <row r="32" spans="1:39" x14ac:dyDescent="0.2">
      <c r="A32" s="1">
        <v>2500</v>
      </c>
      <c r="B32" s="1"/>
      <c r="C32" s="13">
        <v>0.3</v>
      </c>
      <c r="E32" s="1">
        <f>C32*($A$32*730)</f>
        <v>547500</v>
      </c>
      <c r="F32" s="1"/>
      <c r="G32" s="29">
        <f t="shared" si="0"/>
        <v>58595.25</v>
      </c>
      <c r="H32" s="29">
        <f>+AH32</f>
        <v>60837.8</v>
      </c>
      <c r="I32" s="29">
        <f>+H32-G32</f>
        <v>2242.5500000000029</v>
      </c>
      <c r="J32" s="57">
        <f>ROUND(+I32/G32,4)</f>
        <v>3.8300000000000001E-2</v>
      </c>
      <c r="K32" s="29">
        <f>ROUND($T$10*$E32,2)</f>
        <v>-142.6</v>
      </c>
      <c r="L32" s="29">
        <f>ROUND($T$11*$E32,2)</f>
        <v>1034.46</v>
      </c>
      <c r="M32" s="29">
        <f>ROUND($T$12*$E32,2)</f>
        <v>4961.18</v>
      </c>
      <c r="N32" s="29">
        <f>+G32+K32+L32+M32</f>
        <v>64448.29</v>
      </c>
      <c r="O32" s="29">
        <f>+H32+K32+L32+M32</f>
        <v>66690.84</v>
      </c>
      <c r="P32" s="57">
        <f>(O32-N32)/N32</f>
        <v>3.4796113287101887E-2</v>
      </c>
      <c r="Q32" s="1"/>
      <c r="S32" s="7">
        <f>$S$20</f>
        <v>200</v>
      </c>
      <c r="T32" s="20">
        <f>$T$17*E32</f>
        <v>21845.25</v>
      </c>
      <c r="U32" s="20">
        <f>$U$17*$A$32</f>
        <v>15275</v>
      </c>
      <c r="V32" s="20">
        <f>$V$17*$A$32</f>
        <v>11275</v>
      </c>
      <c r="W32" s="20">
        <f>$W$17*$A$32</f>
        <v>10000</v>
      </c>
      <c r="X32" s="25">
        <f>S32+T32+U32+V32+W32</f>
        <v>58595.25</v>
      </c>
      <c r="Y32" s="25"/>
      <c r="Z32" s="20"/>
      <c r="AC32" s="7">
        <f>$AC$20</f>
        <v>200</v>
      </c>
      <c r="AD32" s="20">
        <f>$AD$17*E32</f>
        <v>22162.800000000003</v>
      </c>
      <c r="AE32" s="20">
        <f>$A$32*$AE$17</f>
        <v>15925</v>
      </c>
      <c r="AF32" s="20">
        <f>$A$32*$AF$17</f>
        <v>11900</v>
      </c>
      <c r="AG32" s="20">
        <f>$A$32*$AG$17</f>
        <v>10650</v>
      </c>
      <c r="AH32" s="25">
        <f>AC32+AD32+AE32+AF32+AG32</f>
        <v>60837.8</v>
      </c>
      <c r="AI32" s="20"/>
      <c r="AJ32" s="17"/>
      <c r="AK32" s="7">
        <f>AH32-X32</f>
        <v>2242.5500000000029</v>
      </c>
      <c r="AM32" s="18">
        <f>AH32/X32-1</f>
        <v>3.8271873573369808E-2</v>
      </c>
    </row>
    <row r="33" spans="1:39" x14ac:dyDescent="0.2">
      <c r="C33" s="13">
        <v>0.5</v>
      </c>
      <c r="E33" s="1">
        <f>C33*($A$32*730)</f>
        <v>912500</v>
      </c>
      <c r="F33" s="1"/>
      <c r="G33" s="29">
        <f t="shared" si="0"/>
        <v>73158.75</v>
      </c>
      <c r="H33" s="29">
        <f>+AH33</f>
        <v>75613</v>
      </c>
      <c r="I33" s="29">
        <f>+H33-G33</f>
        <v>2454.25</v>
      </c>
      <c r="J33" s="57">
        <f>ROUND(+I33/G33,4)</f>
        <v>3.3500000000000002E-2</v>
      </c>
      <c r="K33" s="29">
        <f>ROUND($T$10*$E33,2)</f>
        <v>-237.67</v>
      </c>
      <c r="L33" s="29">
        <f>ROUND($T$11*$E33,2)</f>
        <v>1724.11</v>
      </c>
      <c r="M33" s="29">
        <f>ROUND($T$12*$E33,2)</f>
        <v>8268.64</v>
      </c>
      <c r="N33" s="29">
        <f>+G33+K33+L33+M33</f>
        <v>82913.83</v>
      </c>
      <c r="O33" s="29">
        <f>+H33+K33+L33+M33</f>
        <v>85368.08</v>
      </c>
      <c r="P33" s="57">
        <f>(O33-N33)/N33</f>
        <v>2.9600007622371322E-2</v>
      </c>
      <c r="Q33" s="1"/>
      <c r="S33" s="7">
        <f>$S$20</f>
        <v>200</v>
      </c>
      <c r="T33" s="20">
        <f>$T$17*E33</f>
        <v>36408.75</v>
      </c>
      <c r="U33" s="20">
        <f>$U$17*$A$32</f>
        <v>15275</v>
      </c>
      <c r="V33" s="20">
        <f>$V$17*$A$32</f>
        <v>11275</v>
      </c>
      <c r="W33" s="20">
        <f>$W$17*$A$32</f>
        <v>10000</v>
      </c>
      <c r="X33" s="25">
        <f>S33+T33+U33+V33+W33</f>
        <v>73158.75</v>
      </c>
      <c r="Y33" s="25"/>
      <c r="Z33" s="20"/>
      <c r="AC33" s="7">
        <f>$AC$20</f>
        <v>200</v>
      </c>
      <c r="AD33" s="20">
        <f>$AD$17*E33</f>
        <v>36938</v>
      </c>
      <c r="AE33" s="20">
        <f>$A$32*$AE$17</f>
        <v>15925</v>
      </c>
      <c r="AF33" s="20">
        <f>$A$32*$AF$17</f>
        <v>11900</v>
      </c>
      <c r="AG33" s="20">
        <f>$A$32*$AG$17</f>
        <v>10650</v>
      </c>
      <c r="AH33" s="25">
        <f>AC33+AD33+AE33+AF33+AG33</f>
        <v>75613</v>
      </c>
      <c r="AI33" s="20"/>
      <c r="AJ33" s="17"/>
      <c r="AK33" s="7">
        <f>AH33-X33</f>
        <v>2454.25</v>
      </c>
      <c r="AM33" s="18">
        <f>AH33/X33-1</f>
        <v>3.3546909973174666E-2</v>
      </c>
    </row>
    <row r="34" spans="1:39" x14ac:dyDescent="0.2">
      <c r="C34" s="13">
        <v>0.7</v>
      </c>
      <c r="E34" s="1">
        <f>C34*($A$32*730)</f>
        <v>1277500</v>
      </c>
      <c r="F34" s="1"/>
      <c r="G34" s="29">
        <f t="shared" si="0"/>
        <v>87722.25</v>
      </c>
      <c r="H34" s="29">
        <f>+AH34</f>
        <v>90388.200000000012</v>
      </c>
      <c r="I34" s="29">
        <f>+H34-G34</f>
        <v>2665.9500000000116</v>
      </c>
      <c r="J34" s="57">
        <f>ROUND(+I34/G34,4)</f>
        <v>3.04E-2</v>
      </c>
      <c r="K34" s="29">
        <f>ROUND($T$10*$E34,2)</f>
        <v>-332.74</v>
      </c>
      <c r="L34" s="29">
        <f>ROUND($T$11*$E34,2)</f>
        <v>2413.75</v>
      </c>
      <c r="M34" s="29">
        <f>ROUND($T$12*$E34,2)</f>
        <v>11576.09</v>
      </c>
      <c r="N34" s="29">
        <f>+G34+K34+L34+M34</f>
        <v>101379.34999999999</v>
      </c>
      <c r="O34" s="29">
        <f>+H34+K34+L34+M34</f>
        <v>104045.3</v>
      </c>
      <c r="P34" s="57">
        <f>(O34-N34)/N34</f>
        <v>2.6296775428132177E-2</v>
      </c>
      <c r="Q34" s="1"/>
      <c r="S34" s="7">
        <f>$S$20</f>
        <v>200</v>
      </c>
      <c r="T34" s="20">
        <f>$T$17*E34</f>
        <v>50972.25</v>
      </c>
      <c r="U34" s="20">
        <f>$U$17*$A$32</f>
        <v>15275</v>
      </c>
      <c r="V34" s="20">
        <f>$V$17*$A$32</f>
        <v>11275</v>
      </c>
      <c r="W34" s="20">
        <f>$W$17*$A$32</f>
        <v>10000</v>
      </c>
      <c r="X34" s="25">
        <f>S34+T34+U34+V34+W34</f>
        <v>87722.25</v>
      </c>
      <c r="Y34" s="25"/>
      <c r="Z34" s="20"/>
      <c r="AC34" s="7">
        <f>$AC$20</f>
        <v>200</v>
      </c>
      <c r="AD34" s="20">
        <f>$AD$17*E34</f>
        <v>51713.200000000004</v>
      </c>
      <c r="AE34" s="20">
        <f>$A$32*$AE$17</f>
        <v>15925</v>
      </c>
      <c r="AF34" s="20">
        <f>$A$32*$AF$17</f>
        <v>11900</v>
      </c>
      <c r="AG34" s="20">
        <f>$A$32*$AG$17</f>
        <v>10650</v>
      </c>
      <c r="AH34" s="25">
        <f>AC34+AD34+AE34+AF34+AG34</f>
        <v>90388.200000000012</v>
      </c>
      <c r="AI34" s="20"/>
      <c r="AJ34" s="17"/>
      <c r="AK34" s="7">
        <f>AH34-X34</f>
        <v>2665.9500000000116</v>
      </c>
      <c r="AM34" s="18">
        <f>AH34/X34-1</f>
        <v>3.039080734933286E-2</v>
      </c>
    </row>
    <row r="35" spans="1:39" x14ac:dyDescent="0.2">
      <c r="C35" s="13"/>
      <c r="E35" s="1"/>
      <c r="F35" s="1"/>
      <c r="G35" s="29"/>
      <c r="H35" s="29"/>
      <c r="J35" s="5"/>
      <c r="K35" s="1"/>
      <c r="L35" s="1"/>
      <c r="M35" s="1"/>
      <c r="P35" s="57"/>
      <c r="Q35" s="1"/>
      <c r="S35" s="7"/>
      <c r="T35" s="20"/>
      <c r="U35" s="20"/>
      <c r="V35" s="20"/>
      <c r="W35" s="20"/>
      <c r="X35" s="25"/>
      <c r="Y35" s="25"/>
      <c r="AC35" s="7"/>
      <c r="AD35" s="20"/>
      <c r="AE35" s="20"/>
      <c r="AF35" s="20"/>
      <c r="AG35" s="20"/>
      <c r="AH35" s="25"/>
      <c r="AJ35" s="17"/>
      <c r="AK35" s="6"/>
      <c r="AM35" s="6"/>
    </row>
    <row r="36" spans="1:39" x14ac:dyDescent="0.2">
      <c r="A36" s="1">
        <v>5000</v>
      </c>
      <c r="B36" s="1"/>
      <c r="C36" s="13">
        <v>0.3</v>
      </c>
      <c r="E36" s="1">
        <f>C36*($A$36*730)</f>
        <v>1095000</v>
      </c>
      <c r="F36" s="1"/>
      <c r="G36" s="29">
        <f t="shared" si="0"/>
        <v>116990.5</v>
      </c>
      <c r="H36" s="29">
        <f>+AH36</f>
        <v>121475.6</v>
      </c>
      <c r="I36" s="29">
        <f>+H36-G36</f>
        <v>4485.1000000000058</v>
      </c>
      <c r="J36" s="57">
        <f>ROUND(+I36/G36,4)</f>
        <v>3.8300000000000001E-2</v>
      </c>
      <c r="K36" s="29">
        <f>ROUND($T$10*$E36,2)</f>
        <v>-285.2</v>
      </c>
      <c r="L36" s="29">
        <f>ROUND($T$11*$E36,2)</f>
        <v>2068.9299999999998</v>
      </c>
      <c r="M36" s="29">
        <f>ROUND($T$12*$E36,2)</f>
        <v>9922.3700000000008</v>
      </c>
      <c r="N36" s="29">
        <f>+G36+K36+L36+M36</f>
        <v>128696.59999999999</v>
      </c>
      <c r="O36" s="29">
        <f>+H36+K36+L36+M36</f>
        <v>133181.70000000001</v>
      </c>
      <c r="P36" s="57">
        <f>(O36-N36)/N36</f>
        <v>3.4850182522304554E-2</v>
      </c>
      <c r="Q36" s="1"/>
      <c r="S36" s="7">
        <f>$S$20</f>
        <v>200</v>
      </c>
      <c r="T36" s="20">
        <f>$T$17*E36</f>
        <v>43690.5</v>
      </c>
      <c r="U36" s="20">
        <f>$U$17*$A$36</f>
        <v>30550</v>
      </c>
      <c r="V36" s="20">
        <f>$V$17*$A$36</f>
        <v>22550</v>
      </c>
      <c r="W36" s="20">
        <f>$W$17*$A$36</f>
        <v>20000</v>
      </c>
      <c r="X36" s="25">
        <f>S36+T36+U36+V36+W36</f>
        <v>116990.5</v>
      </c>
      <c r="Y36" s="25"/>
      <c r="Z36" s="20"/>
      <c r="AC36" s="7">
        <f>$AC$20</f>
        <v>200</v>
      </c>
      <c r="AD36" s="20">
        <f>$AD$17*E36</f>
        <v>44325.600000000006</v>
      </c>
      <c r="AE36" s="20">
        <f>$A$36*$AE$17</f>
        <v>31850</v>
      </c>
      <c r="AF36" s="20">
        <f>$A$36*$AF$17</f>
        <v>23800</v>
      </c>
      <c r="AG36" s="20">
        <f>$A$36*$AG$17</f>
        <v>21300</v>
      </c>
      <c r="AH36" s="25">
        <f>AC36+AD36+AE36+AF36+AG36</f>
        <v>121475.6</v>
      </c>
      <c r="AI36" s="20"/>
      <c r="AJ36" s="17"/>
      <c r="AK36" s="7">
        <f>AH36-X36</f>
        <v>4485.1000000000058</v>
      </c>
      <c r="AM36" s="18">
        <f>AH36/X36-1</f>
        <v>3.8337300891952752E-2</v>
      </c>
    </row>
    <row r="37" spans="1:39" x14ac:dyDescent="0.2">
      <c r="C37" s="13">
        <v>0.5</v>
      </c>
      <c r="E37" s="1">
        <f>C37*($A$36*730)</f>
        <v>1825000</v>
      </c>
      <c r="F37" s="1"/>
      <c r="G37" s="29">
        <f t="shared" si="0"/>
        <v>146117.5</v>
      </c>
      <c r="H37" s="29">
        <f>+AH37</f>
        <v>151026</v>
      </c>
      <c r="I37" s="29">
        <f>+H37-G37</f>
        <v>4908.5</v>
      </c>
      <c r="J37" s="57">
        <f>ROUND(+I37/G37,4)</f>
        <v>3.3599999999999998E-2</v>
      </c>
      <c r="K37" s="29">
        <f>ROUND($T$10*$E37,2)</f>
        <v>-475.34</v>
      </c>
      <c r="L37" s="29">
        <f>ROUND($T$11*$E37,2)</f>
        <v>3448.21</v>
      </c>
      <c r="M37" s="29">
        <f>ROUND($T$12*$E37,2)</f>
        <v>16537.28</v>
      </c>
      <c r="N37" s="29">
        <f>+G37+K37+L37+M37</f>
        <v>165627.65</v>
      </c>
      <c r="O37" s="29">
        <f>+H37+K37+L37+M37</f>
        <v>170536.15</v>
      </c>
      <c r="P37" s="57">
        <f>(O37-N37)/N37</f>
        <v>2.9635752243058453E-2</v>
      </c>
      <c r="Q37" s="1"/>
      <c r="S37" s="7">
        <f>$S$20</f>
        <v>200</v>
      </c>
      <c r="T37" s="20">
        <f>$T$17*E37</f>
        <v>72817.5</v>
      </c>
      <c r="U37" s="20">
        <f>$U$17*$A$36</f>
        <v>30550</v>
      </c>
      <c r="V37" s="20">
        <f>$V$17*$A$36</f>
        <v>22550</v>
      </c>
      <c r="W37" s="20">
        <f>$W$17*$A$36</f>
        <v>20000</v>
      </c>
      <c r="X37" s="25">
        <f>S37+T37+U37+V37+W37</f>
        <v>146117.5</v>
      </c>
      <c r="Y37" s="25"/>
      <c r="Z37" s="20"/>
      <c r="AC37" s="7">
        <f>$AC$20</f>
        <v>200</v>
      </c>
      <c r="AD37" s="20">
        <f>$AD$17*E37</f>
        <v>73876</v>
      </c>
      <c r="AE37" s="20">
        <f>$A$36*$AE$17</f>
        <v>31850</v>
      </c>
      <c r="AF37" s="20">
        <f>$A$36*$AF$17</f>
        <v>23800</v>
      </c>
      <c r="AG37" s="20">
        <f>$A$36*$AG$17</f>
        <v>21300</v>
      </c>
      <c r="AH37" s="25">
        <f>AC37+AD37+AE37+AF37+AG37</f>
        <v>151026</v>
      </c>
      <c r="AI37" s="20"/>
      <c r="AJ37" s="17"/>
      <c r="AK37" s="7">
        <f>AH37-X37</f>
        <v>4908.5</v>
      </c>
      <c r="AM37" s="18">
        <f>AH37/X37-1</f>
        <v>3.3592827690043903E-2</v>
      </c>
    </row>
    <row r="38" spans="1:39" x14ac:dyDescent="0.2">
      <c r="C38" s="13">
        <v>0.7</v>
      </c>
      <c r="E38" s="1">
        <f>C38*($A$36*730)</f>
        <v>2555000</v>
      </c>
      <c r="F38" s="1"/>
      <c r="G38" s="29">
        <f t="shared" si="0"/>
        <v>175244.5</v>
      </c>
      <c r="H38" s="29">
        <f>+AH38</f>
        <v>180576.40000000002</v>
      </c>
      <c r="I38" s="29">
        <f>+H38-G38</f>
        <v>5331.9000000000233</v>
      </c>
      <c r="J38" s="57">
        <f>ROUND(+I38/G38,4)</f>
        <v>3.04E-2</v>
      </c>
      <c r="K38" s="29">
        <f>ROUND($T$10*$E38,2)</f>
        <v>-665.47</v>
      </c>
      <c r="L38" s="29">
        <f>ROUND($T$11*$E38,2)</f>
        <v>4827.5</v>
      </c>
      <c r="M38" s="29">
        <f>ROUND($T$12*$E38,2)</f>
        <v>23152.19</v>
      </c>
      <c r="N38" s="29">
        <f>+G38+K38+L38+M38</f>
        <v>202558.72</v>
      </c>
      <c r="O38" s="29">
        <f>+H38+K38+L38+M38</f>
        <v>207890.62000000002</v>
      </c>
      <c r="P38" s="57">
        <f>(O38-N38)/N38</f>
        <v>2.6322737426460945E-2</v>
      </c>
      <c r="Q38" s="1"/>
      <c r="S38" s="7">
        <f>$S$20</f>
        <v>200</v>
      </c>
      <c r="T38" s="20">
        <f>$T$17*E38</f>
        <v>101944.5</v>
      </c>
      <c r="U38" s="20">
        <f>$U$17*$A$36</f>
        <v>30550</v>
      </c>
      <c r="V38" s="20">
        <f>$V$17*$A$36</f>
        <v>22550</v>
      </c>
      <c r="W38" s="20">
        <f>$W$17*$A$36</f>
        <v>20000</v>
      </c>
      <c r="X38" s="25">
        <f>S38+T38+U38+V38+W38</f>
        <v>175244.5</v>
      </c>
      <c r="Y38" s="25"/>
      <c r="Z38" s="20"/>
      <c r="AC38" s="7">
        <f>$AC$20</f>
        <v>200</v>
      </c>
      <c r="AD38" s="20">
        <f>$AD$17*E38</f>
        <v>103426.40000000001</v>
      </c>
      <c r="AE38" s="20">
        <f>$A$36*$AE$17</f>
        <v>31850</v>
      </c>
      <c r="AF38" s="20">
        <f>$A$36*$AF$17</f>
        <v>23800</v>
      </c>
      <c r="AG38" s="20">
        <f>$A$36*$AG$17</f>
        <v>21300</v>
      </c>
      <c r="AH38" s="25">
        <f>AC38+AD38+AE38+AF38+AG38</f>
        <v>180576.40000000002</v>
      </c>
      <c r="AI38" s="20"/>
      <c r="AJ38" s="17"/>
      <c r="AK38" s="7">
        <f>AH38-X38</f>
        <v>5331.9000000000233</v>
      </c>
      <c r="AM38" s="18">
        <f>AH38/X38-1</f>
        <v>3.0425491242235925E-2</v>
      </c>
    </row>
    <row r="39" spans="1:39" x14ac:dyDescent="0.2">
      <c r="T39" s="20"/>
      <c r="U39" s="20"/>
      <c r="V39" s="20"/>
      <c r="W39" s="20"/>
      <c r="X39" s="20"/>
      <c r="Y39" s="20"/>
    </row>
    <row r="40" spans="1:39" x14ac:dyDescent="0.2">
      <c r="A40" s="17" t="s">
        <v>373</v>
      </c>
      <c r="T40" s="20"/>
      <c r="U40" s="20"/>
      <c r="V40" s="20"/>
      <c r="W40" s="20"/>
      <c r="X40" s="20"/>
      <c r="Y40" s="20"/>
    </row>
    <row r="41" spans="1:39" x14ac:dyDescent="0.2">
      <c r="A41" s="228" t="str">
        <f>("Average usage = "&amp;TEXT(INPUT!K19*1,"0,000")&amp;" kWh per month")</f>
        <v>Average usage = 271,647 kWh per month</v>
      </c>
      <c r="T41" s="20"/>
      <c r="U41" s="20"/>
      <c r="V41" s="20"/>
      <c r="W41" s="20"/>
      <c r="X41" s="20"/>
      <c r="Y41" s="20"/>
    </row>
    <row r="42" spans="1:39" x14ac:dyDescent="0.2">
      <c r="A42" s="230" t="s">
        <v>375</v>
      </c>
      <c r="C42" s="13"/>
      <c r="E42" s="1"/>
      <c r="F42" s="1"/>
      <c r="G42" s="1"/>
      <c r="H42" s="1"/>
      <c r="I42" s="1"/>
      <c r="J42" s="1"/>
      <c r="K42" s="1"/>
      <c r="L42" s="1"/>
      <c r="M42" s="1"/>
      <c r="N42" s="221"/>
      <c r="O42" s="1"/>
      <c r="P42" s="222"/>
      <c r="Q42" s="1"/>
      <c r="AE42" s="31"/>
      <c r="AF42" s="20"/>
      <c r="AG42" s="20"/>
      <c r="AH42" s="20"/>
      <c r="AI42" s="20"/>
      <c r="AJ42" s="20"/>
      <c r="AK42" s="6"/>
    </row>
    <row r="43" spans="1:39" x14ac:dyDescent="0.2">
      <c r="A43" s="231" t="s">
        <v>99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T43" s="12"/>
      <c r="AE43" s="9"/>
    </row>
    <row r="44" spans="1:39" x14ac:dyDescent="0.2">
      <c r="A44" s="231" t="str">
        <f>+'Rate Case Constants'!C26</f>
        <v>Calculations may vary from other schedules due to rounding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A44" s="3"/>
      <c r="AB44" s="2"/>
      <c r="AC44" s="3"/>
      <c r="AE44" s="3"/>
    </row>
    <row r="45" spans="1:39" x14ac:dyDescent="0.2">
      <c r="A45" s="61"/>
      <c r="AE45" s="9"/>
    </row>
    <row r="46" spans="1:39" x14ac:dyDescent="0.2">
      <c r="S46" s="3"/>
      <c r="W46" s="3"/>
      <c r="AA46" s="3"/>
      <c r="AE46" s="9"/>
    </row>
    <row r="47" spans="1:39" x14ac:dyDescent="0.2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A47" s="3"/>
      <c r="AB47" s="2"/>
      <c r="AC47" s="3"/>
      <c r="AE47" s="3"/>
    </row>
    <row r="48" spans="1:39" x14ac:dyDescent="0.2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A48" s="3"/>
      <c r="AB48" s="2"/>
      <c r="AC48" s="3"/>
      <c r="AE48" s="3"/>
    </row>
    <row r="49" spans="5:31" x14ac:dyDescent="0.2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T49" s="3"/>
      <c r="U49" s="3"/>
      <c r="V49" s="3"/>
      <c r="W49" s="3"/>
      <c r="X49" s="3"/>
      <c r="Y49" s="3"/>
    </row>
    <row r="50" spans="5:31" x14ac:dyDescent="0.2"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S50" s="7"/>
      <c r="T50" s="12"/>
      <c r="W50" s="12"/>
      <c r="X50" s="12"/>
      <c r="Y50" s="12"/>
      <c r="AA50" s="6"/>
      <c r="AC50" s="6"/>
      <c r="AE50" s="9"/>
    </row>
    <row r="51" spans="5:31" x14ac:dyDescent="0.2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S51" s="7"/>
      <c r="T51" s="12"/>
      <c r="W51" s="12"/>
      <c r="X51" s="12"/>
      <c r="Y51" s="12"/>
      <c r="AA51" s="6"/>
      <c r="AC51" s="6"/>
      <c r="AE51" s="9"/>
    </row>
    <row r="52" spans="5:31" x14ac:dyDescent="0.2"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S52" s="7"/>
      <c r="T52" s="12"/>
      <c r="W52" s="12"/>
      <c r="X52" s="12"/>
      <c r="Y52" s="12"/>
      <c r="AA52" s="6"/>
      <c r="AC52" s="6"/>
      <c r="AE52" s="9"/>
    </row>
    <row r="53" spans="5:31" x14ac:dyDescent="0.2"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S53" s="7"/>
      <c r="T53" s="12"/>
      <c r="W53" s="12"/>
      <c r="X53" s="12"/>
      <c r="Y53" s="12"/>
      <c r="AA53" s="6"/>
      <c r="AB53" s="10"/>
      <c r="AC53" s="6"/>
      <c r="AD53" s="10"/>
      <c r="AE53" s="9"/>
    </row>
    <row r="54" spans="5:31" ht="6.75" customHeight="1" x14ac:dyDescent="0.2"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S54" s="7"/>
      <c r="T54" s="12"/>
      <c r="W54" s="12"/>
      <c r="X54" s="12"/>
      <c r="Y54" s="12"/>
      <c r="AA54" s="6"/>
      <c r="AB54" s="10"/>
      <c r="AC54" s="6"/>
      <c r="AD54" s="10"/>
      <c r="AE54" s="9"/>
    </row>
    <row r="55" spans="5:31" x14ac:dyDescent="0.2"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S55" s="7"/>
      <c r="T55" s="12"/>
      <c r="W55" s="12"/>
      <c r="X55" s="12"/>
      <c r="Y55" s="12"/>
      <c r="AA55" s="6"/>
      <c r="AC55" s="6"/>
      <c r="AE55" s="9"/>
    </row>
    <row r="56" spans="5:31" x14ac:dyDescent="0.2"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S56" s="7"/>
      <c r="T56" s="12"/>
      <c r="W56" s="12"/>
      <c r="X56" s="12"/>
      <c r="Y56" s="12"/>
      <c r="AA56" s="6"/>
      <c r="AC56" s="6"/>
      <c r="AE56" s="9"/>
    </row>
    <row r="57" spans="5:31" x14ac:dyDescent="0.2"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S57" s="7"/>
      <c r="T57" s="12"/>
      <c r="W57" s="12"/>
      <c r="X57" s="12"/>
      <c r="Y57" s="12"/>
      <c r="AA57" s="6"/>
      <c r="AC57" s="6"/>
      <c r="AE57" s="9"/>
    </row>
    <row r="58" spans="5:31" x14ac:dyDescent="0.2"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S58" s="7"/>
      <c r="T58" s="12"/>
      <c r="W58" s="12"/>
      <c r="X58" s="12"/>
      <c r="Y58" s="12"/>
      <c r="AA58" s="6"/>
      <c r="AC58" s="6"/>
      <c r="AE58" s="9"/>
    </row>
    <row r="59" spans="5:31" x14ac:dyDescent="0.2"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S59" s="7"/>
      <c r="T59" s="12"/>
      <c r="W59" s="12"/>
      <c r="X59" s="12"/>
      <c r="Y59" s="12"/>
      <c r="AA59" s="6"/>
      <c r="AC59" s="6"/>
      <c r="AE59" s="9"/>
    </row>
    <row r="60" spans="5:31" ht="6.75" customHeight="1" x14ac:dyDescent="0.2"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S60" s="7"/>
      <c r="T60" s="12"/>
      <c r="W60" s="12"/>
      <c r="X60" s="12"/>
      <c r="Y60" s="12"/>
      <c r="AA60" s="6"/>
      <c r="AC60" s="6"/>
      <c r="AE60" s="9"/>
    </row>
    <row r="61" spans="5:31" x14ac:dyDescent="0.2"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S61" s="7"/>
      <c r="T61" s="12"/>
      <c r="W61" s="12"/>
      <c r="X61" s="12"/>
      <c r="Y61" s="12"/>
      <c r="AA61" s="6"/>
      <c r="AC61" s="6"/>
      <c r="AE61" s="9"/>
    </row>
    <row r="62" spans="5:31" x14ac:dyDescent="0.2"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S62" s="7"/>
      <c r="T62" s="12"/>
      <c r="W62" s="12"/>
      <c r="X62" s="12"/>
      <c r="Y62" s="12"/>
      <c r="AA62" s="6"/>
      <c r="AC62" s="6"/>
      <c r="AE62" s="9"/>
    </row>
    <row r="63" spans="5:31" x14ac:dyDescent="0.2"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S63" s="7"/>
      <c r="T63" s="12"/>
      <c r="W63" s="12"/>
      <c r="X63" s="12"/>
      <c r="Y63" s="12"/>
      <c r="AA63" s="6"/>
      <c r="AC63" s="6"/>
      <c r="AE63" s="9"/>
    </row>
    <row r="64" spans="5:31" x14ac:dyDescent="0.2"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S64" s="7"/>
      <c r="T64" s="12"/>
      <c r="W64" s="12"/>
      <c r="X64" s="12"/>
      <c r="Y64" s="12"/>
      <c r="AA64" s="6"/>
      <c r="AC64" s="6"/>
      <c r="AE64" s="9"/>
    </row>
    <row r="65" spans="5:35" x14ac:dyDescent="0.2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T65" s="3"/>
      <c r="U65" s="3"/>
      <c r="V65" s="3"/>
      <c r="W65" s="3"/>
      <c r="X65" s="3"/>
      <c r="Y65" s="3"/>
    </row>
    <row r="66" spans="5:35" x14ac:dyDescent="0.2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T66" s="3"/>
      <c r="U66" s="3"/>
      <c r="V66" s="3"/>
      <c r="W66" s="3"/>
      <c r="X66" s="3"/>
      <c r="Y66" s="3"/>
    </row>
    <row r="67" spans="5:35" x14ac:dyDescent="0.2"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AE67" s="9"/>
    </row>
    <row r="68" spans="5:35" x14ac:dyDescent="0.2">
      <c r="AH68" s="4"/>
      <c r="AI68" s="4"/>
    </row>
  </sheetData>
  <mergeCells count="5">
    <mergeCell ref="A1:P1"/>
    <mergeCell ref="A2:P2"/>
    <mergeCell ref="A3:P3"/>
    <mergeCell ref="A4:P4"/>
    <mergeCell ref="K15:M15"/>
  </mergeCells>
  <printOptions horizontalCentered="1"/>
  <pageMargins left="0.25" right="0.25" top="1" bottom="0.5" header="1" footer="0.5"/>
  <pageSetup scale="9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8"/>
  <sheetViews>
    <sheetView view="pageBreakPreview" zoomScaleNormal="100" zoomScaleSheetLayoutView="100" workbookViewId="0">
      <selection activeCell="R33" sqref="R33"/>
    </sheetView>
  </sheetViews>
  <sheetFormatPr defaultRowHeight="12.75" x14ac:dyDescent="0.2"/>
  <cols>
    <col min="1" max="1" width="7.140625" customWidth="1"/>
    <col min="2" max="2" width="3.7109375" customWidth="1"/>
    <col min="3" max="3" width="6.5703125" customWidth="1"/>
    <col min="4" max="4" width="1.85546875" customWidth="1"/>
    <col min="5" max="5" width="10.85546875" bestFit="1" customWidth="1"/>
    <col min="6" max="6" width="2" customWidth="1"/>
    <col min="7" max="7" width="15.140625" bestFit="1" customWidth="1"/>
    <col min="8" max="8" width="14.7109375" customWidth="1"/>
    <col min="9" max="9" width="11.85546875" bestFit="1" customWidth="1"/>
    <col min="10" max="10" width="9.85546875" customWidth="1"/>
    <col min="11" max="11" width="12" bestFit="1" customWidth="1"/>
    <col min="12" max="12" width="12.28515625" bestFit="1" customWidth="1"/>
    <col min="13" max="13" width="12.140625" customWidth="1"/>
    <col min="14" max="15" width="15.140625" bestFit="1" customWidth="1"/>
    <col min="16" max="18" width="9.85546875" customWidth="1"/>
    <col min="19" max="19" width="10" customWidth="1"/>
    <col min="20" max="20" width="13.5703125" customWidth="1"/>
    <col min="21" max="21" width="12.5703125" bestFit="1" customWidth="1"/>
    <col min="22" max="22" width="12.7109375" bestFit="1" customWidth="1"/>
    <col min="23" max="23" width="12" bestFit="1" customWidth="1"/>
    <col min="24" max="24" width="14.42578125" bestFit="1" customWidth="1"/>
    <col min="25" max="25" width="3.140625" customWidth="1"/>
    <col min="26" max="26" width="14.42578125" customWidth="1"/>
    <col min="27" max="27" width="3.85546875" customWidth="1"/>
    <col min="28" max="28" width="2.42578125" customWidth="1"/>
    <col min="29" max="29" width="14.42578125" bestFit="1" customWidth="1"/>
    <col min="30" max="31" width="12.7109375" bestFit="1" customWidth="1"/>
    <col min="32" max="32" width="13.85546875" bestFit="1" customWidth="1"/>
    <col min="33" max="33" width="11.5703125" bestFit="1" customWidth="1"/>
    <col min="34" max="34" width="14.42578125" bestFit="1" customWidth="1"/>
    <col min="35" max="35" width="12.7109375" customWidth="1"/>
    <col min="36" max="36" width="11.140625" customWidth="1"/>
    <col min="37" max="37" width="11.42578125" bestFit="1" customWidth="1"/>
    <col min="38" max="38" width="10.7109375" customWidth="1"/>
    <col min="39" max="39" width="11.42578125" bestFit="1" customWidth="1"/>
  </cols>
  <sheetData>
    <row r="1" spans="1:39" x14ac:dyDescent="0.2">
      <c r="A1" s="377" t="str">
        <f>+'Rate Case Constants'!C9</f>
        <v>LOUISVILLE GAS AND ELECTRIC COMPANY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</row>
    <row r="2" spans="1:39" x14ac:dyDescent="0.2">
      <c r="A2" s="379" t="str">
        <f>+'Rate Case Constants'!A2:C2</f>
        <v>Rate Case Constants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</row>
    <row r="3" spans="1:39" x14ac:dyDescent="0.2">
      <c r="A3" s="378" t="str">
        <f>+'Rate Case Constants'!C24</f>
        <v>Typical Electric Bill Comparison under Present &amp; Proposed Rates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</row>
    <row r="4" spans="1:39" x14ac:dyDescent="0.2">
      <c r="A4" s="379" t="str">
        <f>+'Rate Case Constants'!A3:C3</f>
        <v>For the 2014 Rate Case Filing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</row>
    <row r="7" spans="1:39" x14ac:dyDescent="0.2">
      <c r="A7" t="str">
        <f>+'Rate Case Constants'!C33</f>
        <v>DATA: ____BASE PERIOD__X___FORECASTED PERIOD</v>
      </c>
      <c r="P7" s="208" t="str">
        <f>+'Rate Case Constants'!C25</f>
        <v>SCHEDULE N (Electric)</v>
      </c>
    </row>
    <row r="8" spans="1:39" x14ac:dyDescent="0.2">
      <c r="A8" t="str">
        <f>+'Rate Case Constants'!C29</f>
        <v>TYPE OF FILING: __X__ ORIGINAL  _____ UPDATED  _____ REVISED</v>
      </c>
      <c r="L8" s="209"/>
      <c r="P8" s="209" t="str">
        <f>+'Rate Case Constants'!L16</f>
        <v>PAGE 9 of 22</v>
      </c>
    </row>
    <row r="9" spans="1:39" x14ac:dyDescent="0.2">
      <c r="A9" t="str">
        <f>+'Rate Case Constants'!C34</f>
        <v>WORKPAPER REFERENCE NO(S):________</v>
      </c>
      <c r="P9" s="209" t="str">
        <f>+'Rate Case Constants'!C37</f>
        <v>WITNESS:   R. M. CONROY</v>
      </c>
    </row>
    <row r="10" spans="1:39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S10" s="86" t="s">
        <v>72</v>
      </c>
      <c r="T10">
        <f>+INPUT!G55</f>
        <v>-2.3635784737491012E-4</v>
      </c>
    </row>
    <row r="11" spans="1:39" x14ac:dyDescent="0.2">
      <c r="A11" s="45" t="s">
        <v>396</v>
      </c>
      <c r="S11" s="86" t="s">
        <v>74</v>
      </c>
      <c r="T11">
        <f>+INPUT!H55</f>
        <v>1.8894593212604662E-3</v>
      </c>
      <c r="V11" s="61" t="s">
        <v>99</v>
      </c>
      <c r="AD11" s="61" t="s">
        <v>99</v>
      </c>
    </row>
    <row r="12" spans="1:39" x14ac:dyDescent="0.2"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86" t="s">
        <v>73</v>
      </c>
      <c r="T12">
        <f>+INPUT!I55</f>
        <v>9.0396829629097626E-3</v>
      </c>
    </row>
    <row r="13" spans="1:39" x14ac:dyDescent="0.2">
      <c r="A13" s="45"/>
      <c r="G13" s="222" t="s">
        <v>362</v>
      </c>
      <c r="H13" s="223" t="s">
        <v>363</v>
      </c>
      <c r="I13" s="223" t="s">
        <v>364</v>
      </c>
      <c r="J13" s="222" t="s">
        <v>365</v>
      </c>
      <c r="K13" s="222" t="s">
        <v>366</v>
      </c>
      <c r="L13" s="222" t="s">
        <v>367</v>
      </c>
      <c r="M13" s="223" t="s">
        <v>368</v>
      </c>
      <c r="N13" s="222" t="s">
        <v>369</v>
      </c>
      <c r="O13" s="222" t="s">
        <v>370</v>
      </c>
      <c r="P13" s="222" t="s">
        <v>371</v>
      </c>
      <c r="U13" s="3" t="s">
        <v>1</v>
      </c>
      <c r="V13" s="3" t="s">
        <v>1</v>
      </c>
      <c r="W13" s="3" t="s">
        <v>1</v>
      </c>
      <c r="Z13" s="3" t="s">
        <v>73</v>
      </c>
      <c r="AD13" s="20"/>
      <c r="AE13" s="21" t="s">
        <v>9</v>
      </c>
      <c r="AF13" s="21" t="s">
        <v>9</v>
      </c>
      <c r="AG13" s="21" t="s">
        <v>9</v>
      </c>
      <c r="AH13" s="20"/>
      <c r="AI13" s="3" t="s">
        <v>73</v>
      </c>
    </row>
    <row r="14" spans="1:39" x14ac:dyDescent="0.2">
      <c r="G14" s="351" t="s">
        <v>406</v>
      </c>
      <c r="H14" s="351" t="s">
        <v>406</v>
      </c>
      <c r="I14" s="226"/>
      <c r="J14" s="226"/>
      <c r="K14" s="226"/>
      <c r="L14" s="226"/>
      <c r="M14" s="226"/>
      <c r="N14" s="222" t="s">
        <v>5</v>
      </c>
      <c r="O14" s="222" t="s">
        <v>5</v>
      </c>
      <c r="P14" s="226"/>
      <c r="S14" s="3" t="s">
        <v>1</v>
      </c>
      <c r="T14" s="3" t="s">
        <v>1</v>
      </c>
      <c r="U14" s="3" t="s">
        <v>34</v>
      </c>
      <c r="V14" s="3" t="s">
        <v>30</v>
      </c>
      <c r="W14" s="3" t="s">
        <v>22</v>
      </c>
      <c r="X14" s="3" t="s">
        <v>1</v>
      </c>
      <c r="Y14" s="3"/>
      <c r="Z14" s="3" t="s">
        <v>1</v>
      </c>
      <c r="AC14" s="3" t="s">
        <v>9</v>
      </c>
      <c r="AD14" s="3" t="s">
        <v>9</v>
      </c>
      <c r="AE14" s="21" t="s">
        <v>34</v>
      </c>
      <c r="AF14" s="21" t="s">
        <v>30</v>
      </c>
      <c r="AG14" s="21" t="s">
        <v>22</v>
      </c>
      <c r="AH14" s="21" t="s">
        <v>9</v>
      </c>
      <c r="AI14" s="3" t="s">
        <v>1</v>
      </c>
      <c r="AK14" s="3"/>
    </row>
    <row r="15" spans="1:39" x14ac:dyDescent="0.2">
      <c r="C15" s="3" t="s">
        <v>23</v>
      </c>
      <c r="E15" s="3"/>
      <c r="F15" s="3"/>
      <c r="G15" s="222" t="s">
        <v>1</v>
      </c>
      <c r="H15" s="222" t="s">
        <v>75</v>
      </c>
      <c r="I15" s="222"/>
      <c r="J15" s="222"/>
      <c r="K15" s="372" t="s">
        <v>136</v>
      </c>
      <c r="L15" s="372"/>
      <c r="M15" s="373"/>
      <c r="N15" s="222" t="s">
        <v>1</v>
      </c>
      <c r="O15" s="222" t="s">
        <v>75</v>
      </c>
      <c r="P15" s="222"/>
      <c r="Q15" s="3"/>
      <c r="R15" s="3"/>
      <c r="S15" s="3" t="s">
        <v>2</v>
      </c>
      <c r="T15" s="3" t="s">
        <v>59</v>
      </c>
      <c r="U15" s="3" t="s">
        <v>25</v>
      </c>
      <c r="V15" s="3" t="s">
        <v>25</v>
      </c>
      <c r="W15" s="3" t="s">
        <v>18</v>
      </c>
      <c r="X15" s="3" t="s">
        <v>5</v>
      </c>
      <c r="Y15" s="3"/>
      <c r="Z15" s="3" t="s">
        <v>77</v>
      </c>
      <c r="AC15" s="26" t="s">
        <v>58</v>
      </c>
      <c r="AD15" s="3" t="s">
        <v>59</v>
      </c>
      <c r="AE15" s="21" t="s">
        <v>25</v>
      </c>
      <c r="AF15" s="21" t="s">
        <v>25</v>
      </c>
      <c r="AG15" s="21" t="s">
        <v>18</v>
      </c>
      <c r="AH15" s="21" t="s">
        <v>5</v>
      </c>
      <c r="AI15" s="3" t="s">
        <v>77</v>
      </c>
      <c r="AK15" s="3" t="s">
        <v>6</v>
      </c>
      <c r="AL15" s="3"/>
      <c r="AM15" s="3" t="s">
        <v>8</v>
      </c>
    </row>
    <row r="16" spans="1:39" x14ac:dyDescent="0.2">
      <c r="A16" s="3" t="s">
        <v>26</v>
      </c>
      <c r="C16" s="3" t="s">
        <v>24</v>
      </c>
      <c r="E16" s="3" t="s">
        <v>0</v>
      </c>
      <c r="F16" s="3"/>
      <c r="G16" s="222" t="s">
        <v>4</v>
      </c>
      <c r="H16" s="222" t="s">
        <v>4</v>
      </c>
      <c r="I16" s="222" t="s">
        <v>76</v>
      </c>
      <c r="J16" s="222" t="s">
        <v>76</v>
      </c>
      <c r="K16" s="222" t="s">
        <v>72</v>
      </c>
      <c r="L16" s="222" t="s">
        <v>74</v>
      </c>
      <c r="M16" s="222" t="s">
        <v>73</v>
      </c>
      <c r="N16" s="222" t="s">
        <v>4</v>
      </c>
      <c r="O16" s="222" t="s">
        <v>4</v>
      </c>
      <c r="P16" s="222" t="s">
        <v>76</v>
      </c>
      <c r="Q16" s="3"/>
      <c r="R16" s="3"/>
      <c r="S16" s="26" t="s">
        <v>3</v>
      </c>
      <c r="T16" s="3" t="s">
        <v>3</v>
      </c>
      <c r="U16" s="3" t="s">
        <v>3</v>
      </c>
      <c r="V16" s="3" t="s">
        <v>3</v>
      </c>
      <c r="W16" s="3" t="s">
        <v>3</v>
      </c>
      <c r="X16" s="3" t="s">
        <v>4</v>
      </c>
      <c r="Y16" s="3"/>
      <c r="Z16" s="3" t="s">
        <v>3</v>
      </c>
      <c r="AC16" s="26" t="s">
        <v>3</v>
      </c>
      <c r="AD16" s="3" t="s">
        <v>3</v>
      </c>
      <c r="AE16" s="21" t="s">
        <v>3</v>
      </c>
      <c r="AF16" s="21" t="s">
        <v>3</v>
      </c>
      <c r="AG16" s="21" t="s">
        <v>3</v>
      </c>
      <c r="AH16" s="21" t="s">
        <v>4</v>
      </c>
      <c r="AI16" s="3" t="s">
        <v>3</v>
      </c>
      <c r="AK16" s="3" t="s">
        <v>7</v>
      </c>
      <c r="AL16" s="3"/>
      <c r="AM16" s="3" t="s">
        <v>7</v>
      </c>
    </row>
    <row r="17" spans="1:39" x14ac:dyDescent="0.2">
      <c r="A17" s="3"/>
      <c r="C17" s="3"/>
      <c r="E17" s="3"/>
      <c r="F17" s="3"/>
      <c r="G17" s="222"/>
      <c r="H17" s="222"/>
      <c r="I17" s="222" t="s">
        <v>70</v>
      </c>
      <c r="J17" s="223" t="s">
        <v>71</v>
      </c>
      <c r="K17" s="224"/>
      <c r="L17" s="224"/>
      <c r="M17" s="225"/>
      <c r="N17" s="222" t="s">
        <v>70</v>
      </c>
      <c r="O17" s="222" t="s">
        <v>70</v>
      </c>
      <c r="P17" s="223" t="s">
        <v>71</v>
      </c>
      <c r="Q17" s="3"/>
      <c r="R17" s="3"/>
      <c r="S17" s="26"/>
      <c r="T17" s="43">
        <f>+INPUT!$I$6</f>
        <v>3.8100000000000002E-2</v>
      </c>
      <c r="U17" s="44">
        <f>+INPUT!$I$14</f>
        <v>5.83</v>
      </c>
      <c r="V17" s="44">
        <f>+INPUT!$I$15</f>
        <v>4.13</v>
      </c>
      <c r="W17" s="44">
        <f>+INPUT!$I$16</f>
        <v>3.98</v>
      </c>
      <c r="X17" s="3"/>
      <c r="Y17" s="3"/>
      <c r="Z17" s="43"/>
      <c r="AC17" s="26"/>
      <c r="AD17" s="43">
        <f>+INPUT!$I$27</f>
        <v>3.823E-2</v>
      </c>
      <c r="AE17" s="44">
        <f>+INPUT!$I$35</f>
        <v>5.04</v>
      </c>
      <c r="AF17" s="44">
        <f>+INPUT!$I$36</f>
        <v>3.69</v>
      </c>
      <c r="AG17" s="44">
        <f>+INPUT!$I$37</f>
        <v>3.54</v>
      </c>
      <c r="AH17" s="21"/>
      <c r="AI17" s="43"/>
      <c r="AK17" s="3"/>
      <c r="AL17" s="3"/>
      <c r="AM17" s="3"/>
    </row>
    <row r="18" spans="1:39" x14ac:dyDescent="0.2">
      <c r="C18" s="3"/>
      <c r="E18" s="3"/>
      <c r="F18" s="3"/>
      <c r="G18" s="222"/>
      <c r="H18" s="222"/>
      <c r="I18" s="222" t="str">
        <f>("[ "&amp;H13&amp;" - "&amp;G13&amp;" ]")</f>
        <v>[ B - A ]</v>
      </c>
      <c r="J18" s="222" t="str">
        <f>("[ "&amp;I13&amp;" / "&amp;G13&amp;" ]")</f>
        <v>[ C / A ]</v>
      </c>
      <c r="K18" s="224"/>
      <c r="L18" s="224"/>
      <c r="M18" s="224"/>
      <c r="N18" s="222" t="str">
        <f>("["&amp;G13&amp;"+"&amp;$K$13&amp;"+"&amp;$L$13&amp;"+"&amp;$M$13&amp;"]")</f>
        <v>[A+E+F+G]</v>
      </c>
      <c r="O18" s="222" t="str">
        <f>("["&amp;H13&amp;"+"&amp;$K$13&amp;"+"&amp;$L$13&amp;"+"&amp;$M$13&amp;"]")</f>
        <v>[B+E+F+G]</v>
      </c>
      <c r="P18" s="222" t="str">
        <f>("[("&amp;O13&amp;" - "&amp;N13&amp;")/"&amp;N13&amp;"]")</f>
        <v>[(I - H)/H]</v>
      </c>
      <c r="Q18" s="3"/>
      <c r="R18" s="3"/>
      <c r="T18" s="3" t="s">
        <v>14</v>
      </c>
      <c r="U18" s="3" t="s">
        <v>61</v>
      </c>
      <c r="V18" s="3" t="s">
        <v>61</v>
      </c>
      <c r="W18" s="3" t="s">
        <v>61</v>
      </c>
      <c r="X18" s="3"/>
      <c r="Y18" s="3"/>
      <c r="Z18" s="3" t="s">
        <v>14</v>
      </c>
      <c r="AC18" s="26"/>
      <c r="AD18" s="3" t="s">
        <v>14</v>
      </c>
      <c r="AE18" s="3" t="s">
        <v>61</v>
      </c>
      <c r="AF18" s="3" t="s">
        <v>61</v>
      </c>
      <c r="AG18" s="3" t="s">
        <v>61</v>
      </c>
      <c r="AH18" s="21"/>
      <c r="AI18" s="3" t="s">
        <v>14</v>
      </c>
      <c r="AK18" s="3"/>
      <c r="AL18" s="3"/>
      <c r="AM18" s="3"/>
    </row>
    <row r="19" spans="1:39" x14ac:dyDescent="0.2">
      <c r="C19" s="3"/>
      <c r="E19" s="3"/>
      <c r="F19" s="3"/>
      <c r="G19" s="3"/>
      <c r="H19" s="3"/>
      <c r="I19" s="222"/>
      <c r="J19" s="222"/>
      <c r="K19" s="3"/>
      <c r="L19" s="3"/>
      <c r="M19" s="3"/>
      <c r="N19" s="222"/>
      <c r="O19" s="3"/>
      <c r="P19" s="222"/>
      <c r="Q19" s="3"/>
      <c r="R19" s="3"/>
      <c r="U19" s="3"/>
      <c r="V19" s="3"/>
      <c r="W19" s="3"/>
      <c r="X19" s="3"/>
      <c r="Y19" s="3"/>
      <c r="AC19" s="26"/>
      <c r="AD19" s="3"/>
      <c r="AE19" s="21"/>
      <c r="AF19" s="21"/>
      <c r="AG19" s="21"/>
      <c r="AH19" s="21"/>
      <c r="AK19" s="3"/>
      <c r="AL19" s="3"/>
      <c r="AM19" s="3"/>
    </row>
    <row r="20" spans="1:39" x14ac:dyDescent="0.2">
      <c r="A20" s="1">
        <v>500</v>
      </c>
      <c r="B20" s="1"/>
      <c r="C20" s="13">
        <v>0.3</v>
      </c>
      <c r="E20" s="1">
        <f>C20*($A$20*730)</f>
        <v>109500</v>
      </c>
      <c r="F20" s="1"/>
      <c r="G20" s="29">
        <f>+X20</f>
        <v>11441.95</v>
      </c>
      <c r="H20" s="29">
        <f>+AH20</f>
        <v>10621.185000000001</v>
      </c>
      <c r="I20" s="29">
        <f>+H20-G20</f>
        <v>-820.76499999999942</v>
      </c>
      <c r="J20" s="57">
        <f>ROUND(+I20/G20,4)</f>
        <v>-7.17E-2</v>
      </c>
      <c r="K20" s="29">
        <f>ROUND($T$10*$E20,2)</f>
        <v>-25.88</v>
      </c>
      <c r="L20" s="29">
        <f>ROUND($T$11*$E20,2)</f>
        <v>206.9</v>
      </c>
      <c r="M20" s="29">
        <f>ROUND($T$12*$E20,2)</f>
        <v>989.85</v>
      </c>
      <c r="N20" s="29">
        <f>+G20+K20+L20+M20</f>
        <v>12612.820000000002</v>
      </c>
      <c r="O20" s="29">
        <f>+H20+K20+L20+M20</f>
        <v>11792.055000000002</v>
      </c>
      <c r="P20" s="57">
        <f>(O20-N20)/N20</f>
        <v>-6.5073869285377839E-2</v>
      </c>
      <c r="Q20" s="1"/>
      <c r="S20" s="7">
        <f>+INPUT!$I$4</f>
        <v>300</v>
      </c>
      <c r="T20" s="20">
        <f>$T$17*E20</f>
        <v>4171.95</v>
      </c>
      <c r="U20" s="20">
        <f>$U$17*$A$20</f>
        <v>2915</v>
      </c>
      <c r="V20" s="20">
        <f>$V$17*$A$20</f>
        <v>2065</v>
      </c>
      <c r="W20" s="20">
        <f>$W$17*$A$20</f>
        <v>1990</v>
      </c>
      <c r="X20" s="25">
        <f>S20+T20+U20+V20+W20</f>
        <v>11441.95</v>
      </c>
      <c r="Y20" s="25"/>
      <c r="Z20" s="20"/>
      <c r="AC20" s="7">
        <f>INPUT!$I$25</f>
        <v>300</v>
      </c>
      <c r="AD20" s="20">
        <f>$AD$17*E20</f>
        <v>4186.1850000000004</v>
      </c>
      <c r="AE20" s="20">
        <f>$A$20*$AE$17</f>
        <v>2520</v>
      </c>
      <c r="AF20" s="20">
        <f>$A$20*$AF$17</f>
        <v>1845</v>
      </c>
      <c r="AG20" s="20">
        <f>$A$20*$AG$17</f>
        <v>1770</v>
      </c>
      <c r="AH20" s="25">
        <f>AC20+AD20+AE20+AF20+AG20</f>
        <v>10621.185000000001</v>
      </c>
      <c r="AI20" s="20"/>
      <c r="AJ20" s="17"/>
      <c r="AK20" s="7">
        <f>AH20-X20</f>
        <v>-820.76499999999942</v>
      </c>
      <c r="AM20" s="18">
        <f>AH20/X20-1</f>
        <v>-7.1732965097732415E-2</v>
      </c>
    </row>
    <row r="21" spans="1:39" x14ac:dyDescent="0.2">
      <c r="C21" s="13">
        <v>0.5</v>
      </c>
      <c r="E21" s="1">
        <f>C21*($A$20*730)</f>
        <v>182500</v>
      </c>
      <c r="F21" s="1"/>
      <c r="G21" s="29">
        <f t="shared" ref="G21:G38" si="0">+X21</f>
        <v>14223.25</v>
      </c>
      <c r="H21" s="29">
        <f>+AH21</f>
        <v>13411.975</v>
      </c>
      <c r="I21" s="29">
        <f>+H21-G21</f>
        <v>-811.27499999999964</v>
      </c>
      <c r="J21" s="57">
        <f>ROUND(+I21/G21,4)</f>
        <v>-5.7000000000000002E-2</v>
      </c>
      <c r="K21" s="29">
        <f>ROUND($T$10*$E21,2)</f>
        <v>-43.14</v>
      </c>
      <c r="L21" s="29">
        <f>ROUND($T$11*$E21,2)</f>
        <v>344.83</v>
      </c>
      <c r="M21" s="29">
        <f>ROUND($T$12*$E21,2)</f>
        <v>1649.74</v>
      </c>
      <c r="N21" s="29">
        <f>+G21+K21+L21+M21</f>
        <v>16174.68</v>
      </c>
      <c r="O21" s="29">
        <f>+H21+K21+L21+M21</f>
        <v>15363.405000000001</v>
      </c>
      <c r="P21" s="57">
        <f>(O21-N21)/N21</f>
        <v>-5.0157097389252808E-2</v>
      </c>
      <c r="Q21" s="1"/>
      <c r="S21" s="7">
        <f>$S$20</f>
        <v>300</v>
      </c>
      <c r="T21" s="20">
        <f>$T$17*E21</f>
        <v>6953.25</v>
      </c>
      <c r="U21" s="20">
        <f>$U$17*$A$20</f>
        <v>2915</v>
      </c>
      <c r="V21" s="20">
        <f>$V$17*$A$20</f>
        <v>2065</v>
      </c>
      <c r="W21" s="20">
        <f>$W$17*$A$20</f>
        <v>1990</v>
      </c>
      <c r="X21" s="25">
        <f>S21+T21+U21+V21+W21</f>
        <v>14223.25</v>
      </c>
      <c r="Y21" s="25"/>
      <c r="Z21" s="20"/>
      <c r="AC21" s="7">
        <f>$AC$20</f>
        <v>300</v>
      </c>
      <c r="AD21" s="20">
        <f>$AD$17*E21</f>
        <v>6976.9750000000004</v>
      </c>
      <c r="AE21" s="20">
        <f>$A$20*$AE$17</f>
        <v>2520</v>
      </c>
      <c r="AF21" s="20">
        <f>$A$20*$AF$17</f>
        <v>1845</v>
      </c>
      <c r="AG21" s="20">
        <f>$A$20*$AG$17</f>
        <v>1770</v>
      </c>
      <c r="AH21" s="25">
        <f>AC21+AD21+AE21+AF21+AG21</f>
        <v>13411.975</v>
      </c>
      <c r="AI21" s="20"/>
      <c r="AJ21" s="17"/>
      <c r="AK21" s="7">
        <f>AH21-X21</f>
        <v>-811.27499999999964</v>
      </c>
      <c r="AM21" s="18">
        <f>AH21/X21-1</f>
        <v>-5.7038651503699911E-2</v>
      </c>
    </row>
    <row r="22" spans="1:39" x14ac:dyDescent="0.2">
      <c r="C22" s="13">
        <v>0.7</v>
      </c>
      <c r="E22" s="1">
        <f>C22*($A$20*730)</f>
        <v>255499.99999999997</v>
      </c>
      <c r="F22" s="1"/>
      <c r="G22" s="29">
        <f t="shared" si="0"/>
        <v>17004.55</v>
      </c>
      <c r="H22" s="29">
        <f>+AH22</f>
        <v>16202.764999999999</v>
      </c>
      <c r="I22" s="29">
        <f>+H22-G22</f>
        <v>-801.78499999999985</v>
      </c>
      <c r="J22" s="57">
        <f>ROUND(+I22/G22,4)</f>
        <v>-4.7199999999999999E-2</v>
      </c>
      <c r="K22" s="29">
        <f>ROUND($T$10*$E22,2)</f>
        <v>-60.39</v>
      </c>
      <c r="L22" s="29">
        <f>ROUND($T$11*$E22,2)</f>
        <v>482.76</v>
      </c>
      <c r="M22" s="29">
        <f>ROUND($T$12*$E22,2)</f>
        <v>2309.64</v>
      </c>
      <c r="N22" s="29">
        <f>+G22+K22+L22+M22</f>
        <v>19736.559999999998</v>
      </c>
      <c r="O22" s="29">
        <f>+H22+K22+L22+M22</f>
        <v>18934.774999999998</v>
      </c>
      <c r="P22" s="57">
        <f>(O22-N22)/N22</f>
        <v>-4.0624353990766374E-2</v>
      </c>
      <c r="Q22" s="1"/>
      <c r="S22" s="7">
        <f>$S$20</f>
        <v>300</v>
      </c>
      <c r="T22" s="20">
        <f>$T$17*E22</f>
        <v>9734.5499999999993</v>
      </c>
      <c r="U22" s="20">
        <f>$U$17*$A$20</f>
        <v>2915</v>
      </c>
      <c r="V22" s="20">
        <f>$V$17*$A$20</f>
        <v>2065</v>
      </c>
      <c r="W22" s="20">
        <f>$W$17*$A$20</f>
        <v>1990</v>
      </c>
      <c r="X22" s="25">
        <f>S22+T22+U22+V22+W22</f>
        <v>17004.55</v>
      </c>
      <c r="Y22" s="25"/>
      <c r="Z22" s="20"/>
      <c r="AC22" s="7">
        <f>$AC$20</f>
        <v>300</v>
      </c>
      <c r="AD22" s="20">
        <f>$AD$17*E22</f>
        <v>9767.7649999999994</v>
      </c>
      <c r="AE22" s="20">
        <f>$A$20*$AE$17</f>
        <v>2520</v>
      </c>
      <c r="AF22" s="20">
        <f>$A$20*$AF$17</f>
        <v>1845</v>
      </c>
      <c r="AG22" s="20">
        <f>$A$20*$AG$17</f>
        <v>1770</v>
      </c>
      <c r="AH22" s="25">
        <f>AC22+AD22+AE22+AF22+AG22</f>
        <v>16202.764999999999</v>
      </c>
      <c r="AI22" s="20"/>
      <c r="AJ22" s="17"/>
      <c r="AK22" s="7">
        <f>AH22-X22</f>
        <v>-801.78499999999985</v>
      </c>
      <c r="AM22" s="18">
        <f>AH22/X22-1</f>
        <v>-4.715120364843528E-2</v>
      </c>
    </row>
    <row r="23" spans="1:39" x14ac:dyDescent="0.2">
      <c r="C23" s="13"/>
      <c r="E23" s="1"/>
      <c r="F23" s="1"/>
      <c r="G23" s="29"/>
      <c r="H23" s="29"/>
      <c r="J23" s="5"/>
      <c r="K23" s="1"/>
      <c r="L23" s="1"/>
      <c r="M23" s="1"/>
      <c r="P23" s="57"/>
      <c r="Q23" s="1"/>
      <c r="S23" s="7"/>
      <c r="T23" s="20"/>
      <c r="U23" s="20"/>
      <c r="V23" s="20"/>
      <c r="W23" s="20"/>
      <c r="X23" s="25"/>
      <c r="Y23" s="25"/>
      <c r="AC23" s="7"/>
      <c r="AD23" s="20"/>
      <c r="AE23" s="20"/>
      <c r="AF23" s="20"/>
      <c r="AG23" s="20"/>
      <c r="AH23" s="25"/>
      <c r="AJ23" s="17"/>
      <c r="AK23" s="6"/>
      <c r="AM23" s="6"/>
    </row>
    <row r="24" spans="1:39" x14ac:dyDescent="0.2">
      <c r="A24" s="1">
        <v>5000</v>
      </c>
      <c r="B24" s="1"/>
      <c r="C24" s="13">
        <v>0.3</v>
      </c>
      <c r="E24" s="1">
        <f>C24*($A$24*730)</f>
        <v>1095000</v>
      </c>
      <c r="F24" s="1"/>
      <c r="G24" s="29">
        <f t="shared" si="0"/>
        <v>111719.5</v>
      </c>
      <c r="H24" s="29">
        <f>+AH24</f>
        <v>103511.85</v>
      </c>
      <c r="I24" s="29">
        <f>+H24-G24</f>
        <v>-8207.6499999999942</v>
      </c>
      <c r="J24" s="57">
        <f>ROUND(+I24/G24,4)</f>
        <v>-7.3499999999999996E-2</v>
      </c>
      <c r="K24" s="29">
        <f>ROUND($T$10*$E24,2)</f>
        <v>-258.81</v>
      </c>
      <c r="L24" s="29">
        <f>ROUND($T$11*$E24,2)</f>
        <v>2068.96</v>
      </c>
      <c r="M24" s="29">
        <f>ROUND($T$12*$E24,2)</f>
        <v>9898.4500000000007</v>
      </c>
      <c r="N24" s="29">
        <f>+G24+K24+L24+M24</f>
        <v>123428.1</v>
      </c>
      <c r="O24" s="29">
        <f>+H24+K24+L24+M24</f>
        <v>115220.45000000001</v>
      </c>
      <c r="P24" s="57">
        <f>(O24-N24)/N24</f>
        <v>-6.6497418335046826E-2</v>
      </c>
      <c r="Q24" s="1"/>
      <c r="S24" s="7">
        <f>$S$20</f>
        <v>300</v>
      </c>
      <c r="T24" s="20">
        <f>$T$17*E24</f>
        <v>41719.5</v>
      </c>
      <c r="U24" s="20">
        <f>$U$17*$A$24</f>
        <v>29150</v>
      </c>
      <c r="V24" s="20">
        <f>$V$17*$A$24</f>
        <v>20650</v>
      </c>
      <c r="W24" s="20">
        <f>$W$17*$A$24</f>
        <v>19900</v>
      </c>
      <c r="X24" s="25">
        <f>S24+T24+U24+V24+W24</f>
        <v>111719.5</v>
      </c>
      <c r="Y24" s="25"/>
      <c r="Z24" s="20"/>
      <c r="AC24" s="7">
        <f>$AC$20</f>
        <v>300</v>
      </c>
      <c r="AD24" s="20">
        <f>$AD$17*E24</f>
        <v>41861.85</v>
      </c>
      <c r="AE24" s="20">
        <f>$A$24*$AE$17</f>
        <v>25200</v>
      </c>
      <c r="AF24" s="20">
        <f>$A$24*$AF$17</f>
        <v>18450</v>
      </c>
      <c r="AG24" s="20">
        <f>$A$24*$AG$17</f>
        <v>17700</v>
      </c>
      <c r="AH24" s="25">
        <f>AC24+AD24+AE24+AF24+AG24</f>
        <v>103511.85</v>
      </c>
      <c r="AI24" s="20"/>
      <c r="AJ24" s="17"/>
      <c r="AK24" s="7">
        <f>AH24-X24</f>
        <v>-8207.6499999999942</v>
      </c>
      <c r="AL24" s="10"/>
      <c r="AM24" s="18">
        <f>AH24/X24-1</f>
        <v>-7.3466583720836476E-2</v>
      </c>
    </row>
    <row r="25" spans="1:39" x14ac:dyDescent="0.2">
      <c r="C25" s="13">
        <v>0.5</v>
      </c>
      <c r="E25" s="1">
        <f>C25*($A$24*730)</f>
        <v>1825000</v>
      </c>
      <c r="F25" s="1"/>
      <c r="G25" s="29">
        <f t="shared" si="0"/>
        <v>139532.5</v>
      </c>
      <c r="H25" s="29">
        <f>+AH25</f>
        <v>131419.75</v>
      </c>
      <c r="I25" s="29">
        <f>+H25-G25</f>
        <v>-8112.75</v>
      </c>
      <c r="J25" s="57">
        <f>ROUND(+I25/G25,4)</f>
        <v>-5.8099999999999999E-2</v>
      </c>
      <c r="K25" s="29">
        <f>ROUND($T$10*$E25,2)</f>
        <v>-431.35</v>
      </c>
      <c r="L25" s="29">
        <f>ROUND($T$11*$E25,2)</f>
        <v>3448.26</v>
      </c>
      <c r="M25" s="29">
        <f>ROUND($T$12*$E25,2)</f>
        <v>16497.419999999998</v>
      </c>
      <c r="N25" s="29">
        <f>+G25+K25+L25+M25</f>
        <v>159046.83000000002</v>
      </c>
      <c r="O25" s="29">
        <f>+H25+K25+L25+M25</f>
        <v>150934.08000000002</v>
      </c>
      <c r="P25" s="57">
        <f>(O25-N25)/N25</f>
        <v>-5.1008561440677558E-2</v>
      </c>
      <c r="Q25" s="1"/>
      <c r="S25" s="7">
        <f>$S$20</f>
        <v>300</v>
      </c>
      <c r="T25" s="20">
        <f>$T$17*E25</f>
        <v>69532.5</v>
      </c>
      <c r="U25" s="20">
        <f>$U$17*$A$24</f>
        <v>29150</v>
      </c>
      <c r="V25" s="20">
        <f>$V$17*$A$24</f>
        <v>20650</v>
      </c>
      <c r="W25" s="20">
        <f>$W$17*$A$24</f>
        <v>19900</v>
      </c>
      <c r="X25" s="25">
        <f>S25+T25+U25+V25+W25</f>
        <v>139532.5</v>
      </c>
      <c r="Y25" s="25"/>
      <c r="Z25" s="20"/>
      <c r="AC25" s="7">
        <f>$AC$20</f>
        <v>300</v>
      </c>
      <c r="AD25" s="20">
        <f>$AD$17*E25</f>
        <v>69769.75</v>
      </c>
      <c r="AE25" s="20">
        <f>$A$24*$AE$17</f>
        <v>25200</v>
      </c>
      <c r="AF25" s="20">
        <f>$A$24*$AF$17</f>
        <v>18450</v>
      </c>
      <c r="AG25" s="20">
        <f>$A$24*$AG$17</f>
        <v>17700</v>
      </c>
      <c r="AH25" s="25">
        <f>AC25+AD25+AE25+AF25+AG25</f>
        <v>131419.75</v>
      </c>
      <c r="AI25" s="20"/>
      <c r="AJ25" s="17"/>
      <c r="AK25" s="7">
        <f>AH25-X25</f>
        <v>-8112.75</v>
      </c>
      <c r="AL25" s="10"/>
      <c r="AM25" s="18">
        <f>AH25/X25-1</f>
        <v>-5.8142368265457822E-2</v>
      </c>
    </row>
    <row r="26" spans="1:39" x14ac:dyDescent="0.2">
      <c r="C26" s="13">
        <v>0.7</v>
      </c>
      <c r="E26" s="1">
        <f>C26*($A$24*730)</f>
        <v>2555000</v>
      </c>
      <c r="F26" s="1"/>
      <c r="G26" s="29">
        <f t="shared" si="0"/>
        <v>167345.5</v>
      </c>
      <c r="H26" s="29">
        <f>+AH26</f>
        <v>159327.65</v>
      </c>
      <c r="I26" s="29">
        <f>+H26-G26</f>
        <v>-8017.8500000000058</v>
      </c>
      <c r="J26" s="57">
        <f>ROUND(+I26/G26,4)</f>
        <v>-4.7899999999999998E-2</v>
      </c>
      <c r="K26" s="29">
        <f>ROUND($T$10*$E26,2)</f>
        <v>-603.89</v>
      </c>
      <c r="L26" s="29">
        <f>ROUND($T$11*$E26,2)</f>
        <v>4827.57</v>
      </c>
      <c r="M26" s="29">
        <f>ROUND($T$12*$E26,2)</f>
        <v>23096.39</v>
      </c>
      <c r="N26" s="29">
        <f>+G26+K26+L26+M26</f>
        <v>194665.57</v>
      </c>
      <c r="O26" s="29">
        <f>+H26+K26+L26+M26</f>
        <v>186647.71999999997</v>
      </c>
      <c r="P26" s="57">
        <f>(O26-N26)/N26</f>
        <v>-4.1187817650548242E-2</v>
      </c>
      <c r="Q26" s="1"/>
      <c r="S26" s="7">
        <f>$S$20</f>
        <v>300</v>
      </c>
      <c r="T26" s="20">
        <f>$T$17*E26</f>
        <v>97345.5</v>
      </c>
      <c r="U26" s="20">
        <f>$U$17*$A$24</f>
        <v>29150</v>
      </c>
      <c r="V26" s="20">
        <f>$V$17*$A$24</f>
        <v>20650</v>
      </c>
      <c r="W26" s="20">
        <f>$W$17*$A$24</f>
        <v>19900</v>
      </c>
      <c r="X26" s="25">
        <f>S26+T26+U26+V26+W26</f>
        <v>167345.5</v>
      </c>
      <c r="Y26" s="25"/>
      <c r="Z26" s="20"/>
      <c r="AC26" s="7">
        <f>$AC$20</f>
        <v>300</v>
      </c>
      <c r="AD26" s="20">
        <f>$AD$17*E26</f>
        <v>97677.65</v>
      </c>
      <c r="AE26" s="20">
        <f>$A$24*$AE$17</f>
        <v>25200</v>
      </c>
      <c r="AF26" s="20">
        <f>$A$24*$AF$17</f>
        <v>18450</v>
      </c>
      <c r="AG26" s="20">
        <f>$A$24*$AG$17</f>
        <v>17700</v>
      </c>
      <c r="AH26" s="25">
        <f>AC26+AD26+AE26+AF26+AG26</f>
        <v>159327.65</v>
      </c>
      <c r="AI26" s="20"/>
      <c r="AJ26" s="17"/>
      <c r="AK26" s="7">
        <f>AH26-X26</f>
        <v>-8017.8500000000058</v>
      </c>
      <c r="AM26" s="18">
        <f>AH26/X26-1</f>
        <v>-4.7911954608878093E-2</v>
      </c>
    </row>
    <row r="27" spans="1:39" x14ac:dyDescent="0.2">
      <c r="C27" s="13"/>
      <c r="E27" s="1"/>
      <c r="F27" s="1"/>
      <c r="G27" s="29"/>
      <c r="H27" s="29"/>
      <c r="J27" s="5"/>
      <c r="K27" s="1"/>
      <c r="L27" s="1"/>
      <c r="M27" s="1"/>
      <c r="P27" s="57"/>
      <c r="Q27" s="1"/>
      <c r="S27" s="7"/>
      <c r="T27" s="20"/>
      <c r="U27" s="20"/>
      <c r="V27" s="20"/>
      <c r="W27" s="20"/>
      <c r="X27" s="25"/>
      <c r="Y27" s="25"/>
      <c r="AC27" s="7"/>
      <c r="AD27" s="20"/>
      <c r="AE27" s="20"/>
      <c r="AF27" s="20"/>
      <c r="AG27" s="20"/>
      <c r="AH27" s="25"/>
      <c r="AJ27" s="17"/>
      <c r="AK27" s="6"/>
      <c r="AM27" s="6"/>
    </row>
    <row r="28" spans="1:39" x14ac:dyDescent="0.2">
      <c r="A28" s="1">
        <v>10000</v>
      </c>
      <c r="B28" s="1"/>
      <c r="C28" s="13">
        <v>0.3</v>
      </c>
      <c r="E28" s="1">
        <f>C28*($A$28*730)</f>
        <v>2190000</v>
      </c>
      <c r="F28" s="1"/>
      <c r="G28" s="29">
        <f t="shared" si="0"/>
        <v>223139</v>
      </c>
      <c r="H28" s="29">
        <f>+AH28</f>
        <v>206723.7</v>
      </c>
      <c r="I28" s="29">
        <f>+H28-G28</f>
        <v>-16415.299999999988</v>
      </c>
      <c r="J28" s="57">
        <f>ROUND(+I28/G28,4)</f>
        <v>-7.3599999999999999E-2</v>
      </c>
      <c r="K28" s="29">
        <f>ROUND($T$10*$E28,2)</f>
        <v>-517.62</v>
      </c>
      <c r="L28" s="29">
        <f>ROUND($T$11*$E28,2)</f>
        <v>4137.92</v>
      </c>
      <c r="M28" s="29">
        <f>ROUND($T$12*$E28,2)</f>
        <v>19796.91</v>
      </c>
      <c r="N28" s="29">
        <f>+G28+K28+L28+M28</f>
        <v>246556.21000000002</v>
      </c>
      <c r="O28" s="29">
        <f>+H28+K28+L28+M28</f>
        <v>230140.91000000003</v>
      </c>
      <c r="P28" s="57">
        <f>(O28-N28)/N28</f>
        <v>-6.6578327108451199E-2</v>
      </c>
      <c r="Q28" s="1"/>
      <c r="S28" s="7">
        <f>$S$20</f>
        <v>300</v>
      </c>
      <c r="T28" s="20">
        <f>$T$17*E28</f>
        <v>83439</v>
      </c>
      <c r="U28" s="20">
        <f>$U$17*$A$28</f>
        <v>58300</v>
      </c>
      <c r="V28" s="20">
        <f>$V$17*$A$28</f>
        <v>41300</v>
      </c>
      <c r="W28" s="20">
        <f>$W$17*$A$28</f>
        <v>39800</v>
      </c>
      <c r="X28" s="25">
        <f>S28+T28+U28+V28+W28</f>
        <v>223139</v>
      </c>
      <c r="Y28" s="25"/>
      <c r="Z28" s="20"/>
      <c r="AC28" s="7">
        <f>$AC$20</f>
        <v>300</v>
      </c>
      <c r="AD28" s="20">
        <f>$AD$17*E28</f>
        <v>83723.7</v>
      </c>
      <c r="AE28" s="20">
        <f>$A$28*$AE$17</f>
        <v>50400</v>
      </c>
      <c r="AF28" s="20">
        <f>$A$28*$AF$17</f>
        <v>36900</v>
      </c>
      <c r="AG28" s="20">
        <f>$A$28*$AG$17</f>
        <v>35400</v>
      </c>
      <c r="AH28" s="25">
        <f>AC28+AD28+AE28+AF28+AG28</f>
        <v>206723.7</v>
      </c>
      <c r="AI28" s="20"/>
      <c r="AJ28" s="17"/>
      <c r="AK28" s="7">
        <f>AH28-X28</f>
        <v>-16415.299999999988</v>
      </c>
      <c r="AM28" s="18">
        <f>AH28/X28-1</f>
        <v>-7.3565356123313164E-2</v>
      </c>
    </row>
    <row r="29" spans="1:39" x14ac:dyDescent="0.2">
      <c r="C29" s="13">
        <v>0.5</v>
      </c>
      <c r="E29" s="1">
        <f>C29*($A$28*730)</f>
        <v>3650000</v>
      </c>
      <c r="F29" s="1"/>
      <c r="G29" s="29">
        <f t="shared" si="0"/>
        <v>278765</v>
      </c>
      <c r="H29" s="29">
        <f>+AH29</f>
        <v>262539.5</v>
      </c>
      <c r="I29" s="29">
        <f>+H29-G29</f>
        <v>-16225.5</v>
      </c>
      <c r="J29" s="57">
        <f>ROUND(+I29/G29,4)</f>
        <v>-5.8200000000000002E-2</v>
      </c>
      <c r="K29" s="29">
        <f>ROUND($T$10*$E29,2)</f>
        <v>-862.71</v>
      </c>
      <c r="L29" s="29">
        <f>ROUND($T$11*$E29,2)</f>
        <v>6896.53</v>
      </c>
      <c r="M29" s="29">
        <f>ROUND($T$12*$E29,2)</f>
        <v>32994.839999999997</v>
      </c>
      <c r="N29" s="29">
        <f>+G29+K29+L29+M29</f>
        <v>317793.66000000003</v>
      </c>
      <c r="O29" s="29">
        <f>+H29+K29+L29+M29</f>
        <v>301568.16000000003</v>
      </c>
      <c r="P29" s="57">
        <f>(O29-N29)/N29</f>
        <v>-5.1056713969687119E-2</v>
      </c>
      <c r="Q29" s="1"/>
      <c r="S29" s="7">
        <f>$S$20</f>
        <v>300</v>
      </c>
      <c r="T29" s="20">
        <f>$T$17*E29</f>
        <v>139065</v>
      </c>
      <c r="U29" s="20">
        <f>$U$17*$A$28</f>
        <v>58300</v>
      </c>
      <c r="V29" s="20">
        <f>$V$17*$A$28</f>
        <v>41300</v>
      </c>
      <c r="W29" s="20">
        <f>$W$17*$A$28</f>
        <v>39800</v>
      </c>
      <c r="X29" s="25">
        <f>S29+T29+U29+V29+W29</f>
        <v>278765</v>
      </c>
      <c r="Y29" s="25"/>
      <c r="Z29" s="20"/>
      <c r="AC29" s="7">
        <f>$AC$20</f>
        <v>300</v>
      </c>
      <c r="AD29" s="20">
        <f>$AD$17*E29</f>
        <v>139539.5</v>
      </c>
      <c r="AE29" s="20">
        <f>$A$28*$AE$17</f>
        <v>50400</v>
      </c>
      <c r="AF29" s="20">
        <f>$A$28*$AF$17</f>
        <v>36900</v>
      </c>
      <c r="AG29" s="20">
        <f>$A$28*$AG$17</f>
        <v>35400</v>
      </c>
      <c r="AH29" s="25">
        <f>AC29+AD29+AE29+AF29+AG29</f>
        <v>262539.5</v>
      </c>
      <c r="AI29" s="20"/>
      <c r="AJ29" s="17"/>
      <c r="AK29" s="7">
        <f>AH29-X29</f>
        <v>-16225.5</v>
      </c>
      <c r="AM29" s="18">
        <f>AH29/X29-1</f>
        <v>-5.8204939644503462E-2</v>
      </c>
    </row>
    <row r="30" spans="1:39" x14ac:dyDescent="0.2">
      <c r="C30" s="13">
        <v>0.7</v>
      </c>
      <c r="E30" s="1">
        <f>C30*($A$28*730)</f>
        <v>5110000</v>
      </c>
      <c r="F30" s="1"/>
      <c r="G30" s="29">
        <f t="shared" si="0"/>
        <v>334391</v>
      </c>
      <c r="H30" s="29">
        <f>+AH30</f>
        <v>318355.3</v>
      </c>
      <c r="I30" s="29">
        <f>+H30-G30</f>
        <v>-16035.700000000012</v>
      </c>
      <c r="J30" s="57">
        <f>ROUND(+I30/G30,4)</f>
        <v>-4.8000000000000001E-2</v>
      </c>
      <c r="K30" s="29">
        <f>ROUND($T$10*$E30,2)</f>
        <v>-1207.79</v>
      </c>
      <c r="L30" s="29">
        <f>ROUND($T$11*$E30,2)</f>
        <v>9655.14</v>
      </c>
      <c r="M30" s="29">
        <f>ROUND($T$12*$E30,2)</f>
        <v>46192.78</v>
      </c>
      <c r="N30" s="29">
        <f>+G30+K30+L30+M30</f>
        <v>389031.13</v>
      </c>
      <c r="O30" s="29">
        <f>+H30+K30+L30+M30</f>
        <v>372995.43000000005</v>
      </c>
      <c r="P30" s="57">
        <f>(O30-N30)/N30</f>
        <v>-4.1219580551304348E-2</v>
      </c>
      <c r="Q30" s="1"/>
      <c r="S30" s="7">
        <f>$S$20</f>
        <v>300</v>
      </c>
      <c r="T30" s="20">
        <f>$T$17*E30</f>
        <v>194691</v>
      </c>
      <c r="U30" s="20">
        <f>$U$17*$A$28</f>
        <v>58300</v>
      </c>
      <c r="V30" s="20">
        <f>$V$17*$A$28</f>
        <v>41300</v>
      </c>
      <c r="W30" s="20">
        <f>$W$17*$A$28</f>
        <v>39800</v>
      </c>
      <c r="X30" s="25">
        <f>S30+T30+U30+V30+W30</f>
        <v>334391</v>
      </c>
      <c r="Y30" s="25"/>
      <c r="Z30" s="20"/>
      <c r="AC30" s="7">
        <f>$AC$20</f>
        <v>300</v>
      </c>
      <c r="AD30" s="20">
        <f>$AD$17*E30</f>
        <v>195355.3</v>
      </c>
      <c r="AE30" s="20">
        <f>$A$28*$AE$17</f>
        <v>50400</v>
      </c>
      <c r="AF30" s="20">
        <f>$A$28*$AF$17</f>
        <v>36900</v>
      </c>
      <c r="AG30" s="20">
        <f>$A$28*$AG$17</f>
        <v>35400</v>
      </c>
      <c r="AH30" s="25">
        <f>AC30+AD30+AE30+AF30+AG30</f>
        <v>318355.3</v>
      </c>
      <c r="AI30" s="20"/>
      <c r="AJ30" s="17"/>
      <c r="AK30" s="7">
        <f>AH30-X30</f>
        <v>-16035.700000000012</v>
      </c>
      <c r="AM30" s="18">
        <f>AH30/X30-1</f>
        <v>-4.7954938978620909E-2</v>
      </c>
    </row>
    <row r="31" spans="1:39" x14ac:dyDescent="0.2">
      <c r="C31" s="13"/>
      <c r="E31" s="1"/>
      <c r="F31" s="1"/>
      <c r="G31" s="29"/>
      <c r="H31" s="29"/>
      <c r="J31" s="5"/>
      <c r="K31" s="1"/>
      <c r="L31" s="1"/>
      <c r="M31" s="1"/>
      <c r="P31" s="57"/>
      <c r="Q31" s="1"/>
      <c r="S31" s="7"/>
      <c r="T31" s="20"/>
      <c r="U31" s="20"/>
      <c r="V31" s="20"/>
      <c r="W31" s="20"/>
      <c r="X31" s="25"/>
      <c r="Y31" s="25"/>
      <c r="AC31" s="7"/>
      <c r="AD31" s="20"/>
      <c r="AE31" s="20"/>
      <c r="AF31" s="20"/>
      <c r="AG31" s="20"/>
      <c r="AH31" s="25"/>
      <c r="AJ31" s="17"/>
      <c r="AK31" s="6"/>
      <c r="AM31" s="6"/>
    </row>
    <row r="32" spans="1:39" x14ac:dyDescent="0.2">
      <c r="A32" s="1">
        <v>25000</v>
      </c>
      <c r="B32" s="1"/>
      <c r="C32" s="13">
        <v>0.3</v>
      </c>
      <c r="E32" s="1">
        <f>C32*($A$32*730)</f>
        <v>5475000</v>
      </c>
      <c r="F32" s="1"/>
      <c r="G32" s="29">
        <f t="shared" si="0"/>
        <v>557397.5</v>
      </c>
      <c r="H32" s="29">
        <f>+AH32</f>
        <v>516359.25</v>
      </c>
      <c r="I32" s="29">
        <f>+H32-G32</f>
        <v>-41038.25</v>
      </c>
      <c r="J32" s="57">
        <f>ROUND(+I32/G32,4)</f>
        <v>-7.3599999999999999E-2</v>
      </c>
      <c r="K32" s="29">
        <f>ROUND($T$10*$E32,2)</f>
        <v>-1294.06</v>
      </c>
      <c r="L32" s="29">
        <f>ROUND($T$11*$E32,2)</f>
        <v>10344.790000000001</v>
      </c>
      <c r="M32" s="29">
        <f>ROUND($T$12*$E32,2)</f>
        <v>49492.26</v>
      </c>
      <c r="N32" s="29">
        <f>+G32+K32+L32+M32</f>
        <v>615940.49</v>
      </c>
      <c r="O32" s="29">
        <f>+H32+K32+L32+M32</f>
        <v>574902.24</v>
      </c>
      <c r="P32" s="57">
        <f>(O32-N32)/N32</f>
        <v>-6.6626972355722222E-2</v>
      </c>
      <c r="Q32" s="1"/>
      <c r="S32" s="7">
        <f>$S$20</f>
        <v>300</v>
      </c>
      <c r="T32" s="20">
        <f>$T$17*E32</f>
        <v>208597.5</v>
      </c>
      <c r="U32" s="20">
        <f>$U$17*$A$32</f>
        <v>145750</v>
      </c>
      <c r="V32" s="20">
        <f>$V$17*$A$32</f>
        <v>103250</v>
      </c>
      <c r="W32" s="20">
        <f>$W$17*$A$32</f>
        <v>99500</v>
      </c>
      <c r="X32" s="25">
        <f>S32+T32+U32+V32+W32</f>
        <v>557397.5</v>
      </c>
      <c r="Y32" s="25"/>
      <c r="Z32" s="20"/>
      <c r="AC32" s="7">
        <f>$AC$20</f>
        <v>300</v>
      </c>
      <c r="AD32" s="20">
        <f>$AD$17*E32</f>
        <v>209309.25</v>
      </c>
      <c r="AE32" s="20">
        <f>$A$32*$AE$17</f>
        <v>126000</v>
      </c>
      <c r="AF32" s="20">
        <f>$A$32*$AF$17</f>
        <v>92250</v>
      </c>
      <c r="AG32" s="20">
        <f>$A$32*$AG$17</f>
        <v>88500</v>
      </c>
      <c r="AH32" s="25">
        <f>AC32+AD32+AE32+AF32+AG32</f>
        <v>516359.25</v>
      </c>
      <c r="AI32" s="20"/>
      <c r="AJ32" s="17"/>
      <c r="AK32" s="7">
        <f>AH32-X32</f>
        <v>-41038.25</v>
      </c>
      <c r="AM32" s="18">
        <f>AH32/X32-1</f>
        <v>-7.3624747150821457E-2</v>
      </c>
    </row>
    <row r="33" spans="1:39" x14ac:dyDescent="0.2">
      <c r="C33" s="13">
        <v>0.5</v>
      </c>
      <c r="E33" s="1">
        <f>C33*($A$32*730)</f>
        <v>9125000</v>
      </c>
      <c r="F33" s="1"/>
      <c r="G33" s="29">
        <f t="shared" si="0"/>
        <v>696462.5</v>
      </c>
      <c r="H33" s="29">
        <f>+AH33</f>
        <v>655898.75</v>
      </c>
      <c r="I33" s="29">
        <f>+H33-G33</f>
        <v>-40563.75</v>
      </c>
      <c r="J33" s="57">
        <f>ROUND(+I33/G33,4)</f>
        <v>-5.8200000000000002E-2</v>
      </c>
      <c r="K33" s="29">
        <f>ROUND($T$10*$E33,2)</f>
        <v>-2156.77</v>
      </c>
      <c r="L33" s="29">
        <f>ROUND($T$11*$E33,2)</f>
        <v>17241.32</v>
      </c>
      <c r="M33" s="29">
        <f>ROUND($T$12*$E33,2)</f>
        <v>82487.11</v>
      </c>
      <c r="N33" s="29">
        <f>+G33+K33+L33+M33</f>
        <v>794034.15999999992</v>
      </c>
      <c r="O33" s="29">
        <f>+H33+K33+L33+M33</f>
        <v>753470.40999999992</v>
      </c>
      <c r="P33" s="57">
        <f>(O33-N33)/N33</f>
        <v>-5.1085648506608336E-2</v>
      </c>
      <c r="Q33" s="1"/>
      <c r="S33" s="7">
        <f>$S$20</f>
        <v>300</v>
      </c>
      <c r="T33" s="20">
        <f>$T$17*E33</f>
        <v>347662.5</v>
      </c>
      <c r="U33" s="20">
        <f>$U$17*$A$32</f>
        <v>145750</v>
      </c>
      <c r="V33" s="20">
        <f>$V$17*$A$32</f>
        <v>103250</v>
      </c>
      <c r="W33" s="20">
        <f>$W$17*$A$32</f>
        <v>99500</v>
      </c>
      <c r="X33" s="25">
        <f>S33+T33+U33+V33+W33</f>
        <v>696462.5</v>
      </c>
      <c r="Y33" s="25"/>
      <c r="Z33" s="20"/>
      <c r="AC33" s="7">
        <f>$AC$20</f>
        <v>300</v>
      </c>
      <c r="AD33" s="20">
        <f>$AD$17*E33</f>
        <v>348848.75</v>
      </c>
      <c r="AE33" s="20">
        <f>$A$32*$AE$17</f>
        <v>126000</v>
      </c>
      <c r="AF33" s="20">
        <f>$A$32*$AF$17</f>
        <v>92250</v>
      </c>
      <c r="AG33" s="20">
        <f>$A$32*$AG$17</f>
        <v>88500</v>
      </c>
      <c r="AH33" s="25">
        <f>AC33+AD33+AE33+AF33+AG33</f>
        <v>655898.75</v>
      </c>
      <c r="AI33" s="20"/>
      <c r="AJ33" s="17"/>
      <c r="AK33" s="7">
        <f>AH33-X33</f>
        <v>-40563.75</v>
      </c>
      <c r="AM33" s="18">
        <f>AH33/X33-1</f>
        <v>-5.8242547157958957E-2</v>
      </c>
    </row>
    <row r="34" spans="1:39" x14ac:dyDescent="0.2">
      <c r="C34" s="13">
        <v>0.7</v>
      </c>
      <c r="E34" s="1">
        <f>C34*($A$32*730)</f>
        <v>12775000</v>
      </c>
      <c r="F34" s="1"/>
      <c r="G34" s="29">
        <f t="shared" si="0"/>
        <v>835527.5</v>
      </c>
      <c r="H34" s="29">
        <f>+AH34</f>
        <v>795438.25</v>
      </c>
      <c r="I34" s="29">
        <f>+H34-G34</f>
        <v>-40089.25</v>
      </c>
      <c r="J34" s="57">
        <f>ROUND(+I34/G34,4)</f>
        <v>-4.8000000000000001E-2</v>
      </c>
      <c r="K34" s="29">
        <f>ROUND($T$10*$E34,2)</f>
        <v>-3019.47</v>
      </c>
      <c r="L34" s="29">
        <f>ROUND($T$11*$E34,2)</f>
        <v>24137.84</v>
      </c>
      <c r="M34" s="29">
        <f>ROUND($T$12*$E34,2)</f>
        <v>115481.95</v>
      </c>
      <c r="N34" s="29">
        <f>+G34+K34+L34+M34</f>
        <v>972127.82</v>
      </c>
      <c r="O34" s="29">
        <f>+H34+K34+L34+M34</f>
        <v>932038.57</v>
      </c>
      <c r="P34" s="57">
        <f>(O34-N34)/N34</f>
        <v>-4.1238661393313489E-2</v>
      </c>
      <c r="Q34" s="1"/>
      <c r="S34" s="7">
        <f>$S$20</f>
        <v>300</v>
      </c>
      <c r="T34" s="20">
        <f>$T$17*E34</f>
        <v>486727.5</v>
      </c>
      <c r="U34" s="20">
        <f>$U$17*$A$32</f>
        <v>145750</v>
      </c>
      <c r="V34" s="20">
        <f>$V$17*$A$32</f>
        <v>103250</v>
      </c>
      <c r="W34" s="20">
        <f>$W$17*$A$32</f>
        <v>99500</v>
      </c>
      <c r="X34" s="25">
        <f>S34+T34+U34+V34+W34</f>
        <v>835527.5</v>
      </c>
      <c r="Y34" s="25"/>
      <c r="Z34" s="20"/>
      <c r="AC34" s="7">
        <f>$AC$20</f>
        <v>300</v>
      </c>
      <c r="AD34" s="20">
        <f>$AD$17*E34</f>
        <v>488388.25</v>
      </c>
      <c r="AE34" s="20">
        <f>$A$32*$AE$17</f>
        <v>126000</v>
      </c>
      <c r="AF34" s="20">
        <f>$A$32*$AF$17</f>
        <v>92250</v>
      </c>
      <c r="AG34" s="20">
        <f>$A$32*$AG$17</f>
        <v>88500</v>
      </c>
      <c r="AH34" s="25">
        <f>AC34+AD34+AE34+AF34+AG34</f>
        <v>795438.25</v>
      </c>
      <c r="AI34" s="20"/>
      <c r="AJ34" s="17"/>
      <c r="AK34" s="7">
        <f>AH34-X34</f>
        <v>-40089.25</v>
      </c>
      <c r="AM34" s="18">
        <f>AH34/X34-1</f>
        <v>-4.7980766641433137E-2</v>
      </c>
    </row>
    <row r="35" spans="1:39" x14ac:dyDescent="0.2">
      <c r="C35" s="13"/>
      <c r="E35" s="1"/>
      <c r="F35" s="1"/>
      <c r="G35" s="29"/>
      <c r="H35" s="29"/>
      <c r="J35" s="5"/>
      <c r="K35" s="1"/>
      <c r="L35" s="1"/>
      <c r="M35" s="1"/>
      <c r="P35" s="57"/>
      <c r="Q35" s="1"/>
      <c r="S35" s="7"/>
      <c r="T35" s="20"/>
      <c r="U35" s="20"/>
      <c r="V35" s="20"/>
      <c r="W35" s="20"/>
      <c r="X35" s="25"/>
      <c r="Y35" s="25"/>
      <c r="AC35" s="7"/>
      <c r="AD35" s="20"/>
      <c r="AE35" s="20"/>
      <c r="AF35" s="20"/>
      <c r="AG35" s="20"/>
      <c r="AH35" s="25"/>
      <c r="AJ35" s="17"/>
      <c r="AK35" s="6"/>
      <c r="AM35" s="6"/>
    </row>
    <row r="36" spans="1:39" x14ac:dyDescent="0.2">
      <c r="A36" s="1">
        <v>50000</v>
      </c>
      <c r="B36" s="1"/>
      <c r="C36" s="13">
        <v>0.3</v>
      </c>
      <c r="E36" s="1">
        <f>C36*($A$36*730)</f>
        <v>10950000</v>
      </c>
      <c r="F36" s="1"/>
      <c r="G36" s="29">
        <f t="shared" si="0"/>
        <v>1114495</v>
      </c>
      <c r="H36" s="29">
        <f>+AH36</f>
        <v>1032418.5</v>
      </c>
      <c r="I36" s="29">
        <f>+H36-G36</f>
        <v>-82076.5</v>
      </c>
      <c r="J36" s="57">
        <f>ROUND(+I36/G36,4)</f>
        <v>-7.3599999999999999E-2</v>
      </c>
      <c r="K36" s="29">
        <f>ROUND($T$10*$E36,2)</f>
        <v>-2588.12</v>
      </c>
      <c r="L36" s="29">
        <f>ROUND($T$11*$E36,2)</f>
        <v>20689.580000000002</v>
      </c>
      <c r="M36" s="29">
        <f>ROUND($T$12*$E36,2)</f>
        <v>98984.53</v>
      </c>
      <c r="N36" s="29">
        <f>+G36+K36+L36+M36</f>
        <v>1231580.99</v>
      </c>
      <c r="O36" s="29">
        <f>+H36+K36+L36+M36</f>
        <v>1149504.49</v>
      </c>
      <c r="P36" s="57">
        <f>(O36-N36)/N36</f>
        <v>-6.6643201434929591E-2</v>
      </c>
      <c r="Q36" s="1"/>
      <c r="S36" s="7">
        <f>$S$20</f>
        <v>300</v>
      </c>
      <c r="T36" s="20">
        <f>$T$17*E36</f>
        <v>417195</v>
      </c>
      <c r="U36" s="20">
        <f>$U$17*$A$36</f>
        <v>291500</v>
      </c>
      <c r="V36" s="20">
        <f>$V$17*$A$36</f>
        <v>206500</v>
      </c>
      <c r="W36" s="20">
        <f>$W$17*$A$36</f>
        <v>199000</v>
      </c>
      <c r="X36" s="25">
        <f>S36+T36+U36+V36+W36</f>
        <v>1114495</v>
      </c>
      <c r="Y36" s="25"/>
      <c r="Z36" s="20"/>
      <c r="AC36" s="7">
        <f>$AC$20</f>
        <v>300</v>
      </c>
      <c r="AD36" s="20">
        <f>$AD$17*E36</f>
        <v>418618.5</v>
      </c>
      <c r="AE36" s="20">
        <f>$A$36*$AE$17</f>
        <v>252000</v>
      </c>
      <c r="AF36" s="20">
        <f>$A$36*$AF$17</f>
        <v>184500</v>
      </c>
      <c r="AG36" s="20">
        <f>$A$36*$AG$17</f>
        <v>177000</v>
      </c>
      <c r="AH36" s="25">
        <f>AC36+AD36+AE36+AF36+AG36</f>
        <v>1032418.5</v>
      </c>
      <c r="AI36" s="20"/>
      <c r="AJ36" s="17"/>
      <c r="AK36" s="7">
        <f>AH36-X36</f>
        <v>-82076.5</v>
      </c>
      <c r="AM36" s="18">
        <f>AH36/X36-1</f>
        <v>-7.3644565475843304E-2</v>
      </c>
    </row>
    <row r="37" spans="1:39" x14ac:dyDescent="0.2">
      <c r="C37" s="13">
        <v>0.5</v>
      </c>
      <c r="E37" s="1">
        <f>C37*($A$36*730)</f>
        <v>18250000</v>
      </c>
      <c r="F37" s="1"/>
      <c r="G37" s="29">
        <f t="shared" si="0"/>
        <v>1392625</v>
      </c>
      <c r="H37" s="29">
        <f>+AH37</f>
        <v>1311497.5</v>
      </c>
      <c r="I37" s="29">
        <f>+H37-G37</f>
        <v>-81127.5</v>
      </c>
      <c r="J37" s="57">
        <f>ROUND(+I37/G37,4)</f>
        <v>-5.8299999999999998E-2</v>
      </c>
      <c r="K37" s="29">
        <f>ROUND($T$10*$E37,2)</f>
        <v>-4313.53</v>
      </c>
      <c r="L37" s="29">
        <f>ROUND($T$11*$E37,2)</f>
        <v>34482.629999999997</v>
      </c>
      <c r="M37" s="29">
        <f>ROUND($T$12*$E37,2)</f>
        <v>164974.21</v>
      </c>
      <c r="N37" s="29">
        <f>+G37+K37+L37+M37</f>
        <v>1587768.3099999998</v>
      </c>
      <c r="O37" s="29">
        <f>+H37+K37+L37+M37</f>
        <v>1506640.8099999998</v>
      </c>
      <c r="P37" s="57">
        <f>(O37-N37)/N37</f>
        <v>-5.1095301177789605E-2</v>
      </c>
      <c r="Q37" s="1"/>
      <c r="S37" s="7">
        <f>$S$20</f>
        <v>300</v>
      </c>
      <c r="T37" s="20">
        <f>$T$17*E37</f>
        <v>695325</v>
      </c>
      <c r="U37" s="20">
        <f>$U$17*$A$36</f>
        <v>291500</v>
      </c>
      <c r="V37" s="20">
        <f>$V$17*$A$36</f>
        <v>206500</v>
      </c>
      <c r="W37" s="20">
        <f>$W$17*$A$36</f>
        <v>199000</v>
      </c>
      <c r="X37" s="25">
        <f>S37+T37+U37+V37+W37</f>
        <v>1392625</v>
      </c>
      <c r="Y37" s="25"/>
      <c r="Z37" s="20"/>
      <c r="AC37" s="7">
        <f>$AC$20</f>
        <v>300</v>
      </c>
      <c r="AD37" s="20">
        <f>$AD$17*E37</f>
        <v>697697.5</v>
      </c>
      <c r="AE37" s="20">
        <f>$A$36*$AE$17</f>
        <v>252000</v>
      </c>
      <c r="AF37" s="20">
        <f>$A$36*$AF$17</f>
        <v>184500</v>
      </c>
      <c r="AG37" s="20">
        <f>$A$36*$AG$17</f>
        <v>177000</v>
      </c>
      <c r="AH37" s="25">
        <f>AC37+AD37+AE37+AF37+AG37</f>
        <v>1311497.5</v>
      </c>
      <c r="AI37" s="20"/>
      <c r="AJ37" s="17"/>
      <c r="AK37" s="7">
        <f>AH37-X37</f>
        <v>-81127.5</v>
      </c>
      <c r="AM37" s="18">
        <f>AH37/X37-1</f>
        <v>-5.8255093797684232E-2</v>
      </c>
    </row>
    <row r="38" spans="1:39" x14ac:dyDescent="0.2">
      <c r="C38" s="13">
        <v>0.7</v>
      </c>
      <c r="E38" s="1">
        <f>C38*($A$36*730)</f>
        <v>25550000</v>
      </c>
      <c r="F38" s="1"/>
      <c r="G38" s="29">
        <f t="shared" si="0"/>
        <v>1670755</v>
      </c>
      <c r="H38" s="29">
        <f>+AH38</f>
        <v>1590576.5</v>
      </c>
      <c r="I38" s="29">
        <f>+H38-G38</f>
        <v>-80178.5</v>
      </c>
      <c r="J38" s="57">
        <f>ROUND(+I38/G38,4)</f>
        <v>-4.8000000000000001E-2</v>
      </c>
      <c r="K38" s="29">
        <f>ROUND($T$10*$E38,2)</f>
        <v>-6038.94</v>
      </c>
      <c r="L38" s="29">
        <f>ROUND($T$11*$E38,2)</f>
        <v>48275.69</v>
      </c>
      <c r="M38" s="29">
        <f>ROUND($T$12*$E38,2)</f>
        <v>230963.9</v>
      </c>
      <c r="N38" s="29">
        <f>+G38+K38+L38+M38</f>
        <v>1943955.65</v>
      </c>
      <c r="O38" s="29">
        <f>+H38+K38+L38+M38</f>
        <v>1863777.15</v>
      </c>
      <c r="P38" s="57">
        <f>(O38-N38)/N38</f>
        <v>-4.124502531732141E-2</v>
      </c>
      <c r="Q38" s="1"/>
      <c r="S38" s="7">
        <f>$S$20</f>
        <v>300</v>
      </c>
      <c r="T38" s="20">
        <f>$T$17*E38</f>
        <v>973455</v>
      </c>
      <c r="U38" s="20">
        <f>$U$17*$A$36</f>
        <v>291500</v>
      </c>
      <c r="V38" s="20">
        <f>$V$17*$A$36</f>
        <v>206500</v>
      </c>
      <c r="W38" s="20">
        <f>$W$17*$A$36</f>
        <v>199000</v>
      </c>
      <c r="X38" s="25">
        <f>S38+T38+U38+V38+W38</f>
        <v>1670755</v>
      </c>
      <c r="Y38" s="25"/>
      <c r="Z38" s="20"/>
      <c r="AC38" s="7">
        <f>$AC$20</f>
        <v>300</v>
      </c>
      <c r="AD38" s="20">
        <f>$AD$17*E38</f>
        <v>976776.5</v>
      </c>
      <c r="AE38" s="20">
        <f>$A$36*$AE$17</f>
        <v>252000</v>
      </c>
      <c r="AF38" s="20">
        <f>$A$36*$AF$17</f>
        <v>184500</v>
      </c>
      <c r="AG38" s="20">
        <f>$A$36*$AG$17</f>
        <v>177000</v>
      </c>
      <c r="AH38" s="25">
        <f>AC38+AD38+AE38+AF38+AG38</f>
        <v>1590576.5</v>
      </c>
      <c r="AI38" s="20"/>
      <c r="AJ38" s="17"/>
      <c r="AK38" s="7">
        <f>AH38-X38</f>
        <v>-80178.5</v>
      </c>
      <c r="AM38" s="18">
        <f>AH38/X38-1</f>
        <v>-4.7989382045841578E-2</v>
      </c>
    </row>
    <row r="39" spans="1:39" x14ac:dyDescent="0.2">
      <c r="T39" s="20"/>
      <c r="U39" s="20"/>
      <c r="V39" s="20"/>
      <c r="W39" s="20"/>
      <c r="X39" s="20"/>
      <c r="Y39" s="20"/>
    </row>
    <row r="40" spans="1:39" x14ac:dyDescent="0.2">
      <c r="A40" s="17" t="s">
        <v>373</v>
      </c>
      <c r="T40" s="20"/>
      <c r="U40" s="20"/>
      <c r="V40" s="20"/>
      <c r="W40" s="20"/>
      <c r="X40" s="20"/>
      <c r="Y40" s="20"/>
    </row>
    <row r="41" spans="1:39" x14ac:dyDescent="0.2">
      <c r="A41" s="228" t="str">
        <f>("Average usage = "&amp;TEXT(INPUT!I19*1,"000,000")&amp;" kWh per month")</f>
        <v>Average usage = 786,183 kWh per month</v>
      </c>
      <c r="T41" s="20"/>
      <c r="U41" s="20"/>
      <c r="V41" s="20"/>
      <c r="W41" s="20"/>
      <c r="X41" s="20"/>
      <c r="Y41" s="20"/>
    </row>
    <row r="42" spans="1:39" x14ac:dyDescent="0.2">
      <c r="A42" s="230" t="s">
        <v>375</v>
      </c>
      <c r="C42" s="1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AE42" s="31"/>
      <c r="AF42" s="20"/>
      <c r="AG42" s="20"/>
      <c r="AH42" s="20"/>
      <c r="AI42" s="20"/>
      <c r="AJ42" s="20"/>
      <c r="AK42" s="6"/>
    </row>
    <row r="43" spans="1:39" x14ac:dyDescent="0.2">
      <c r="A43" s="231" t="s">
        <v>99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T43" s="12"/>
      <c r="AE43" s="9"/>
    </row>
    <row r="44" spans="1:39" x14ac:dyDescent="0.2">
      <c r="A44" s="231" t="str">
        <f>+'Rate Case Constants'!C26</f>
        <v>Calculations may vary from other schedules due to rounding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A44" s="3"/>
      <c r="AB44" s="2"/>
      <c r="AC44" s="3"/>
      <c r="AE44" s="3"/>
    </row>
    <row r="45" spans="1:39" x14ac:dyDescent="0.2">
      <c r="A45" s="61"/>
      <c r="AE45" s="9"/>
    </row>
    <row r="46" spans="1:39" x14ac:dyDescent="0.2">
      <c r="S46" s="3"/>
      <c r="W46" s="3"/>
      <c r="AA46" s="3"/>
      <c r="AE46" s="9"/>
    </row>
    <row r="47" spans="1:39" x14ac:dyDescent="0.2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A47" s="3"/>
      <c r="AB47" s="2"/>
      <c r="AC47" s="3"/>
      <c r="AE47" s="3"/>
    </row>
    <row r="48" spans="1:39" x14ac:dyDescent="0.2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A48" s="3"/>
      <c r="AB48" s="2"/>
      <c r="AC48" s="3"/>
      <c r="AE48" s="3"/>
    </row>
    <row r="49" spans="5:31" x14ac:dyDescent="0.2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T49" s="3"/>
      <c r="U49" s="3"/>
      <c r="V49" s="3"/>
      <c r="W49" s="3"/>
      <c r="X49" s="3"/>
      <c r="Y49" s="3"/>
    </row>
    <row r="50" spans="5:31" x14ac:dyDescent="0.2"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S50" s="7"/>
      <c r="T50" s="12"/>
      <c r="W50" s="12"/>
      <c r="X50" s="12"/>
      <c r="Y50" s="12"/>
      <c r="AA50" s="6"/>
      <c r="AC50" s="6"/>
      <c r="AE50" s="9"/>
    </row>
    <row r="51" spans="5:31" x14ac:dyDescent="0.2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S51" s="7"/>
      <c r="T51" s="12"/>
      <c r="W51" s="12"/>
      <c r="X51" s="12"/>
      <c r="Y51" s="12"/>
      <c r="AA51" s="6"/>
      <c r="AC51" s="6"/>
      <c r="AE51" s="9"/>
    </row>
    <row r="52" spans="5:31" x14ac:dyDescent="0.2"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S52" s="7"/>
      <c r="T52" s="12"/>
      <c r="W52" s="12"/>
      <c r="X52" s="12"/>
      <c r="Y52" s="12"/>
      <c r="AA52" s="6"/>
      <c r="AC52" s="6"/>
      <c r="AE52" s="9"/>
    </row>
    <row r="53" spans="5:31" x14ac:dyDescent="0.2"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S53" s="7"/>
      <c r="T53" s="12"/>
      <c r="W53" s="12"/>
      <c r="X53" s="12"/>
      <c r="Y53" s="12"/>
      <c r="AA53" s="6"/>
      <c r="AB53" s="10"/>
      <c r="AC53" s="6"/>
      <c r="AD53" s="10"/>
      <c r="AE53" s="9"/>
    </row>
    <row r="54" spans="5:31" ht="6.75" customHeight="1" x14ac:dyDescent="0.2"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S54" s="7"/>
      <c r="T54" s="12"/>
      <c r="W54" s="12"/>
      <c r="X54" s="12"/>
      <c r="Y54" s="12"/>
      <c r="AA54" s="6"/>
      <c r="AB54" s="10"/>
      <c r="AC54" s="6"/>
      <c r="AD54" s="10"/>
      <c r="AE54" s="9"/>
    </row>
    <row r="55" spans="5:31" x14ac:dyDescent="0.2"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S55" s="7"/>
      <c r="T55" s="12"/>
      <c r="W55" s="12"/>
      <c r="X55" s="12"/>
      <c r="Y55" s="12"/>
      <c r="AA55" s="6"/>
      <c r="AC55" s="6"/>
      <c r="AE55" s="9"/>
    </row>
    <row r="56" spans="5:31" x14ac:dyDescent="0.2"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S56" s="7"/>
      <c r="T56" s="12"/>
      <c r="W56" s="12"/>
      <c r="X56" s="12"/>
      <c r="Y56" s="12"/>
      <c r="AA56" s="6"/>
      <c r="AC56" s="6"/>
      <c r="AE56" s="9"/>
    </row>
    <row r="57" spans="5:31" x14ac:dyDescent="0.2"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S57" s="7"/>
      <c r="T57" s="12"/>
      <c r="W57" s="12"/>
      <c r="X57" s="12"/>
      <c r="Y57" s="12"/>
      <c r="AA57" s="6"/>
      <c r="AC57" s="6"/>
      <c r="AE57" s="9"/>
    </row>
    <row r="58" spans="5:31" x14ac:dyDescent="0.2"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S58" s="7"/>
      <c r="T58" s="12"/>
      <c r="W58" s="12"/>
      <c r="X58" s="12"/>
      <c r="Y58" s="12"/>
      <c r="AA58" s="6"/>
      <c r="AC58" s="6"/>
      <c r="AE58" s="9"/>
    </row>
    <row r="59" spans="5:31" x14ac:dyDescent="0.2"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S59" s="7"/>
      <c r="T59" s="12"/>
      <c r="W59" s="12"/>
      <c r="X59" s="12"/>
      <c r="Y59" s="12"/>
      <c r="AA59" s="6"/>
      <c r="AC59" s="6"/>
      <c r="AE59" s="9"/>
    </row>
    <row r="60" spans="5:31" ht="6.75" customHeight="1" x14ac:dyDescent="0.2"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S60" s="7"/>
      <c r="T60" s="12"/>
      <c r="W60" s="12"/>
      <c r="X60" s="12"/>
      <c r="Y60" s="12"/>
      <c r="AA60" s="6"/>
      <c r="AC60" s="6"/>
      <c r="AE60" s="9"/>
    </row>
    <row r="61" spans="5:31" x14ac:dyDescent="0.2"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S61" s="7"/>
      <c r="T61" s="12"/>
      <c r="W61" s="12"/>
      <c r="X61" s="12"/>
      <c r="Y61" s="12"/>
      <c r="AA61" s="6"/>
      <c r="AC61" s="6"/>
      <c r="AE61" s="9"/>
    </row>
    <row r="62" spans="5:31" x14ac:dyDescent="0.2"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S62" s="7"/>
      <c r="T62" s="12"/>
      <c r="W62" s="12"/>
      <c r="X62" s="12"/>
      <c r="Y62" s="12"/>
      <c r="AA62" s="6"/>
      <c r="AC62" s="6"/>
      <c r="AE62" s="9"/>
    </row>
    <row r="63" spans="5:31" x14ac:dyDescent="0.2"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S63" s="7"/>
      <c r="T63" s="12"/>
      <c r="W63" s="12"/>
      <c r="X63" s="12"/>
      <c r="Y63" s="12"/>
      <c r="AA63" s="6"/>
      <c r="AC63" s="6"/>
      <c r="AE63" s="9"/>
    </row>
    <row r="64" spans="5:31" x14ac:dyDescent="0.2"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S64" s="7"/>
      <c r="T64" s="12"/>
      <c r="W64" s="12"/>
      <c r="X64" s="12"/>
      <c r="Y64" s="12"/>
      <c r="AA64" s="6"/>
      <c r="AC64" s="6"/>
      <c r="AE64" s="9"/>
    </row>
    <row r="65" spans="5:35" x14ac:dyDescent="0.2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T65" s="3"/>
      <c r="U65" s="3"/>
      <c r="V65" s="3"/>
      <c r="W65" s="3"/>
      <c r="X65" s="3"/>
      <c r="Y65" s="3"/>
    </row>
    <row r="66" spans="5:35" x14ac:dyDescent="0.2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T66" s="3"/>
      <c r="U66" s="3"/>
      <c r="V66" s="3"/>
      <c r="W66" s="3"/>
      <c r="X66" s="3"/>
      <c r="Y66" s="3"/>
    </row>
    <row r="67" spans="5:35" x14ac:dyDescent="0.2"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AE67" s="9"/>
    </row>
    <row r="68" spans="5:35" x14ac:dyDescent="0.2">
      <c r="AH68" s="4"/>
      <c r="AI68" s="4"/>
    </row>
  </sheetData>
  <mergeCells count="5">
    <mergeCell ref="K15:M15"/>
    <mergeCell ref="A1:P1"/>
    <mergeCell ref="A2:P2"/>
    <mergeCell ref="A3:P3"/>
    <mergeCell ref="A4:P4"/>
  </mergeCells>
  <printOptions horizontalCentered="1"/>
  <pageMargins left="0.25" right="0.25" top="1" bottom="0.5" header="1" footer="0.5"/>
  <pageSetup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68"/>
  <sheetViews>
    <sheetView view="pageBreakPreview" zoomScaleNormal="100" zoomScaleSheetLayoutView="100" workbookViewId="0">
      <selection activeCell="A12" sqref="A12"/>
    </sheetView>
  </sheetViews>
  <sheetFormatPr defaultRowHeight="12.75" x14ac:dyDescent="0.2"/>
  <cols>
    <col min="1" max="1" width="7.140625" customWidth="1"/>
    <col min="2" max="2" width="3.7109375" customWidth="1"/>
    <col min="3" max="3" width="6.5703125" customWidth="1"/>
    <col min="4" max="4" width="1.85546875" customWidth="1"/>
    <col min="5" max="5" width="10.85546875" bestFit="1" customWidth="1"/>
    <col min="6" max="6" width="2" customWidth="1"/>
    <col min="7" max="7" width="15.140625" bestFit="1" customWidth="1"/>
    <col min="8" max="8" width="14.7109375" customWidth="1"/>
    <col min="9" max="9" width="11.28515625" bestFit="1" customWidth="1"/>
    <col min="10" max="10" width="9.85546875" customWidth="1"/>
    <col min="11" max="11" width="12" bestFit="1" customWidth="1"/>
    <col min="12" max="12" width="12.28515625" bestFit="1" customWidth="1"/>
    <col min="13" max="13" width="12.140625" customWidth="1"/>
    <col min="14" max="15" width="15.140625" bestFit="1" customWidth="1"/>
    <col min="16" max="18" width="9.85546875" customWidth="1"/>
    <col min="19" max="19" width="10" customWidth="1"/>
    <col min="20" max="20" width="13.5703125" customWidth="1"/>
    <col min="21" max="21" width="12.5703125" bestFit="1" customWidth="1"/>
    <col min="22" max="22" width="12.7109375" bestFit="1" customWidth="1"/>
    <col min="23" max="23" width="12" bestFit="1" customWidth="1"/>
    <col min="24" max="24" width="14.42578125" bestFit="1" customWidth="1"/>
    <col min="25" max="25" width="3.140625" customWidth="1"/>
    <col min="26" max="26" width="14.42578125" customWidth="1"/>
    <col min="27" max="27" width="3.85546875" customWidth="1"/>
    <col min="28" max="28" width="2.42578125" customWidth="1"/>
    <col min="29" max="29" width="14.42578125" bestFit="1" customWidth="1"/>
    <col min="30" max="31" width="12.7109375" bestFit="1" customWidth="1"/>
    <col min="32" max="32" width="13.85546875" bestFit="1" customWidth="1"/>
    <col min="33" max="33" width="11.5703125" bestFit="1" customWidth="1"/>
    <col min="34" max="34" width="14.42578125" bestFit="1" customWidth="1"/>
    <col min="35" max="35" width="12.7109375" customWidth="1"/>
    <col min="36" max="36" width="11.140625" customWidth="1"/>
    <col min="37" max="37" width="11.42578125" bestFit="1" customWidth="1"/>
    <col min="38" max="38" width="10.7109375" customWidth="1"/>
    <col min="39" max="39" width="11.42578125" bestFit="1" customWidth="1"/>
  </cols>
  <sheetData>
    <row r="1" spans="1:39" x14ac:dyDescent="0.2">
      <c r="A1" s="377" t="str">
        <f>+'Rate Case Constants'!C9</f>
        <v>LOUISVILLE GAS AND ELECTRIC COMPANY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</row>
    <row r="2" spans="1:39" x14ac:dyDescent="0.2">
      <c r="A2" s="379" t="str">
        <f>+'Rate Case Constants'!A2:C2</f>
        <v>Rate Case Constants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</row>
    <row r="3" spans="1:39" x14ac:dyDescent="0.2">
      <c r="A3" s="378" t="str">
        <f>+'Rate Case Constants'!C24</f>
        <v>Typical Electric Bill Comparison under Present &amp; Proposed Rates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</row>
    <row r="4" spans="1:39" x14ac:dyDescent="0.2">
      <c r="A4" s="379" t="str">
        <f>+'Rate Case Constants'!A3:C3</f>
        <v>For the 2014 Rate Case Filing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</row>
    <row r="7" spans="1:39" x14ac:dyDescent="0.2">
      <c r="A7" t="str">
        <f>+'Rate Case Constants'!C33</f>
        <v>DATA: ____BASE PERIOD__X___FORECASTED PERIOD</v>
      </c>
      <c r="P7" s="208" t="str">
        <f>+'Rate Case Constants'!C25</f>
        <v>SCHEDULE N (Electric)</v>
      </c>
    </row>
    <row r="8" spans="1:39" x14ac:dyDescent="0.2">
      <c r="A8" t="str">
        <f>+'Rate Case Constants'!C29</f>
        <v>TYPE OF FILING: __X__ ORIGINAL  _____ UPDATED  _____ REVISED</v>
      </c>
      <c r="L8" s="209"/>
      <c r="P8" s="209" t="str">
        <f>+'Rate Case Constants'!L17</f>
        <v>PAGE 10 of 22</v>
      </c>
    </row>
    <row r="9" spans="1:39" x14ac:dyDescent="0.2">
      <c r="A9" t="str">
        <f>+'Rate Case Constants'!C34</f>
        <v>WORKPAPER REFERENCE NO(S):________</v>
      </c>
      <c r="P9" s="209" t="str">
        <f>+'Rate Case Constants'!C37</f>
        <v>WITNESS:   R. M. CONROY</v>
      </c>
    </row>
    <row r="10" spans="1:39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S10" s="86" t="s">
        <v>72</v>
      </c>
      <c r="T10">
        <f>+INPUT!G56</f>
        <v>-2.9645116771902745E-4</v>
      </c>
    </row>
    <row r="11" spans="1:39" x14ac:dyDescent="0.2">
      <c r="A11" s="45" t="s">
        <v>415</v>
      </c>
      <c r="S11" s="86" t="s">
        <v>74</v>
      </c>
      <c r="T11">
        <f>+INPUT!H56</f>
        <v>1.8866944797672441E-3</v>
      </c>
      <c r="V11" s="61" t="s">
        <v>99</v>
      </c>
      <c r="AD11" s="61" t="s">
        <v>99</v>
      </c>
    </row>
    <row r="12" spans="1:39" x14ac:dyDescent="0.2"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86" t="s">
        <v>73</v>
      </c>
      <c r="T12">
        <f>+INPUT!I56</f>
        <v>9.1093442540839936E-3</v>
      </c>
    </row>
    <row r="13" spans="1:39" x14ac:dyDescent="0.2">
      <c r="A13" s="45"/>
      <c r="G13" s="222" t="s">
        <v>362</v>
      </c>
      <c r="H13" s="223" t="s">
        <v>363</v>
      </c>
      <c r="I13" s="223" t="s">
        <v>364</v>
      </c>
      <c r="J13" s="222" t="s">
        <v>365</v>
      </c>
      <c r="K13" s="222" t="s">
        <v>366</v>
      </c>
      <c r="L13" s="222" t="s">
        <v>367</v>
      </c>
      <c r="M13" s="223" t="s">
        <v>368</v>
      </c>
      <c r="N13" s="222" t="s">
        <v>369</v>
      </c>
      <c r="O13" s="222" t="s">
        <v>370</v>
      </c>
      <c r="P13" s="222" t="s">
        <v>371</v>
      </c>
      <c r="U13" s="3" t="s">
        <v>1</v>
      </c>
      <c r="V13" s="3" t="s">
        <v>1</v>
      </c>
      <c r="W13" s="3" t="s">
        <v>1</v>
      </c>
      <c r="Z13" s="3" t="s">
        <v>73</v>
      </c>
      <c r="AD13" s="20"/>
      <c r="AE13" s="21" t="s">
        <v>9</v>
      </c>
      <c r="AF13" s="21" t="s">
        <v>9</v>
      </c>
      <c r="AG13" s="21" t="s">
        <v>9</v>
      </c>
      <c r="AH13" s="20"/>
      <c r="AI13" s="3" t="s">
        <v>73</v>
      </c>
    </row>
    <row r="14" spans="1:39" x14ac:dyDescent="0.2">
      <c r="G14" s="351" t="s">
        <v>406</v>
      </c>
      <c r="H14" s="351" t="s">
        <v>406</v>
      </c>
      <c r="I14" s="226"/>
      <c r="J14" s="226"/>
      <c r="K14" s="226"/>
      <c r="L14" s="226"/>
      <c r="M14" s="226"/>
      <c r="N14" s="222" t="s">
        <v>5</v>
      </c>
      <c r="O14" s="222" t="s">
        <v>5</v>
      </c>
      <c r="P14" s="226"/>
      <c r="S14" s="3" t="s">
        <v>1</v>
      </c>
      <c r="T14" s="3" t="s">
        <v>1</v>
      </c>
      <c r="U14" s="3" t="s">
        <v>34</v>
      </c>
      <c r="V14" s="3" t="s">
        <v>30</v>
      </c>
      <c r="W14" s="3" t="s">
        <v>22</v>
      </c>
      <c r="X14" s="3" t="s">
        <v>1</v>
      </c>
      <c r="Y14" s="3"/>
      <c r="Z14" s="3" t="s">
        <v>1</v>
      </c>
      <c r="AC14" s="3" t="s">
        <v>9</v>
      </c>
      <c r="AD14" s="3" t="s">
        <v>9</v>
      </c>
      <c r="AE14" s="21" t="s">
        <v>34</v>
      </c>
      <c r="AF14" s="21" t="s">
        <v>30</v>
      </c>
      <c r="AG14" s="21" t="s">
        <v>22</v>
      </c>
      <c r="AH14" s="21" t="s">
        <v>9</v>
      </c>
      <c r="AI14" s="3" t="s">
        <v>1</v>
      </c>
      <c r="AK14" s="3"/>
    </row>
    <row r="15" spans="1:39" x14ac:dyDescent="0.2">
      <c r="C15" s="3" t="s">
        <v>23</v>
      </c>
      <c r="E15" s="3"/>
      <c r="F15" s="3"/>
      <c r="G15" s="222" t="s">
        <v>1</v>
      </c>
      <c r="H15" s="222" t="s">
        <v>75</v>
      </c>
      <c r="I15" s="222"/>
      <c r="J15" s="222"/>
      <c r="K15" s="372" t="s">
        <v>136</v>
      </c>
      <c r="L15" s="372"/>
      <c r="M15" s="373"/>
      <c r="N15" s="222" t="s">
        <v>1</v>
      </c>
      <c r="O15" s="222" t="s">
        <v>75</v>
      </c>
      <c r="P15" s="222"/>
      <c r="Q15" s="3"/>
      <c r="R15" s="3"/>
      <c r="S15" s="3" t="s">
        <v>2</v>
      </c>
      <c r="T15" s="3" t="s">
        <v>59</v>
      </c>
      <c r="U15" s="3" t="s">
        <v>25</v>
      </c>
      <c r="V15" s="3" t="s">
        <v>25</v>
      </c>
      <c r="W15" s="3" t="s">
        <v>18</v>
      </c>
      <c r="X15" s="3" t="s">
        <v>5</v>
      </c>
      <c r="Y15" s="3"/>
      <c r="Z15" s="3" t="s">
        <v>77</v>
      </c>
      <c r="AC15" s="26" t="s">
        <v>58</v>
      </c>
      <c r="AD15" s="3" t="s">
        <v>59</v>
      </c>
      <c r="AE15" s="21" t="s">
        <v>25</v>
      </c>
      <c r="AF15" s="21" t="s">
        <v>25</v>
      </c>
      <c r="AG15" s="21" t="s">
        <v>18</v>
      </c>
      <c r="AH15" s="21" t="s">
        <v>5</v>
      </c>
      <c r="AI15" s="3" t="s">
        <v>77</v>
      </c>
      <c r="AK15" s="3" t="s">
        <v>6</v>
      </c>
      <c r="AL15" s="3"/>
      <c r="AM15" s="3" t="s">
        <v>8</v>
      </c>
    </row>
    <row r="16" spans="1:39" x14ac:dyDescent="0.2">
      <c r="A16" s="3" t="s">
        <v>26</v>
      </c>
      <c r="C16" s="3" t="s">
        <v>24</v>
      </c>
      <c r="E16" s="3" t="s">
        <v>0</v>
      </c>
      <c r="F16" s="3"/>
      <c r="G16" s="222" t="s">
        <v>4</v>
      </c>
      <c r="H16" s="222" t="s">
        <v>4</v>
      </c>
      <c r="I16" s="222" t="s">
        <v>76</v>
      </c>
      <c r="J16" s="222" t="s">
        <v>76</v>
      </c>
      <c r="K16" s="222" t="s">
        <v>72</v>
      </c>
      <c r="L16" s="222" t="s">
        <v>74</v>
      </c>
      <c r="M16" s="222" t="s">
        <v>73</v>
      </c>
      <c r="N16" s="222" t="s">
        <v>4</v>
      </c>
      <c r="O16" s="222" t="s">
        <v>4</v>
      </c>
      <c r="P16" s="222" t="s">
        <v>76</v>
      </c>
      <c r="Q16" s="3"/>
      <c r="R16" s="3"/>
      <c r="S16" s="26" t="s">
        <v>3</v>
      </c>
      <c r="T16" s="3" t="s">
        <v>3</v>
      </c>
      <c r="U16" s="3" t="s">
        <v>3</v>
      </c>
      <c r="V16" s="3" t="s">
        <v>3</v>
      </c>
      <c r="W16" s="3" t="s">
        <v>3</v>
      </c>
      <c r="X16" s="3" t="s">
        <v>4</v>
      </c>
      <c r="Y16" s="3"/>
      <c r="Z16" s="3" t="s">
        <v>3</v>
      </c>
      <c r="AC16" s="26" t="s">
        <v>3</v>
      </c>
      <c r="AD16" s="3" t="s">
        <v>3</v>
      </c>
      <c r="AE16" s="21" t="s">
        <v>3</v>
      </c>
      <c r="AF16" s="21" t="s">
        <v>3</v>
      </c>
      <c r="AG16" s="21" t="s">
        <v>3</v>
      </c>
      <c r="AH16" s="21" t="s">
        <v>4</v>
      </c>
      <c r="AI16" s="3" t="s">
        <v>3</v>
      </c>
      <c r="AK16" s="3" t="s">
        <v>7</v>
      </c>
      <c r="AL16" s="3"/>
      <c r="AM16" s="3" t="s">
        <v>7</v>
      </c>
    </row>
    <row r="17" spans="1:39" x14ac:dyDescent="0.2">
      <c r="A17" s="3"/>
      <c r="C17" s="3"/>
      <c r="E17" s="3"/>
      <c r="F17" s="3"/>
      <c r="G17" s="222"/>
      <c r="H17" s="222"/>
      <c r="I17" s="222" t="s">
        <v>70</v>
      </c>
      <c r="J17" s="223" t="s">
        <v>71</v>
      </c>
      <c r="K17" s="224"/>
      <c r="L17" s="224"/>
      <c r="M17" s="225"/>
      <c r="N17" s="222" t="s">
        <v>70</v>
      </c>
      <c r="O17" s="222" t="s">
        <v>70</v>
      </c>
      <c r="P17" s="223" t="s">
        <v>71</v>
      </c>
      <c r="Q17" s="3"/>
      <c r="R17" s="3"/>
      <c r="S17" s="26"/>
      <c r="T17" s="43">
        <f>+INPUT!$J$6</f>
        <v>3.5380000000000002E-2</v>
      </c>
      <c r="U17" s="44">
        <f>+INPUT!$J$14</f>
        <v>4.63</v>
      </c>
      <c r="V17" s="44">
        <f>+INPUT!$J$15</f>
        <v>3.79</v>
      </c>
      <c r="W17" s="44">
        <f>+INPUT!$J$16</f>
        <v>3.63</v>
      </c>
      <c r="X17" s="3"/>
      <c r="Y17" s="3"/>
      <c r="Z17" s="43"/>
      <c r="AC17" s="26"/>
      <c r="AD17" s="43">
        <f>+INPUT!$J$27</f>
        <v>3.823E-2</v>
      </c>
      <c r="AE17" s="44">
        <f>+INPUT!$J$35</f>
        <v>5.04</v>
      </c>
      <c r="AF17" s="44">
        <f>+INPUT!$J$36</f>
        <v>3.69</v>
      </c>
      <c r="AG17" s="44">
        <f>+INPUT!$J$37</f>
        <v>3.54</v>
      </c>
      <c r="AH17" s="21"/>
      <c r="AI17" s="43"/>
      <c r="AK17" s="3"/>
      <c r="AL17" s="3"/>
      <c r="AM17" s="3"/>
    </row>
    <row r="18" spans="1:39" x14ac:dyDescent="0.2">
      <c r="C18" s="3"/>
      <c r="E18" s="3"/>
      <c r="F18" s="3"/>
      <c r="G18" s="222"/>
      <c r="H18" s="222"/>
      <c r="I18" s="222" t="str">
        <f>("[ "&amp;H13&amp;" - "&amp;G13&amp;" ]")</f>
        <v>[ B - A ]</v>
      </c>
      <c r="J18" s="222" t="str">
        <f>("[ "&amp;I13&amp;" / "&amp;G13&amp;" ]")</f>
        <v>[ C / A ]</v>
      </c>
      <c r="K18" s="224"/>
      <c r="L18" s="224"/>
      <c r="M18" s="224"/>
      <c r="N18" s="222" t="str">
        <f>("["&amp;G13&amp;"+"&amp;$K$13&amp;"+"&amp;$L$13&amp;"+"&amp;$M$13&amp;"]")</f>
        <v>[A+E+F+G]</v>
      </c>
      <c r="O18" s="222" t="str">
        <f>("["&amp;H13&amp;"+"&amp;$K$13&amp;"+"&amp;$L$13&amp;"+"&amp;$M$13&amp;"]")</f>
        <v>[B+E+F+G]</v>
      </c>
      <c r="P18" s="222" t="str">
        <f>("[("&amp;O13&amp;" - "&amp;N13&amp;")/"&amp;N13&amp;"]")</f>
        <v>[(I - H)/H]</v>
      </c>
      <c r="Q18" s="3"/>
      <c r="R18" s="3"/>
      <c r="T18" s="3" t="s">
        <v>14</v>
      </c>
      <c r="U18" s="3" t="s">
        <v>61</v>
      </c>
      <c r="V18" s="3" t="s">
        <v>61</v>
      </c>
      <c r="W18" s="3" t="s">
        <v>61</v>
      </c>
      <c r="X18" s="3"/>
      <c r="Y18" s="3"/>
      <c r="Z18" s="3" t="s">
        <v>14</v>
      </c>
      <c r="AC18" s="26"/>
      <c r="AD18" s="3" t="s">
        <v>14</v>
      </c>
      <c r="AE18" s="3" t="s">
        <v>61</v>
      </c>
      <c r="AF18" s="3" t="s">
        <v>61</v>
      </c>
      <c r="AG18" s="3" t="s">
        <v>61</v>
      </c>
      <c r="AH18" s="21"/>
      <c r="AI18" s="3" t="s">
        <v>14</v>
      </c>
      <c r="AK18" s="3"/>
      <c r="AL18" s="3"/>
      <c r="AM18" s="3"/>
    </row>
    <row r="19" spans="1:39" x14ac:dyDescent="0.2">
      <c r="C19" s="3"/>
      <c r="E19" s="3"/>
      <c r="F19" s="3"/>
      <c r="G19" s="3"/>
      <c r="H19" s="3"/>
      <c r="I19" s="222"/>
      <c r="J19" s="222"/>
      <c r="K19" s="3"/>
      <c r="L19" s="3"/>
      <c r="M19" s="3"/>
      <c r="N19" s="222"/>
      <c r="O19" s="3"/>
      <c r="P19" s="222"/>
      <c r="Q19" s="3"/>
      <c r="R19" s="3"/>
      <c r="U19" s="3"/>
      <c r="V19" s="3"/>
      <c r="W19" s="3"/>
      <c r="X19" s="3"/>
      <c r="Y19" s="3"/>
      <c r="AC19" s="26"/>
      <c r="AD19" s="3"/>
      <c r="AE19" s="21"/>
      <c r="AF19" s="21"/>
      <c r="AG19" s="21"/>
      <c r="AH19" s="21"/>
      <c r="AK19" s="3"/>
      <c r="AL19" s="3"/>
      <c r="AM19" s="3"/>
    </row>
    <row r="20" spans="1:39" x14ac:dyDescent="0.2">
      <c r="A20" s="1">
        <v>500</v>
      </c>
      <c r="B20" s="1"/>
      <c r="C20" s="13">
        <v>0.3</v>
      </c>
      <c r="E20" s="1">
        <f>C20*($A$20*730)</f>
        <v>109500</v>
      </c>
      <c r="F20" s="1"/>
      <c r="G20" s="29">
        <f>+X20</f>
        <v>10199.11</v>
      </c>
      <c r="H20" s="29">
        <f>+AH20</f>
        <v>10621.185000000001</v>
      </c>
      <c r="I20" s="29">
        <f>+H20-G20</f>
        <v>422.07500000000073</v>
      </c>
      <c r="J20" s="57">
        <f>ROUND(+I20/G20,4)</f>
        <v>4.1399999999999999E-2</v>
      </c>
      <c r="K20" s="29">
        <f>ROUND($T$10*$E20,2)</f>
        <v>-32.46</v>
      </c>
      <c r="L20" s="29">
        <f>ROUND($T$11*$E20,2)</f>
        <v>206.59</v>
      </c>
      <c r="M20" s="29">
        <f>ROUND($T$12*$E20,2)</f>
        <v>997.47</v>
      </c>
      <c r="N20" s="29">
        <f>+G20+K20+L20+M20</f>
        <v>11370.710000000001</v>
      </c>
      <c r="O20" s="29">
        <f>+H20+K20+L20+M20</f>
        <v>11792.785000000002</v>
      </c>
      <c r="P20" s="57">
        <f>(O20-N20)/N20</f>
        <v>3.7119493857463666E-2</v>
      </c>
      <c r="Q20" s="1"/>
      <c r="S20" s="7">
        <f>+INPUT!$J$4</f>
        <v>300</v>
      </c>
      <c r="T20" s="20">
        <f>$T$17*E20</f>
        <v>3874.11</v>
      </c>
      <c r="U20" s="20">
        <f>$U$17*$A$20</f>
        <v>2315</v>
      </c>
      <c r="V20" s="20">
        <f>$V$17*$A$20</f>
        <v>1895</v>
      </c>
      <c r="W20" s="20">
        <f>$W$17*$A$20</f>
        <v>1815</v>
      </c>
      <c r="X20" s="25">
        <f>S20+T20+U20+V20+W20</f>
        <v>10199.11</v>
      </c>
      <c r="Y20" s="25"/>
      <c r="Z20" s="20"/>
      <c r="AC20" s="7">
        <f>INPUT!$J$25</f>
        <v>300</v>
      </c>
      <c r="AD20" s="20">
        <f>$AD$17*E20</f>
        <v>4186.1850000000004</v>
      </c>
      <c r="AE20" s="20">
        <f>$A$20*$AE$17</f>
        <v>2520</v>
      </c>
      <c r="AF20" s="20">
        <f>$A$20*$AF$17</f>
        <v>1845</v>
      </c>
      <c r="AG20" s="20">
        <f>$A$20*$AG$17</f>
        <v>1770</v>
      </c>
      <c r="AH20" s="25">
        <f>AC20+AD20+AE20+AF20+AG20</f>
        <v>10621.185000000001</v>
      </c>
      <c r="AI20" s="20"/>
      <c r="AJ20" s="17"/>
      <c r="AK20" s="7">
        <f>AH20-X20</f>
        <v>422.07500000000073</v>
      </c>
      <c r="AM20" s="18">
        <f>AH20/X20-1</f>
        <v>4.1383512875143191E-2</v>
      </c>
    </row>
    <row r="21" spans="1:39" x14ac:dyDescent="0.2">
      <c r="C21" s="13">
        <v>0.5</v>
      </c>
      <c r="E21" s="1">
        <f>C21*($A$20*730)</f>
        <v>182500</v>
      </c>
      <c r="F21" s="1"/>
      <c r="G21" s="29">
        <f t="shared" ref="G21:G38" si="0">+X21</f>
        <v>12781.85</v>
      </c>
      <c r="H21" s="29">
        <f>+AH21</f>
        <v>13411.975</v>
      </c>
      <c r="I21" s="29">
        <f>+H21-G21</f>
        <v>630.125</v>
      </c>
      <c r="J21" s="57">
        <f>ROUND(+I21/G21,4)</f>
        <v>4.9299999999999997E-2</v>
      </c>
      <c r="K21" s="29">
        <f>ROUND($T$10*$E21,2)</f>
        <v>-54.1</v>
      </c>
      <c r="L21" s="29">
        <f>ROUND($T$11*$E21,2)</f>
        <v>344.32</v>
      </c>
      <c r="M21" s="29">
        <f>ROUND($T$12*$E21,2)</f>
        <v>1662.46</v>
      </c>
      <c r="N21" s="29">
        <f>+G21+K21+L21+M21</f>
        <v>14734.529999999999</v>
      </c>
      <c r="O21" s="29">
        <f>+H21+K21+L21+M21</f>
        <v>15364.654999999999</v>
      </c>
      <c r="P21" s="57">
        <f>(O21-N21)/N21</f>
        <v>4.2765191695968589E-2</v>
      </c>
      <c r="Q21" s="1"/>
      <c r="S21" s="7">
        <f>$S$20</f>
        <v>300</v>
      </c>
      <c r="T21" s="20">
        <f>$T$17*E21</f>
        <v>6456.85</v>
      </c>
      <c r="U21" s="20">
        <f>$U$17*$A$20</f>
        <v>2315</v>
      </c>
      <c r="V21" s="20">
        <f>$V$17*$A$20</f>
        <v>1895</v>
      </c>
      <c r="W21" s="20">
        <f>$W$17*$A$20</f>
        <v>1815</v>
      </c>
      <c r="X21" s="25">
        <f>S21+T21+U21+V21+W21</f>
        <v>12781.85</v>
      </c>
      <c r="Y21" s="25"/>
      <c r="Z21" s="20"/>
      <c r="AC21" s="7">
        <f>$AC$20</f>
        <v>300</v>
      </c>
      <c r="AD21" s="20">
        <f>$AD$17*E21</f>
        <v>6976.9750000000004</v>
      </c>
      <c r="AE21" s="20">
        <f>$A$20*$AE$17</f>
        <v>2520</v>
      </c>
      <c r="AF21" s="20">
        <f>$A$20*$AF$17</f>
        <v>1845</v>
      </c>
      <c r="AG21" s="20">
        <f>$A$20*$AG$17</f>
        <v>1770</v>
      </c>
      <c r="AH21" s="25">
        <f>AC21+AD21+AE21+AF21+AG21</f>
        <v>13411.975</v>
      </c>
      <c r="AI21" s="20"/>
      <c r="AJ21" s="17"/>
      <c r="AK21" s="7">
        <f>AH21-X21</f>
        <v>630.125</v>
      </c>
      <c r="AM21" s="18">
        <f>AH21/X21-1</f>
        <v>4.9298419242910896E-2</v>
      </c>
    </row>
    <row r="22" spans="1:39" x14ac:dyDescent="0.2">
      <c r="C22" s="13">
        <v>0.7</v>
      </c>
      <c r="E22" s="1">
        <f>C22*($A$20*730)</f>
        <v>255499.99999999997</v>
      </c>
      <c r="F22" s="1"/>
      <c r="G22" s="29">
        <f t="shared" si="0"/>
        <v>15364.59</v>
      </c>
      <c r="H22" s="29">
        <f>+AH22</f>
        <v>16202.764999999999</v>
      </c>
      <c r="I22" s="29">
        <f>+H22-G22</f>
        <v>838.17499999999927</v>
      </c>
      <c r="J22" s="57">
        <f>ROUND(+I22/G22,4)</f>
        <v>5.4600000000000003E-2</v>
      </c>
      <c r="K22" s="29">
        <f>ROUND($T$10*$E22,2)</f>
        <v>-75.739999999999995</v>
      </c>
      <c r="L22" s="29">
        <f>ROUND($T$11*$E22,2)</f>
        <v>482.05</v>
      </c>
      <c r="M22" s="29">
        <f>ROUND($T$12*$E22,2)</f>
        <v>2327.44</v>
      </c>
      <c r="N22" s="29">
        <f>+G22+K22+L22+M22</f>
        <v>18098.34</v>
      </c>
      <c r="O22" s="29">
        <f>+H22+K22+L22+M22</f>
        <v>18936.514999999999</v>
      </c>
      <c r="P22" s="57">
        <f>(O22-N22)/N22</f>
        <v>4.6312258472323939E-2</v>
      </c>
      <c r="Q22" s="1"/>
      <c r="S22" s="7">
        <f>$S$20</f>
        <v>300</v>
      </c>
      <c r="T22" s="20">
        <f>$T$17*E22</f>
        <v>9039.59</v>
      </c>
      <c r="U22" s="20">
        <f>$U$17*$A$20</f>
        <v>2315</v>
      </c>
      <c r="V22" s="20">
        <f>$V$17*$A$20</f>
        <v>1895</v>
      </c>
      <c r="W22" s="20">
        <f>$W$17*$A$20</f>
        <v>1815</v>
      </c>
      <c r="X22" s="25">
        <f>S22+T22+U22+V22+W22</f>
        <v>15364.59</v>
      </c>
      <c r="Y22" s="25"/>
      <c r="Z22" s="20"/>
      <c r="AC22" s="7">
        <f>$AC$20</f>
        <v>300</v>
      </c>
      <c r="AD22" s="20">
        <f>$AD$17*E22</f>
        <v>9767.7649999999994</v>
      </c>
      <c r="AE22" s="20">
        <f>$A$20*$AE$17</f>
        <v>2520</v>
      </c>
      <c r="AF22" s="20">
        <f>$A$20*$AF$17</f>
        <v>1845</v>
      </c>
      <c r="AG22" s="20">
        <f>$A$20*$AG$17</f>
        <v>1770</v>
      </c>
      <c r="AH22" s="25">
        <f>AC22+AD22+AE22+AF22+AG22</f>
        <v>16202.764999999999</v>
      </c>
      <c r="AI22" s="20"/>
      <c r="AJ22" s="17"/>
      <c r="AK22" s="7">
        <f>AH22-X22</f>
        <v>838.17499999999927</v>
      </c>
      <c r="AM22" s="18">
        <f>AH22/X22-1</f>
        <v>5.4552383109474301E-2</v>
      </c>
    </row>
    <row r="23" spans="1:39" x14ac:dyDescent="0.2">
      <c r="C23" s="13"/>
      <c r="E23" s="1"/>
      <c r="F23" s="1"/>
      <c r="G23" s="29"/>
      <c r="H23" s="29"/>
      <c r="J23" s="5"/>
      <c r="K23" s="1"/>
      <c r="L23" s="1"/>
      <c r="M23" s="1"/>
      <c r="P23" s="57"/>
      <c r="Q23" s="1"/>
      <c r="S23" s="7"/>
      <c r="T23" s="20"/>
      <c r="U23" s="20"/>
      <c r="V23" s="20"/>
      <c r="W23" s="20"/>
      <c r="X23" s="25"/>
      <c r="Y23" s="25"/>
      <c r="AC23" s="7"/>
      <c r="AD23" s="20"/>
      <c r="AE23" s="20"/>
      <c r="AF23" s="20"/>
      <c r="AG23" s="20"/>
      <c r="AH23" s="25"/>
      <c r="AJ23" s="17"/>
      <c r="AK23" s="6"/>
      <c r="AM23" s="6"/>
    </row>
    <row r="24" spans="1:39" x14ac:dyDescent="0.2">
      <c r="A24" s="1">
        <v>5000</v>
      </c>
      <c r="B24" s="1"/>
      <c r="C24" s="13">
        <v>0.3</v>
      </c>
      <c r="E24" s="1">
        <f>C24*($A$24*730)</f>
        <v>1095000</v>
      </c>
      <c r="F24" s="1"/>
      <c r="G24" s="29">
        <f t="shared" si="0"/>
        <v>99291.1</v>
      </c>
      <c r="H24" s="29">
        <f>+AH24</f>
        <v>103511.85</v>
      </c>
      <c r="I24" s="29">
        <f>+H24-G24</f>
        <v>4220.75</v>
      </c>
      <c r="J24" s="57">
        <f>ROUND(+I24/G24,4)</f>
        <v>4.2500000000000003E-2</v>
      </c>
      <c r="K24" s="29">
        <f>ROUND($T$10*$E24,2)</f>
        <v>-324.61</v>
      </c>
      <c r="L24" s="29">
        <f>ROUND($T$11*$E24,2)</f>
        <v>2065.9299999999998</v>
      </c>
      <c r="M24" s="29">
        <f>ROUND($T$12*$E24,2)</f>
        <v>9974.73</v>
      </c>
      <c r="N24" s="29">
        <f>+G24+K24+L24+M24</f>
        <v>111007.15</v>
      </c>
      <c r="O24" s="29">
        <f>+H24+K24+L24+M24</f>
        <v>115227.9</v>
      </c>
      <c r="P24" s="57">
        <f>(O24-N24)/N24</f>
        <v>3.802232558893729E-2</v>
      </c>
      <c r="Q24" s="1"/>
      <c r="S24" s="7">
        <f>$S$20</f>
        <v>300</v>
      </c>
      <c r="T24" s="20">
        <f>$T$17*E24</f>
        <v>38741.1</v>
      </c>
      <c r="U24" s="20">
        <f>$U$17*$A$24</f>
        <v>23150</v>
      </c>
      <c r="V24" s="20">
        <f>$V$17*$A$24</f>
        <v>18950</v>
      </c>
      <c r="W24" s="20">
        <f>$W$17*$A$24</f>
        <v>18150</v>
      </c>
      <c r="X24" s="25">
        <f>S24+T24+U24+V24+W24</f>
        <v>99291.1</v>
      </c>
      <c r="Y24" s="25"/>
      <c r="Z24" s="20"/>
      <c r="AC24" s="7">
        <f>$AC$20</f>
        <v>300</v>
      </c>
      <c r="AD24" s="20">
        <f>$AD$17*E24</f>
        <v>41861.85</v>
      </c>
      <c r="AE24" s="20">
        <f>$A$24*$AE$17</f>
        <v>25200</v>
      </c>
      <c r="AF24" s="20">
        <f>$A$24*$AF$17</f>
        <v>18450</v>
      </c>
      <c r="AG24" s="20">
        <f>$A$24*$AG$17</f>
        <v>17700</v>
      </c>
      <c r="AH24" s="25">
        <f>AC24+AD24+AE24+AF24+AG24</f>
        <v>103511.85</v>
      </c>
      <c r="AI24" s="20"/>
      <c r="AJ24" s="17"/>
      <c r="AK24" s="7">
        <f>AH24-X24</f>
        <v>4220.75</v>
      </c>
      <c r="AL24" s="10"/>
      <c r="AM24" s="18">
        <f>AH24/X24-1</f>
        <v>4.2508845203648615E-2</v>
      </c>
    </row>
    <row r="25" spans="1:39" x14ac:dyDescent="0.2">
      <c r="C25" s="13">
        <v>0.5</v>
      </c>
      <c r="E25" s="1">
        <f>C25*($A$24*730)</f>
        <v>1825000</v>
      </c>
      <c r="F25" s="1"/>
      <c r="G25" s="29">
        <f t="shared" si="0"/>
        <v>125118.5</v>
      </c>
      <c r="H25" s="29">
        <f>+AH25</f>
        <v>131419.75</v>
      </c>
      <c r="I25" s="29">
        <f>+H25-G25</f>
        <v>6301.25</v>
      </c>
      <c r="J25" s="57">
        <f>ROUND(+I25/G25,4)</f>
        <v>5.04E-2</v>
      </c>
      <c r="K25" s="29">
        <f>ROUND($T$10*$E25,2)</f>
        <v>-541.02</v>
      </c>
      <c r="L25" s="29">
        <f>ROUND($T$11*$E25,2)</f>
        <v>3443.22</v>
      </c>
      <c r="M25" s="29">
        <f>ROUND($T$12*$E25,2)</f>
        <v>16624.55</v>
      </c>
      <c r="N25" s="29">
        <f>+G25+K25+L25+M25</f>
        <v>144645.25</v>
      </c>
      <c r="O25" s="29">
        <f>+H25+K25+L25+M25</f>
        <v>150946.49999999997</v>
      </c>
      <c r="P25" s="57">
        <f>(O25-N25)/N25</f>
        <v>4.3563476851123495E-2</v>
      </c>
      <c r="Q25" s="1"/>
      <c r="S25" s="7">
        <f>$S$20</f>
        <v>300</v>
      </c>
      <c r="T25" s="20">
        <f>$T$17*E25</f>
        <v>64568.5</v>
      </c>
      <c r="U25" s="20">
        <f>$U$17*$A$24</f>
        <v>23150</v>
      </c>
      <c r="V25" s="20">
        <f>$V$17*$A$24</f>
        <v>18950</v>
      </c>
      <c r="W25" s="20">
        <f>$W$17*$A$24</f>
        <v>18150</v>
      </c>
      <c r="X25" s="25">
        <f>S25+T25+U25+V25+W25</f>
        <v>125118.5</v>
      </c>
      <c r="Y25" s="25"/>
      <c r="Z25" s="20"/>
      <c r="AC25" s="7">
        <f>$AC$20</f>
        <v>300</v>
      </c>
      <c r="AD25" s="20">
        <f>$AD$17*E25</f>
        <v>69769.75</v>
      </c>
      <c r="AE25" s="20">
        <f>$A$24*$AE$17</f>
        <v>25200</v>
      </c>
      <c r="AF25" s="20">
        <f>$A$24*$AF$17</f>
        <v>18450</v>
      </c>
      <c r="AG25" s="20">
        <f>$A$24*$AG$17</f>
        <v>17700</v>
      </c>
      <c r="AH25" s="25">
        <f>AC25+AD25+AE25+AF25+AG25</f>
        <v>131419.75</v>
      </c>
      <c r="AI25" s="20"/>
      <c r="AJ25" s="17"/>
      <c r="AK25" s="7">
        <f>AH25-X25</f>
        <v>6301.25</v>
      </c>
      <c r="AL25" s="10"/>
      <c r="AM25" s="18">
        <f>AH25/X25-1</f>
        <v>5.0362256580761544E-2</v>
      </c>
    </row>
    <row r="26" spans="1:39" x14ac:dyDescent="0.2">
      <c r="C26" s="13">
        <v>0.7</v>
      </c>
      <c r="E26" s="1">
        <f>C26*($A$24*730)</f>
        <v>2555000</v>
      </c>
      <c r="F26" s="1"/>
      <c r="G26" s="29">
        <f t="shared" si="0"/>
        <v>150945.90000000002</v>
      </c>
      <c r="H26" s="29">
        <f>+AH26</f>
        <v>159327.65</v>
      </c>
      <c r="I26" s="29">
        <f>+H26-G26</f>
        <v>8381.7499999999709</v>
      </c>
      <c r="J26" s="57">
        <f>ROUND(+I26/G26,4)</f>
        <v>5.5500000000000001E-2</v>
      </c>
      <c r="K26" s="29">
        <f>ROUND($T$10*$E26,2)</f>
        <v>-757.43</v>
      </c>
      <c r="L26" s="29">
        <f>ROUND($T$11*$E26,2)</f>
        <v>4820.5</v>
      </c>
      <c r="M26" s="29">
        <f>ROUND($T$12*$E26,2)</f>
        <v>23274.37</v>
      </c>
      <c r="N26" s="29">
        <f>+G26+K26+L26+M26</f>
        <v>178283.34000000003</v>
      </c>
      <c r="O26" s="29">
        <f>+H26+K26+L26+M26</f>
        <v>186665.09</v>
      </c>
      <c r="P26" s="57">
        <f>(O26-N26)/N26</f>
        <v>4.7013646928535047E-2</v>
      </c>
      <c r="Q26" s="1"/>
      <c r="S26" s="7">
        <f>$S$20</f>
        <v>300</v>
      </c>
      <c r="T26" s="20">
        <f>$T$17*E26</f>
        <v>90395.900000000009</v>
      </c>
      <c r="U26" s="20">
        <f>$U$17*$A$24</f>
        <v>23150</v>
      </c>
      <c r="V26" s="20">
        <f>$V$17*$A$24</f>
        <v>18950</v>
      </c>
      <c r="W26" s="20">
        <f>$W$17*$A$24</f>
        <v>18150</v>
      </c>
      <c r="X26" s="25">
        <f>S26+T26+U26+V26+W26</f>
        <v>150945.90000000002</v>
      </c>
      <c r="Y26" s="25"/>
      <c r="Z26" s="20"/>
      <c r="AC26" s="7">
        <f>$AC$20</f>
        <v>300</v>
      </c>
      <c r="AD26" s="20">
        <f>$AD$17*E26</f>
        <v>97677.65</v>
      </c>
      <c r="AE26" s="20">
        <f>$A$24*$AE$17</f>
        <v>25200</v>
      </c>
      <c r="AF26" s="20">
        <f>$A$24*$AF$17</f>
        <v>18450</v>
      </c>
      <c r="AG26" s="20">
        <f>$A$24*$AG$17</f>
        <v>17700</v>
      </c>
      <c r="AH26" s="25">
        <f>AC26+AD26+AE26+AF26+AG26</f>
        <v>159327.65</v>
      </c>
      <c r="AI26" s="20"/>
      <c r="AJ26" s="17"/>
      <c r="AK26" s="7">
        <f>AH26-X26</f>
        <v>8381.7499999999709</v>
      </c>
      <c r="AM26" s="18">
        <f>AH26/X26-1</f>
        <v>5.5528172676435616E-2</v>
      </c>
    </row>
    <row r="27" spans="1:39" x14ac:dyDescent="0.2">
      <c r="C27" s="13"/>
      <c r="E27" s="1"/>
      <c r="F27" s="1"/>
      <c r="G27" s="29"/>
      <c r="H27" s="29"/>
      <c r="J27" s="5"/>
      <c r="K27" s="1"/>
      <c r="L27" s="1"/>
      <c r="M27" s="1"/>
      <c r="P27" s="57"/>
      <c r="Q27" s="1"/>
      <c r="S27" s="7"/>
      <c r="T27" s="20"/>
      <c r="U27" s="20"/>
      <c r="V27" s="20"/>
      <c r="W27" s="20"/>
      <c r="X27" s="25"/>
      <c r="Y27" s="25"/>
      <c r="AC27" s="7"/>
      <c r="AD27" s="20"/>
      <c r="AE27" s="20"/>
      <c r="AF27" s="20"/>
      <c r="AG27" s="20"/>
      <c r="AH27" s="25"/>
      <c r="AJ27" s="17"/>
      <c r="AK27" s="6"/>
      <c r="AM27" s="6"/>
    </row>
    <row r="28" spans="1:39" x14ac:dyDescent="0.2">
      <c r="A28" s="1">
        <v>10000</v>
      </c>
      <c r="B28" s="1"/>
      <c r="C28" s="13">
        <v>0.3</v>
      </c>
      <c r="E28" s="1">
        <f>C28*($A$28*730)</f>
        <v>2190000</v>
      </c>
      <c r="F28" s="1"/>
      <c r="G28" s="29">
        <f t="shared" si="0"/>
        <v>198282.2</v>
      </c>
      <c r="H28" s="29">
        <f>+AH28</f>
        <v>206723.7</v>
      </c>
      <c r="I28" s="29">
        <f>+H28-G28</f>
        <v>8441.5</v>
      </c>
      <c r="J28" s="57">
        <f>ROUND(+I28/G28,4)</f>
        <v>4.2599999999999999E-2</v>
      </c>
      <c r="K28" s="29">
        <f>ROUND($T$10*$E28,2)</f>
        <v>-649.23</v>
      </c>
      <c r="L28" s="29">
        <f>ROUND($T$11*$E28,2)</f>
        <v>4131.8599999999997</v>
      </c>
      <c r="M28" s="29">
        <f>ROUND($T$12*$E28,2)</f>
        <v>19949.46</v>
      </c>
      <c r="N28" s="29">
        <f>+G28+K28+L28+M28</f>
        <v>221714.28999999998</v>
      </c>
      <c r="O28" s="29">
        <f>+H28+K28+L28+M28</f>
        <v>230155.78999999998</v>
      </c>
      <c r="P28" s="57">
        <f>(O28-N28)/N28</f>
        <v>3.8073775037233734E-2</v>
      </c>
      <c r="Q28" s="1"/>
      <c r="S28" s="7">
        <f>$S$20</f>
        <v>300</v>
      </c>
      <c r="T28" s="20">
        <f>$T$17*E28</f>
        <v>77482.2</v>
      </c>
      <c r="U28" s="20">
        <f>$U$17*$A$28</f>
        <v>46300</v>
      </c>
      <c r="V28" s="20">
        <f>$V$17*$A$28</f>
        <v>37900</v>
      </c>
      <c r="W28" s="20">
        <f>$W$17*$A$28</f>
        <v>36300</v>
      </c>
      <c r="X28" s="25">
        <f>S28+T28+U28+V28+W28</f>
        <v>198282.2</v>
      </c>
      <c r="Y28" s="25"/>
      <c r="Z28" s="20"/>
      <c r="AC28" s="7">
        <f>$AC$20</f>
        <v>300</v>
      </c>
      <c r="AD28" s="20">
        <f>$AD$17*E28</f>
        <v>83723.7</v>
      </c>
      <c r="AE28" s="20">
        <f>$A$28*$AE$17</f>
        <v>50400</v>
      </c>
      <c r="AF28" s="20">
        <f>$A$28*$AF$17</f>
        <v>36900</v>
      </c>
      <c r="AG28" s="20">
        <f>$A$28*$AG$17</f>
        <v>35400</v>
      </c>
      <c r="AH28" s="25">
        <f>AC28+AD28+AE28+AF28+AG28</f>
        <v>206723.7</v>
      </c>
      <c r="AI28" s="20"/>
      <c r="AJ28" s="17"/>
      <c r="AK28" s="7">
        <f>AH28-X28</f>
        <v>8441.5</v>
      </c>
      <c r="AM28" s="18">
        <f>AH28/X28-1</f>
        <v>4.2573160878787819E-2</v>
      </c>
    </row>
    <row r="29" spans="1:39" x14ac:dyDescent="0.2">
      <c r="C29" s="13">
        <v>0.5</v>
      </c>
      <c r="E29" s="1">
        <f>C29*($A$28*730)</f>
        <v>3650000</v>
      </c>
      <c r="F29" s="1"/>
      <c r="G29" s="29">
        <f t="shared" si="0"/>
        <v>249937</v>
      </c>
      <c r="H29" s="29">
        <f>+AH29</f>
        <v>262539.5</v>
      </c>
      <c r="I29" s="29">
        <f>+H29-G29</f>
        <v>12602.5</v>
      </c>
      <c r="J29" s="57">
        <f>ROUND(+I29/G29,4)</f>
        <v>5.04E-2</v>
      </c>
      <c r="K29" s="29">
        <f>ROUND($T$10*$E29,2)</f>
        <v>-1082.05</v>
      </c>
      <c r="L29" s="29">
        <f>ROUND($T$11*$E29,2)</f>
        <v>6886.43</v>
      </c>
      <c r="M29" s="29">
        <f>ROUND($T$12*$E29,2)</f>
        <v>33249.11</v>
      </c>
      <c r="N29" s="29">
        <f>+G29+K29+L29+M29</f>
        <v>288990.49</v>
      </c>
      <c r="O29" s="29">
        <f>+H29+K29+L29+M29</f>
        <v>301592.99</v>
      </c>
      <c r="P29" s="57">
        <f>(O29-N29)/N29</f>
        <v>4.3608701448964636E-2</v>
      </c>
      <c r="Q29" s="1"/>
      <c r="S29" s="7">
        <f>$S$20</f>
        <v>300</v>
      </c>
      <c r="T29" s="20">
        <f>$T$17*E29</f>
        <v>129137</v>
      </c>
      <c r="U29" s="20">
        <f>$U$17*$A$28</f>
        <v>46300</v>
      </c>
      <c r="V29" s="20">
        <f>$V$17*$A$28</f>
        <v>37900</v>
      </c>
      <c r="W29" s="20">
        <f>$W$17*$A$28</f>
        <v>36300</v>
      </c>
      <c r="X29" s="25">
        <f>S29+T29+U29+V29+W29</f>
        <v>249937</v>
      </c>
      <c r="Y29" s="25"/>
      <c r="Z29" s="20"/>
      <c r="AC29" s="7">
        <f>$AC$20</f>
        <v>300</v>
      </c>
      <c r="AD29" s="20">
        <f>$AD$17*E29</f>
        <v>139539.5</v>
      </c>
      <c r="AE29" s="20">
        <f>$A$28*$AE$17</f>
        <v>50400</v>
      </c>
      <c r="AF29" s="20">
        <f>$A$28*$AF$17</f>
        <v>36900</v>
      </c>
      <c r="AG29" s="20">
        <f>$A$28*$AG$17</f>
        <v>35400</v>
      </c>
      <c r="AH29" s="25">
        <f>AC29+AD29+AE29+AF29+AG29</f>
        <v>262539.5</v>
      </c>
      <c r="AI29" s="20"/>
      <c r="AJ29" s="17"/>
      <c r="AK29" s="7">
        <f>AH29-X29</f>
        <v>12602.5</v>
      </c>
      <c r="AM29" s="18">
        <f>AH29/X29-1</f>
        <v>5.0422706522043503E-2</v>
      </c>
    </row>
    <row r="30" spans="1:39" x14ac:dyDescent="0.2">
      <c r="C30" s="13">
        <v>0.7</v>
      </c>
      <c r="E30" s="1">
        <f>C30*($A$28*730)</f>
        <v>5110000</v>
      </c>
      <c r="F30" s="1"/>
      <c r="G30" s="29">
        <f t="shared" si="0"/>
        <v>301591.80000000005</v>
      </c>
      <c r="H30" s="29">
        <f>+AH30</f>
        <v>318355.3</v>
      </c>
      <c r="I30" s="29">
        <f>+H30-G30</f>
        <v>16763.499999999942</v>
      </c>
      <c r="J30" s="57">
        <f>ROUND(+I30/G30,4)</f>
        <v>5.5599999999999997E-2</v>
      </c>
      <c r="K30" s="29">
        <f>ROUND($T$10*$E30,2)</f>
        <v>-1514.87</v>
      </c>
      <c r="L30" s="29">
        <f>ROUND($T$11*$E30,2)</f>
        <v>9641.01</v>
      </c>
      <c r="M30" s="29">
        <f>ROUND($T$12*$E30,2)</f>
        <v>46548.75</v>
      </c>
      <c r="N30" s="29">
        <f>+G30+K30+L30+M30</f>
        <v>356266.69000000006</v>
      </c>
      <c r="O30" s="29">
        <f>+H30+K30+L30+M30</f>
        <v>373030.19</v>
      </c>
      <c r="P30" s="57">
        <f>(O30-N30)/N30</f>
        <v>4.7053234193743847E-2</v>
      </c>
      <c r="Q30" s="1"/>
      <c r="S30" s="7">
        <f>$S$20</f>
        <v>300</v>
      </c>
      <c r="T30" s="20">
        <f>$T$17*E30</f>
        <v>180791.80000000002</v>
      </c>
      <c r="U30" s="20">
        <f>$U$17*$A$28</f>
        <v>46300</v>
      </c>
      <c r="V30" s="20">
        <f>$V$17*$A$28</f>
        <v>37900</v>
      </c>
      <c r="W30" s="20">
        <f>$W$17*$A$28</f>
        <v>36300</v>
      </c>
      <c r="X30" s="25">
        <f>S30+T30+U30+V30+W30</f>
        <v>301591.80000000005</v>
      </c>
      <c r="Y30" s="25"/>
      <c r="Z30" s="20"/>
      <c r="AC30" s="7">
        <f>$AC$20</f>
        <v>300</v>
      </c>
      <c r="AD30" s="20">
        <f>$AD$17*E30</f>
        <v>195355.3</v>
      </c>
      <c r="AE30" s="20">
        <f>$A$28*$AE$17</f>
        <v>50400</v>
      </c>
      <c r="AF30" s="20">
        <f>$A$28*$AF$17</f>
        <v>36900</v>
      </c>
      <c r="AG30" s="20">
        <f>$A$28*$AG$17</f>
        <v>35400</v>
      </c>
      <c r="AH30" s="25">
        <f>AC30+AD30+AE30+AF30+AG30</f>
        <v>318355.3</v>
      </c>
      <c r="AI30" s="20"/>
      <c r="AJ30" s="17"/>
      <c r="AK30" s="7">
        <f>AH30-X30</f>
        <v>16763.499999999942</v>
      </c>
      <c r="AM30" s="18">
        <f>AH30/X30-1</f>
        <v>5.5583407771696569E-2</v>
      </c>
    </row>
    <row r="31" spans="1:39" x14ac:dyDescent="0.2">
      <c r="C31" s="13"/>
      <c r="E31" s="1"/>
      <c r="F31" s="1"/>
      <c r="G31" s="29"/>
      <c r="H31" s="29"/>
      <c r="J31" s="5"/>
      <c r="K31" s="1"/>
      <c r="L31" s="1"/>
      <c r="M31" s="1"/>
      <c r="P31" s="57"/>
      <c r="Q31" s="1"/>
      <c r="S31" s="7"/>
      <c r="T31" s="20"/>
      <c r="U31" s="20"/>
      <c r="V31" s="20"/>
      <c r="W31" s="20"/>
      <c r="X31" s="25"/>
      <c r="Y31" s="25"/>
      <c r="AC31" s="7"/>
      <c r="AD31" s="20"/>
      <c r="AE31" s="20"/>
      <c r="AF31" s="20"/>
      <c r="AG31" s="20"/>
      <c r="AH31" s="25"/>
      <c r="AJ31" s="17"/>
      <c r="AK31" s="6"/>
      <c r="AM31" s="6"/>
    </row>
    <row r="32" spans="1:39" x14ac:dyDescent="0.2">
      <c r="A32" s="1">
        <v>25000</v>
      </c>
      <c r="B32" s="1"/>
      <c r="C32" s="13">
        <v>0.3</v>
      </c>
      <c r="E32" s="1">
        <f>C32*($A$32*730)</f>
        <v>5475000</v>
      </c>
      <c r="F32" s="1"/>
      <c r="G32" s="29">
        <f t="shared" si="0"/>
        <v>495255.5</v>
      </c>
      <c r="H32" s="29">
        <f>+AH32</f>
        <v>516359.25</v>
      </c>
      <c r="I32" s="29">
        <f>+H32-G32</f>
        <v>21103.75</v>
      </c>
      <c r="J32" s="57">
        <f>ROUND(+I32/G32,4)</f>
        <v>4.2599999999999999E-2</v>
      </c>
      <c r="K32" s="29">
        <f>ROUND($T$10*$E32,2)</f>
        <v>-1623.07</v>
      </c>
      <c r="L32" s="29">
        <f>ROUND($T$11*$E32,2)</f>
        <v>10329.65</v>
      </c>
      <c r="M32" s="29">
        <f>ROUND($T$12*$E32,2)</f>
        <v>49873.66</v>
      </c>
      <c r="N32" s="29">
        <f>+G32+K32+L32+M32</f>
        <v>553835.74</v>
      </c>
      <c r="O32" s="29">
        <f>+H32+K32+L32+M32</f>
        <v>574939.49</v>
      </c>
      <c r="P32" s="57">
        <f>(O32-N32)/N32</f>
        <v>3.8104709529941133E-2</v>
      </c>
      <c r="Q32" s="1"/>
      <c r="S32" s="7">
        <f>$S$20</f>
        <v>300</v>
      </c>
      <c r="T32" s="20">
        <f>$T$17*E32</f>
        <v>193705.5</v>
      </c>
      <c r="U32" s="20">
        <f>$U$17*$A$32</f>
        <v>115750</v>
      </c>
      <c r="V32" s="20">
        <f>$V$17*$A$32</f>
        <v>94750</v>
      </c>
      <c r="W32" s="20">
        <f>$W$17*$A$32</f>
        <v>90750</v>
      </c>
      <c r="X32" s="25">
        <f>S32+T32+U32+V32+W32</f>
        <v>495255.5</v>
      </c>
      <c r="Y32" s="25"/>
      <c r="Z32" s="20"/>
      <c r="AC32" s="7">
        <f>$AC$20</f>
        <v>300</v>
      </c>
      <c r="AD32" s="20">
        <f>$AD$17*E32</f>
        <v>209309.25</v>
      </c>
      <c r="AE32" s="20">
        <f>$A$32*$AE$17</f>
        <v>126000</v>
      </c>
      <c r="AF32" s="20">
        <f>$A$32*$AF$17</f>
        <v>92250</v>
      </c>
      <c r="AG32" s="20">
        <f>$A$32*$AG$17</f>
        <v>88500</v>
      </c>
      <c r="AH32" s="25">
        <f>AC32+AD32+AE32+AF32+AG32</f>
        <v>516359.25</v>
      </c>
      <c r="AI32" s="20"/>
      <c r="AJ32" s="17"/>
      <c r="AK32" s="7">
        <f>AH32-X32</f>
        <v>21103.75</v>
      </c>
      <c r="AM32" s="18">
        <f>AH32/X32-1</f>
        <v>4.2611843785682391E-2</v>
      </c>
    </row>
    <row r="33" spans="1:39" x14ac:dyDescent="0.2">
      <c r="C33" s="13">
        <v>0.5</v>
      </c>
      <c r="E33" s="1">
        <f>C33*($A$32*730)</f>
        <v>9125000</v>
      </c>
      <c r="F33" s="1"/>
      <c r="G33" s="29">
        <f t="shared" si="0"/>
        <v>624392.5</v>
      </c>
      <c r="H33" s="29">
        <f>+AH33</f>
        <v>655898.75</v>
      </c>
      <c r="I33" s="29">
        <f>+H33-G33</f>
        <v>31506.25</v>
      </c>
      <c r="J33" s="57">
        <f>ROUND(+I33/G33,4)</f>
        <v>5.0500000000000003E-2</v>
      </c>
      <c r="K33" s="29">
        <f>ROUND($T$10*$E33,2)</f>
        <v>-2705.12</v>
      </c>
      <c r="L33" s="29">
        <f>ROUND($T$11*$E33,2)</f>
        <v>17216.09</v>
      </c>
      <c r="M33" s="29">
        <f>ROUND($T$12*$E33,2)</f>
        <v>83122.77</v>
      </c>
      <c r="N33" s="29">
        <f>+G33+K33+L33+M33</f>
        <v>722026.24</v>
      </c>
      <c r="O33" s="29">
        <f>+H33+K33+L33+M33</f>
        <v>753532.49</v>
      </c>
      <c r="P33" s="57">
        <f>(O33-N33)/N33</f>
        <v>4.3635879493797901E-2</v>
      </c>
      <c r="Q33" s="1"/>
      <c r="S33" s="7">
        <f>$S$20</f>
        <v>300</v>
      </c>
      <c r="T33" s="20">
        <f>$T$17*E33</f>
        <v>322842.5</v>
      </c>
      <c r="U33" s="20">
        <f>$U$17*$A$32</f>
        <v>115750</v>
      </c>
      <c r="V33" s="20">
        <f>$V$17*$A$32</f>
        <v>94750</v>
      </c>
      <c r="W33" s="20">
        <f>$W$17*$A$32</f>
        <v>90750</v>
      </c>
      <c r="X33" s="25">
        <f>S33+T33+U33+V33+W33</f>
        <v>624392.5</v>
      </c>
      <c r="Y33" s="25"/>
      <c r="Z33" s="20"/>
      <c r="AC33" s="7">
        <f>$AC$20</f>
        <v>300</v>
      </c>
      <c r="AD33" s="20">
        <f>$AD$17*E33</f>
        <v>348848.75</v>
      </c>
      <c r="AE33" s="20">
        <f>$A$32*$AE$17</f>
        <v>126000</v>
      </c>
      <c r="AF33" s="20">
        <f>$A$32*$AF$17</f>
        <v>92250</v>
      </c>
      <c r="AG33" s="20">
        <f>$A$32*$AG$17</f>
        <v>88500</v>
      </c>
      <c r="AH33" s="25">
        <f>AC33+AD33+AE33+AF33+AG33</f>
        <v>655898.75</v>
      </c>
      <c r="AI33" s="20"/>
      <c r="AJ33" s="17"/>
      <c r="AK33" s="7">
        <f>AH33-X33</f>
        <v>31506.25</v>
      </c>
      <c r="AM33" s="18">
        <f>AH33/X33-1</f>
        <v>5.0459046192899537E-2</v>
      </c>
    </row>
    <row r="34" spans="1:39" x14ac:dyDescent="0.2">
      <c r="C34" s="13">
        <v>0.7</v>
      </c>
      <c r="E34" s="1">
        <f>C34*($A$32*730)</f>
        <v>12775000</v>
      </c>
      <c r="F34" s="1"/>
      <c r="G34" s="29">
        <f t="shared" si="0"/>
        <v>753529.5</v>
      </c>
      <c r="H34" s="29">
        <f>+AH34</f>
        <v>795438.25</v>
      </c>
      <c r="I34" s="29">
        <f>+H34-G34</f>
        <v>41908.75</v>
      </c>
      <c r="J34" s="57">
        <f>ROUND(+I34/G34,4)</f>
        <v>5.5599999999999997E-2</v>
      </c>
      <c r="K34" s="29">
        <f>ROUND($T$10*$E34,2)</f>
        <v>-3787.16</v>
      </c>
      <c r="L34" s="29">
        <f>ROUND($T$11*$E34,2)</f>
        <v>24102.52</v>
      </c>
      <c r="M34" s="29">
        <f>ROUND($T$12*$E34,2)</f>
        <v>116371.87</v>
      </c>
      <c r="N34" s="29">
        <f>+G34+K34+L34+M34</f>
        <v>890216.73</v>
      </c>
      <c r="O34" s="29">
        <f>+H34+K34+L34+M34</f>
        <v>932125.48</v>
      </c>
      <c r="P34" s="57">
        <f>(O34-N34)/N34</f>
        <v>4.7077019098484031E-2</v>
      </c>
      <c r="Q34" s="1"/>
      <c r="S34" s="7">
        <f>$S$20</f>
        <v>300</v>
      </c>
      <c r="T34" s="20">
        <f>$T$17*E34</f>
        <v>451979.5</v>
      </c>
      <c r="U34" s="20">
        <f>$U$17*$A$32</f>
        <v>115750</v>
      </c>
      <c r="V34" s="20">
        <f>$V$17*$A$32</f>
        <v>94750</v>
      </c>
      <c r="W34" s="20">
        <f>$W$17*$A$32</f>
        <v>90750</v>
      </c>
      <c r="X34" s="25">
        <f>S34+T34+U34+V34+W34</f>
        <v>753529.5</v>
      </c>
      <c r="Y34" s="25"/>
      <c r="Z34" s="20"/>
      <c r="AC34" s="7">
        <f>$AC$20</f>
        <v>300</v>
      </c>
      <c r="AD34" s="20">
        <f>$AD$17*E34</f>
        <v>488388.25</v>
      </c>
      <c r="AE34" s="20">
        <f>$A$32*$AE$17</f>
        <v>126000</v>
      </c>
      <c r="AF34" s="20">
        <f>$A$32*$AF$17</f>
        <v>92250</v>
      </c>
      <c r="AG34" s="20">
        <f>$A$32*$AG$17</f>
        <v>88500</v>
      </c>
      <c r="AH34" s="25">
        <f>AC34+AD34+AE34+AF34+AG34</f>
        <v>795438.25</v>
      </c>
      <c r="AI34" s="20"/>
      <c r="AJ34" s="17"/>
      <c r="AK34" s="7">
        <f>AH34-X34</f>
        <v>41908.75</v>
      </c>
      <c r="AM34" s="18">
        <f>AH34/X34-1</f>
        <v>5.5616601606174765E-2</v>
      </c>
    </row>
    <row r="35" spans="1:39" x14ac:dyDescent="0.2">
      <c r="C35" s="13"/>
      <c r="E35" s="1"/>
      <c r="F35" s="1"/>
      <c r="G35" s="29"/>
      <c r="H35" s="29"/>
      <c r="J35" s="5"/>
      <c r="K35" s="1"/>
      <c r="L35" s="1"/>
      <c r="M35" s="1"/>
      <c r="P35" s="57"/>
      <c r="Q35" s="1"/>
      <c r="S35" s="7"/>
      <c r="T35" s="20"/>
      <c r="U35" s="20"/>
      <c r="V35" s="20"/>
      <c r="W35" s="20"/>
      <c r="X35" s="25"/>
      <c r="Y35" s="25"/>
      <c r="AC35" s="7"/>
      <c r="AD35" s="20"/>
      <c r="AE35" s="20"/>
      <c r="AF35" s="20"/>
      <c r="AG35" s="20"/>
      <c r="AH35" s="25"/>
      <c r="AJ35" s="17"/>
      <c r="AK35" s="6"/>
      <c r="AM35" s="6"/>
    </row>
    <row r="36" spans="1:39" x14ac:dyDescent="0.2">
      <c r="A36" s="1">
        <v>50000</v>
      </c>
      <c r="B36" s="1"/>
      <c r="C36" s="13">
        <v>0.3</v>
      </c>
      <c r="E36" s="1">
        <f>C36*($A$36*730)</f>
        <v>10950000</v>
      </c>
      <c r="F36" s="1"/>
      <c r="G36" s="29">
        <f t="shared" si="0"/>
        <v>990211</v>
      </c>
      <c r="H36" s="29">
        <f>+AH36</f>
        <v>1032418.5</v>
      </c>
      <c r="I36" s="29">
        <f>+H36-G36</f>
        <v>42207.5</v>
      </c>
      <c r="J36" s="57">
        <f>ROUND(+I36/G36,4)</f>
        <v>4.2599999999999999E-2</v>
      </c>
      <c r="K36" s="29">
        <f>ROUND($T$10*$E36,2)</f>
        <v>-3246.14</v>
      </c>
      <c r="L36" s="29">
        <f>ROUND($T$11*$E36,2)</f>
        <v>20659.3</v>
      </c>
      <c r="M36" s="29">
        <f>ROUND($T$12*$E36,2)</f>
        <v>99747.32</v>
      </c>
      <c r="N36" s="29">
        <f>+G36+K36+L36+M36</f>
        <v>1107371.48</v>
      </c>
      <c r="O36" s="29">
        <f>+H36+K36+L36+M36</f>
        <v>1149578.98</v>
      </c>
      <c r="P36" s="57">
        <f>(O36-N36)/N36</f>
        <v>3.8115032545356864E-2</v>
      </c>
      <c r="Q36" s="1"/>
      <c r="S36" s="7">
        <f>$S$20</f>
        <v>300</v>
      </c>
      <c r="T36" s="20">
        <f>$T$17*E36</f>
        <v>387411</v>
      </c>
      <c r="U36" s="20">
        <f>$U$17*$A$36</f>
        <v>231500</v>
      </c>
      <c r="V36" s="20">
        <f>$V$17*$A$36</f>
        <v>189500</v>
      </c>
      <c r="W36" s="20">
        <f>$W$17*$A$36</f>
        <v>181500</v>
      </c>
      <c r="X36" s="25">
        <f>S36+T36+U36+V36+W36</f>
        <v>990211</v>
      </c>
      <c r="Y36" s="25"/>
      <c r="Z36" s="20"/>
      <c r="AC36" s="7">
        <f>$AC$20</f>
        <v>300</v>
      </c>
      <c r="AD36" s="20">
        <f>$AD$17*E36</f>
        <v>418618.5</v>
      </c>
      <c r="AE36" s="20">
        <f>$A$36*$AE$17</f>
        <v>252000</v>
      </c>
      <c r="AF36" s="20">
        <f>$A$36*$AF$17</f>
        <v>184500</v>
      </c>
      <c r="AG36" s="20">
        <f>$A$36*$AG$17</f>
        <v>177000</v>
      </c>
      <c r="AH36" s="25">
        <f>AC36+AD36+AE36+AF36+AG36</f>
        <v>1032418.5</v>
      </c>
      <c r="AI36" s="20"/>
      <c r="AJ36" s="17"/>
      <c r="AK36" s="7">
        <f>AH36-X36</f>
        <v>42207.5</v>
      </c>
      <c r="AM36" s="18">
        <f>AH36/X36-1</f>
        <v>4.2624753714107344E-2</v>
      </c>
    </row>
    <row r="37" spans="1:39" x14ac:dyDescent="0.2">
      <c r="C37" s="13">
        <v>0.5</v>
      </c>
      <c r="E37" s="1">
        <f>C37*($A$36*730)</f>
        <v>18250000</v>
      </c>
      <c r="F37" s="1"/>
      <c r="G37" s="29">
        <f t="shared" si="0"/>
        <v>1248485</v>
      </c>
      <c r="H37" s="29">
        <f>+AH37</f>
        <v>1311497.5</v>
      </c>
      <c r="I37" s="29">
        <f>+H37-G37</f>
        <v>63012.5</v>
      </c>
      <c r="J37" s="57">
        <f>ROUND(+I37/G37,4)</f>
        <v>5.0500000000000003E-2</v>
      </c>
      <c r="K37" s="29">
        <f>ROUND($T$10*$E37,2)</f>
        <v>-5410.23</v>
      </c>
      <c r="L37" s="29">
        <f>ROUND($T$11*$E37,2)</f>
        <v>34432.17</v>
      </c>
      <c r="M37" s="29">
        <f>ROUND($T$12*$E37,2)</f>
        <v>166245.53</v>
      </c>
      <c r="N37" s="29">
        <f>+G37+K37+L37+M37</f>
        <v>1443752.47</v>
      </c>
      <c r="O37" s="29">
        <f>+H37+K37+L37+M37</f>
        <v>1506764.97</v>
      </c>
      <c r="P37" s="57">
        <f>(O37-N37)/N37</f>
        <v>4.3644946976263872E-2</v>
      </c>
      <c r="Q37" s="1"/>
      <c r="S37" s="7">
        <f>$S$20</f>
        <v>300</v>
      </c>
      <c r="T37" s="20">
        <f>$T$17*E37</f>
        <v>645685</v>
      </c>
      <c r="U37" s="20">
        <f>$U$17*$A$36</f>
        <v>231500</v>
      </c>
      <c r="V37" s="20">
        <f>$V$17*$A$36</f>
        <v>189500</v>
      </c>
      <c r="W37" s="20">
        <f>$W$17*$A$36</f>
        <v>181500</v>
      </c>
      <c r="X37" s="25">
        <f>S37+T37+U37+V37+W37</f>
        <v>1248485</v>
      </c>
      <c r="Y37" s="25"/>
      <c r="Z37" s="20"/>
      <c r="AC37" s="7">
        <f>$AC$20</f>
        <v>300</v>
      </c>
      <c r="AD37" s="20">
        <f>$AD$17*E37</f>
        <v>697697.5</v>
      </c>
      <c r="AE37" s="20">
        <f>$A$36*$AE$17</f>
        <v>252000</v>
      </c>
      <c r="AF37" s="20">
        <f>$A$36*$AF$17</f>
        <v>184500</v>
      </c>
      <c r="AG37" s="20">
        <f>$A$36*$AG$17</f>
        <v>177000</v>
      </c>
      <c r="AH37" s="25">
        <f>AC37+AD37+AE37+AF37+AG37</f>
        <v>1311497.5</v>
      </c>
      <c r="AI37" s="20"/>
      <c r="AJ37" s="17"/>
      <c r="AK37" s="7">
        <f>AH37-X37</f>
        <v>63012.5</v>
      </c>
      <c r="AM37" s="18">
        <f>AH37/X37-1</f>
        <v>5.0471171059323972E-2</v>
      </c>
    </row>
    <row r="38" spans="1:39" x14ac:dyDescent="0.2">
      <c r="C38" s="13">
        <v>0.7</v>
      </c>
      <c r="E38" s="1">
        <f>C38*($A$36*730)</f>
        <v>25550000</v>
      </c>
      <c r="F38" s="1"/>
      <c r="G38" s="29">
        <f t="shared" si="0"/>
        <v>1506759</v>
      </c>
      <c r="H38" s="29">
        <f>+AH38</f>
        <v>1590576.5</v>
      </c>
      <c r="I38" s="29">
        <f>+H38-G38</f>
        <v>83817.5</v>
      </c>
      <c r="J38" s="57">
        <f>ROUND(+I38/G38,4)</f>
        <v>5.5599999999999997E-2</v>
      </c>
      <c r="K38" s="29">
        <f>ROUND($T$10*$E38,2)</f>
        <v>-7574.33</v>
      </c>
      <c r="L38" s="29">
        <f>ROUND($T$11*$E38,2)</f>
        <v>48205.04</v>
      </c>
      <c r="M38" s="29">
        <f>ROUND($T$12*$E38,2)</f>
        <v>232743.75</v>
      </c>
      <c r="N38" s="29">
        <f>+G38+K38+L38+M38</f>
        <v>1780133.46</v>
      </c>
      <c r="O38" s="29">
        <f>+H38+K38+L38+M38</f>
        <v>1863950.96</v>
      </c>
      <c r="P38" s="57">
        <f>(O38-N38)/N38</f>
        <v>4.7084952832693795E-2</v>
      </c>
      <c r="Q38" s="1"/>
      <c r="S38" s="7">
        <f>$S$20</f>
        <v>300</v>
      </c>
      <c r="T38" s="20">
        <f>$T$17*E38</f>
        <v>903959</v>
      </c>
      <c r="U38" s="20">
        <f>$U$17*$A$36</f>
        <v>231500</v>
      </c>
      <c r="V38" s="20">
        <f>$V$17*$A$36</f>
        <v>189500</v>
      </c>
      <c r="W38" s="20">
        <f>$W$17*$A$36</f>
        <v>181500</v>
      </c>
      <c r="X38" s="25">
        <f>S38+T38+U38+V38+W38</f>
        <v>1506759</v>
      </c>
      <c r="Y38" s="25"/>
      <c r="Z38" s="20"/>
      <c r="AC38" s="7">
        <f>$AC$20</f>
        <v>300</v>
      </c>
      <c r="AD38" s="20">
        <f>$AD$17*E38</f>
        <v>976776.5</v>
      </c>
      <c r="AE38" s="20">
        <f>$A$36*$AE$17</f>
        <v>252000</v>
      </c>
      <c r="AF38" s="20">
        <f>$A$36*$AF$17</f>
        <v>184500</v>
      </c>
      <c r="AG38" s="20">
        <f>$A$36*$AG$17</f>
        <v>177000</v>
      </c>
      <c r="AH38" s="25">
        <f>AC38+AD38+AE38+AF38+AG38</f>
        <v>1590576.5</v>
      </c>
      <c r="AI38" s="20"/>
      <c r="AJ38" s="17"/>
      <c r="AK38" s="7">
        <f>AH38-X38</f>
        <v>83817.5</v>
      </c>
      <c r="AM38" s="18">
        <f>AH38/X38-1</f>
        <v>5.5627675029649826E-2</v>
      </c>
    </row>
    <row r="39" spans="1:39" x14ac:dyDescent="0.2">
      <c r="T39" s="20"/>
      <c r="U39" s="20"/>
      <c r="V39" s="20"/>
      <c r="W39" s="20"/>
      <c r="X39" s="20"/>
      <c r="Y39" s="20"/>
    </row>
    <row r="40" spans="1:39" x14ac:dyDescent="0.2">
      <c r="A40" s="17" t="s">
        <v>373</v>
      </c>
      <c r="T40" s="20"/>
      <c r="U40" s="20"/>
      <c r="V40" s="20"/>
      <c r="W40" s="20"/>
      <c r="X40" s="20"/>
      <c r="Y40" s="20"/>
    </row>
    <row r="41" spans="1:39" x14ac:dyDescent="0.2">
      <c r="A41" s="228" t="str">
        <f>("Average usage = "&amp;TEXT(INPUT!J19*1,"000,000")&amp;" kWh per month")</f>
        <v>Average usage = 1,983,900 kWh per month</v>
      </c>
      <c r="T41" s="20"/>
      <c r="U41" s="20"/>
      <c r="V41" s="20"/>
      <c r="W41" s="20"/>
      <c r="X41" s="20"/>
      <c r="Y41" s="20"/>
    </row>
    <row r="42" spans="1:39" x14ac:dyDescent="0.2">
      <c r="A42" s="230" t="s">
        <v>375</v>
      </c>
      <c r="C42" s="1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AE42" s="31"/>
      <c r="AF42" s="20"/>
      <c r="AG42" s="20"/>
      <c r="AH42" s="20"/>
      <c r="AI42" s="20"/>
      <c r="AJ42" s="20"/>
      <c r="AK42" s="6"/>
    </row>
    <row r="43" spans="1:39" x14ac:dyDescent="0.2">
      <c r="A43" s="231" t="s">
        <v>99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T43" s="12"/>
      <c r="AE43" s="9"/>
    </row>
    <row r="44" spans="1:39" x14ac:dyDescent="0.2">
      <c r="A44" s="231" t="str">
        <f>+'Rate Case Constants'!C26</f>
        <v>Calculations may vary from other schedules due to rounding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A44" s="3"/>
      <c r="AB44" s="2"/>
      <c r="AC44" s="3"/>
      <c r="AE44" s="3"/>
    </row>
    <row r="45" spans="1:39" x14ac:dyDescent="0.2">
      <c r="A45" s="61"/>
      <c r="AE45" s="9"/>
    </row>
    <row r="46" spans="1:39" x14ac:dyDescent="0.2">
      <c r="S46" s="3"/>
      <c r="W46" s="3"/>
      <c r="AA46" s="3"/>
      <c r="AE46" s="9"/>
    </row>
    <row r="47" spans="1:39" x14ac:dyDescent="0.2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A47" s="3"/>
      <c r="AB47" s="2"/>
      <c r="AC47" s="3"/>
      <c r="AE47" s="3"/>
    </row>
    <row r="48" spans="1:39" x14ac:dyDescent="0.2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A48" s="3"/>
      <c r="AB48" s="2"/>
      <c r="AC48" s="3"/>
      <c r="AE48" s="3"/>
    </row>
    <row r="49" spans="5:31" x14ac:dyDescent="0.2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T49" s="3"/>
      <c r="U49" s="3"/>
      <c r="V49" s="3"/>
      <c r="W49" s="3"/>
      <c r="X49" s="3"/>
      <c r="Y49" s="3"/>
    </row>
    <row r="50" spans="5:31" x14ac:dyDescent="0.2"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S50" s="7"/>
      <c r="T50" s="12"/>
      <c r="W50" s="12"/>
      <c r="X50" s="12"/>
      <c r="Y50" s="12"/>
      <c r="AA50" s="6"/>
      <c r="AC50" s="6"/>
      <c r="AE50" s="9"/>
    </row>
    <row r="51" spans="5:31" x14ac:dyDescent="0.2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S51" s="7"/>
      <c r="T51" s="12"/>
      <c r="W51" s="12"/>
      <c r="X51" s="12"/>
      <c r="Y51" s="12"/>
      <c r="AA51" s="6"/>
      <c r="AC51" s="6"/>
      <c r="AE51" s="9"/>
    </row>
    <row r="52" spans="5:31" x14ac:dyDescent="0.2"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S52" s="7"/>
      <c r="T52" s="12"/>
      <c r="W52" s="12"/>
      <c r="X52" s="12"/>
      <c r="Y52" s="12"/>
      <c r="AA52" s="6"/>
      <c r="AC52" s="6"/>
      <c r="AE52" s="9"/>
    </row>
    <row r="53" spans="5:31" x14ac:dyDescent="0.2"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S53" s="7"/>
      <c r="T53" s="12"/>
      <c r="W53" s="12"/>
      <c r="X53" s="12"/>
      <c r="Y53" s="12"/>
      <c r="AA53" s="6"/>
      <c r="AB53" s="10"/>
      <c r="AC53" s="6"/>
      <c r="AD53" s="10"/>
      <c r="AE53" s="9"/>
    </row>
    <row r="54" spans="5:31" ht="6.75" customHeight="1" x14ac:dyDescent="0.2"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S54" s="7"/>
      <c r="T54" s="12"/>
      <c r="W54" s="12"/>
      <c r="X54" s="12"/>
      <c r="Y54" s="12"/>
      <c r="AA54" s="6"/>
      <c r="AB54" s="10"/>
      <c r="AC54" s="6"/>
      <c r="AD54" s="10"/>
      <c r="AE54" s="9"/>
    </row>
    <row r="55" spans="5:31" x14ac:dyDescent="0.2"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S55" s="7"/>
      <c r="T55" s="12"/>
      <c r="W55" s="12"/>
      <c r="X55" s="12"/>
      <c r="Y55" s="12"/>
      <c r="AA55" s="6"/>
      <c r="AC55" s="6"/>
      <c r="AE55" s="9"/>
    </row>
    <row r="56" spans="5:31" x14ac:dyDescent="0.2"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S56" s="7"/>
      <c r="T56" s="12"/>
      <c r="W56" s="12"/>
      <c r="X56" s="12"/>
      <c r="Y56" s="12"/>
      <c r="AA56" s="6"/>
      <c r="AC56" s="6"/>
      <c r="AE56" s="9"/>
    </row>
    <row r="57" spans="5:31" x14ac:dyDescent="0.2"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S57" s="7"/>
      <c r="T57" s="12"/>
      <c r="W57" s="12"/>
      <c r="X57" s="12"/>
      <c r="Y57" s="12"/>
      <c r="AA57" s="6"/>
      <c r="AC57" s="6"/>
      <c r="AE57" s="9"/>
    </row>
    <row r="58" spans="5:31" x14ac:dyDescent="0.2"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S58" s="7"/>
      <c r="T58" s="12"/>
      <c r="W58" s="12"/>
      <c r="X58" s="12"/>
      <c r="Y58" s="12"/>
      <c r="AA58" s="6"/>
      <c r="AC58" s="6"/>
      <c r="AE58" s="9"/>
    </row>
    <row r="59" spans="5:31" x14ac:dyDescent="0.2"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S59" s="7"/>
      <c r="T59" s="12"/>
      <c r="W59" s="12"/>
      <c r="X59" s="12"/>
      <c r="Y59" s="12"/>
      <c r="AA59" s="6"/>
      <c r="AC59" s="6"/>
      <c r="AE59" s="9"/>
    </row>
    <row r="60" spans="5:31" ht="6.75" customHeight="1" x14ac:dyDescent="0.2"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S60" s="7"/>
      <c r="T60" s="12"/>
      <c r="W60" s="12"/>
      <c r="X60" s="12"/>
      <c r="Y60" s="12"/>
      <c r="AA60" s="6"/>
      <c r="AC60" s="6"/>
      <c r="AE60" s="9"/>
    </row>
    <row r="61" spans="5:31" x14ac:dyDescent="0.2"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S61" s="7"/>
      <c r="T61" s="12"/>
      <c r="W61" s="12"/>
      <c r="X61" s="12"/>
      <c r="Y61" s="12"/>
      <c r="AA61" s="6"/>
      <c r="AC61" s="6"/>
      <c r="AE61" s="9"/>
    </row>
    <row r="62" spans="5:31" x14ac:dyDescent="0.2"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S62" s="7"/>
      <c r="T62" s="12"/>
      <c r="W62" s="12"/>
      <c r="X62" s="12"/>
      <c r="Y62" s="12"/>
      <c r="AA62" s="6"/>
      <c r="AC62" s="6"/>
      <c r="AE62" s="9"/>
    </row>
    <row r="63" spans="5:31" x14ac:dyDescent="0.2"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S63" s="7"/>
      <c r="T63" s="12"/>
      <c r="W63" s="12"/>
      <c r="X63" s="12"/>
      <c r="Y63" s="12"/>
      <c r="AA63" s="6"/>
      <c r="AC63" s="6"/>
      <c r="AE63" s="9"/>
    </row>
    <row r="64" spans="5:31" x14ac:dyDescent="0.2"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S64" s="7"/>
      <c r="T64" s="12"/>
      <c r="W64" s="12"/>
      <c r="X64" s="12"/>
      <c r="Y64" s="12"/>
      <c r="AA64" s="6"/>
      <c r="AC64" s="6"/>
      <c r="AE64" s="9"/>
    </row>
    <row r="65" spans="5:35" x14ac:dyDescent="0.2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T65" s="3"/>
      <c r="U65" s="3"/>
      <c r="V65" s="3"/>
      <c r="W65" s="3"/>
      <c r="X65" s="3"/>
      <c r="Y65" s="3"/>
    </row>
    <row r="66" spans="5:35" x14ac:dyDescent="0.2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T66" s="3"/>
      <c r="U66" s="3"/>
      <c r="V66" s="3"/>
      <c r="W66" s="3"/>
      <c r="X66" s="3"/>
      <c r="Y66" s="3"/>
    </row>
    <row r="67" spans="5:35" x14ac:dyDescent="0.2"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AE67" s="9"/>
    </row>
    <row r="68" spans="5:35" x14ac:dyDescent="0.2">
      <c r="AH68" s="4"/>
      <c r="AI68" s="4"/>
    </row>
  </sheetData>
  <mergeCells count="5">
    <mergeCell ref="K15:M15"/>
    <mergeCell ref="A1:P1"/>
    <mergeCell ref="A2:P2"/>
    <mergeCell ref="A3:P3"/>
    <mergeCell ref="A4:P4"/>
  </mergeCells>
  <phoneticPr fontId="5" type="noConversion"/>
  <printOptions horizontalCentered="1"/>
  <pageMargins left="0.25" right="0.25" top="1" bottom="0.5" header="1" footer="0.5"/>
  <pageSetup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8"/>
  <sheetViews>
    <sheetView view="pageBreakPreview" topLeftCell="A6" zoomScaleNormal="100" zoomScaleSheetLayoutView="100" workbookViewId="0">
      <selection activeCell="R33" sqref="R33"/>
    </sheetView>
  </sheetViews>
  <sheetFormatPr defaultRowHeight="12.75" x14ac:dyDescent="0.2"/>
  <cols>
    <col min="1" max="1" width="7.140625" customWidth="1"/>
    <col min="2" max="2" width="3.7109375" customWidth="1"/>
    <col min="3" max="3" width="6.5703125" customWidth="1"/>
    <col min="4" max="4" width="1.85546875" customWidth="1"/>
    <col min="5" max="5" width="10.85546875" bestFit="1" customWidth="1"/>
    <col min="6" max="6" width="2" customWidth="1"/>
    <col min="7" max="7" width="15.140625" bestFit="1" customWidth="1"/>
    <col min="8" max="8" width="14.7109375" customWidth="1"/>
    <col min="9" max="9" width="13.42578125" bestFit="1" customWidth="1"/>
    <col min="10" max="10" width="9.85546875" customWidth="1"/>
    <col min="11" max="11" width="12" bestFit="1" customWidth="1"/>
    <col min="12" max="12" width="12.28515625" bestFit="1" customWidth="1"/>
    <col min="13" max="13" width="14.5703125" customWidth="1"/>
    <col min="14" max="15" width="15.140625" bestFit="1" customWidth="1"/>
    <col min="16" max="18" width="9.85546875" customWidth="1"/>
    <col min="19" max="19" width="10" customWidth="1"/>
    <col min="20" max="20" width="14.42578125" bestFit="1" customWidth="1"/>
    <col min="21" max="21" width="12.7109375" bestFit="1" customWidth="1"/>
    <col min="22" max="22" width="13.85546875" bestFit="1" customWidth="1"/>
    <col min="23" max="23" width="12.7109375" bestFit="1" customWidth="1"/>
    <col min="24" max="24" width="14.42578125" bestFit="1" customWidth="1"/>
    <col min="25" max="25" width="3.140625" customWidth="1"/>
    <col min="26" max="26" width="14.42578125" customWidth="1"/>
    <col min="27" max="27" width="3.85546875" customWidth="1"/>
    <col min="28" max="28" width="2.42578125" customWidth="1"/>
    <col min="29" max="29" width="11.7109375" customWidth="1"/>
    <col min="30" max="30" width="14.42578125" bestFit="1" customWidth="1"/>
    <col min="31" max="31" width="12.7109375" bestFit="1" customWidth="1"/>
    <col min="32" max="32" width="13.85546875" bestFit="1" customWidth="1"/>
    <col min="33" max="33" width="12.7109375" bestFit="1" customWidth="1"/>
    <col min="34" max="35" width="14.42578125" bestFit="1" customWidth="1"/>
    <col min="36" max="36" width="11.140625" customWidth="1"/>
    <col min="37" max="37" width="11.42578125" bestFit="1" customWidth="1"/>
    <col min="38" max="38" width="10.7109375" customWidth="1"/>
    <col min="39" max="39" width="11.42578125" bestFit="1" customWidth="1"/>
  </cols>
  <sheetData>
    <row r="1" spans="1:39" x14ac:dyDescent="0.2">
      <c r="A1" s="377" t="str">
        <f>+'Rate Case Constants'!C9</f>
        <v>LOUISVILLE GAS AND ELECTRIC COMPANY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</row>
    <row r="2" spans="1:39" x14ac:dyDescent="0.2">
      <c r="A2" s="379" t="str">
        <f>+'Rate Case Constants'!A2:C2</f>
        <v>Rate Case Constants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</row>
    <row r="3" spans="1:39" x14ac:dyDescent="0.2">
      <c r="A3" s="378" t="str">
        <f>+'Rate Case Constants'!C24</f>
        <v>Typical Electric Bill Comparison under Present &amp; Proposed Rates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</row>
    <row r="4" spans="1:39" x14ac:dyDescent="0.2">
      <c r="A4" s="379" t="str">
        <f>+'Rate Case Constants'!A3:C3</f>
        <v>For the 2014 Rate Case Filing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</row>
    <row r="7" spans="1:39" x14ac:dyDescent="0.2">
      <c r="A7" t="str">
        <f>+'Rate Case Constants'!C33</f>
        <v>DATA: ____BASE PERIOD__X___FORECASTED PERIOD</v>
      </c>
      <c r="P7" s="208" t="str">
        <f>+'Rate Case Constants'!C25</f>
        <v>SCHEDULE N (Electric)</v>
      </c>
    </row>
    <row r="8" spans="1:39" x14ac:dyDescent="0.2">
      <c r="A8" t="str">
        <f>+'Rate Case Constants'!C29</f>
        <v>TYPE OF FILING: __X__ ORIGINAL  _____ UPDATED  _____ REVISED</v>
      </c>
      <c r="L8" s="209"/>
      <c r="P8" s="209" t="str">
        <f>+'Rate Case Constants'!L18</f>
        <v>PAGE 11 of 22</v>
      </c>
    </row>
    <row r="9" spans="1:39" x14ac:dyDescent="0.2">
      <c r="A9" t="str">
        <f>+'Rate Case Constants'!C34</f>
        <v>WORKPAPER REFERENCE NO(S):________</v>
      </c>
      <c r="P9" s="209" t="str">
        <f>+'Rate Case Constants'!C37</f>
        <v>WITNESS:   R. M. CONROY</v>
      </c>
    </row>
    <row r="10" spans="1:39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S10" s="86" t="s">
        <v>72</v>
      </c>
      <c r="T10">
        <f>+INPUT!G57</f>
        <v>-2.950295486016772E-4</v>
      </c>
    </row>
    <row r="11" spans="1:39" x14ac:dyDescent="0.2">
      <c r="A11" s="45" t="s">
        <v>319</v>
      </c>
      <c r="S11" s="86" t="s">
        <v>74</v>
      </c>
      <c r="T11">
        <f>+INPUT!H57</f>
        <v>0</v>
      </c>
      <c r="U11" s="47" t="s">
        <v>309</v>
      </c>
    </row>
    <row r="12" spans="1:39" x14ac:dyDescent="0.2"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86" t="s">
        <v>73</v>
      </c>
      <c r="T12">
        <f>+INPUT!I57</f>
        <v>9.1828319022150551E-3</v>
      </c>
      <c r="AC12" s="61" t="s">
        <v>99</v>
      </c>
    </row>
    <row r="13" spans="1:39" x14ac:dyDescent="0.2">
      <c r="A13" s="45"/>
      <c r="G13" s="222" t="s">
        <v>362</v>
      </c>
      <c r="H13" s="223" t="s">
        <v>363</v>
      </c>
      <c r="I13" s="223" t="s">
        <v>364</v>
      </c>
      <c r="J13" s="222" t="s">
        <v>365</v>
      </c>
      <c r="K13" s="222" t="s">
        <v>366</v>
      </c>
      <c r="L13" s="222" t="s">
        <v>367</v>
      </c>
      <c r="M13" s="223" t="s">
        <v>368</v>
      </c>
      <c r="N13" s="222" t="s">
        <v>369</v>
      </c>
      <c r="O13" s="222" t="s">
        <v>370</v>
      </c>
      <c r="P13" s="222" t="s">
        <v>371</v>
      </c>
      <c r="U13" s="3" t="s">
        <v>1</v>
      </c>
      <c r="V13" s="3" t="s">
        <v>1</v>
      </c>
      <c r="W13" s="3" t="s">
        <v>1</v>
      </c>
      <c r="Z13" s="3" t="s">
        <v>73</v>
      </c>
      <c r="AD13" s="20"/>
      <c r="AE13" s="21" t="s">
        <v>9</v>
      </c>
      <c r="AF13" s="21" t="s">
        <v>9</v>
      </c>
      <c r="AG13" s="21" t="s">
        <v>9</v>
      </c>
      <c r="AH13" s="20"/>
      <c r="AI13" s="3" t="s">
        <v>73</v>
      </c>
    </row>
    <row r="14" spans="1:39" x14ac:dyDescent="0.2">
      <c r="G14" s="351" t="s">
        <v>406</v>
      </c>
      <c r="H14" s="351" t="s">
        <v>406</v>
      </c>
      <c r="I14" s="226"/>
      <c r="J14" s="226"/>
      <c r="K14" s="226"/>
      <c r="L14" s="226"/>
      <c r="M14" s="226"/>
      <c r="N14" s="222" t="s">
        <v>5</v>
      </c>
      <c r="O14" s="222" t="s">
        <v>5</v>
      </c>
      <c r="P14" s="226"/>
      <c r="S14" s="3" t="s">
        <v>1</v>
      </c>
      <c r="T14" s="3" t="s">
        <v>1</v>
      </c>
      <c r="U14" s="3" t="s">
        <v>34</v>
      </c>
      <c r="V14" s="3" t="s">
        <v>30</v>
      </c>
      <c r="W14" s="3" t="s">
        <v>22</v>
      </c>
      <c r="X14" s="3" t="s">
        <v>1</v>
      </c>
      <c r="Y14" s="3"/>
      <c r="Z14" s="3" t="s">
        <v>1</v>
      </c>
      <c r="AC14" s="3" t="s">
        <v>9</v>
      </c>
      <c r="AD14" s="3" t="s">
        <v>9</v>
      </c>
      <c r="AE14" s="21" t="s">
        <v>34</v>
      </c>
      <c r="AF14" s="21" t="s">
        <v>30</v>
      </c>
      <c r="AG14" s="21" t="s">
        <v>22</v>
      </c>
      <c r="AH14" s="21" t="s">
        <v>9</v>
      </c>
      <c r="AI14" s="3" t="s">
        <v>1</v>
      </c>
      <c r="AK14" s="3"/>
    </row>
    <row r="15" spans="1:39" x14ac:dyDescent="0.2">
      <c r="C15" s="3" t="s">
        <v>23</v>
      </c>
      <c r="E15" s="3"/>
      <c r="F15" s="3"/>
      <c r="G15" s="222" t="s">
        <v>1</v>
      </c>
      <c r="H15" s="222" t="s">
        <v>75</v>
      </c>
      <c r="I15" s="222"/>
      <c r="J15" s="222"/>
      <c r="K15" s="372" t="s">
        <v>136</v>
      </c>
      <c r="L15" s="372"/>
      <c r="M15" s="373"/>
      <c r="N15" s="222" t="s">
        <v>1</v>
      </c>
      <c r="O15" s="222" t="s">
        <v>75</v>
      </c>
      <c r="P15" s="222"/>
      <c r="Q15" s="3"/>
      <c r="R15" s="3"/>
      <c r="S15" s="3" t="s">
        <v>2</v>
      </c>
      <c r="T15" s="3" t="s">
        <v>59</v>
      </c>
      <c r="U15" s="3" t="s">
        <v>25</v>
      </c>
      <c r="V15" s="3" t="s">
        <v>25</v>
      </c>
      <c r="W15" s="3" t="s">
        <v>18</v>
      </c>
      <c r="X15" s="3" t="s">
        <v>5</v>
      </c>
      <c r="Y15" s="3"/>
      <c r="Z15" s="3" t="s">
        <v>77</v>
      </c>
      <c r="AC15" s="26" t="s">
        <v>58</v>
      </c>
      <c r="AD15" s="3" t="s">
        <v>59</v>
      </c>
      <c r="AE15" s="21" t="s">
        <v>25</v>
      </c>
      <c r="AF15" s="21" t="s">
        <v>25</v>
      </c>
      <c r="AG15" s="21" t="s">
        <v>18</v>
      </c>
      <c r="AH15" s="21" t="s">
        <v>5</v>
      </c>
      <c r="AI15" s="3" t="s">
        <v>77</v>
      </c>
      <c r="AK15" s="3" t="s">
        <v>6</v>
      </c>
      <c r="AL15" s="3"/>
      <c r="AM15" s="3" t="s">
        <v>8</v>
      </c>
    </row>
    <row r="16" spans="1:39" x14ac:dyDescent="0.2">
      <c r="A16" s="3" t="s">
        <v>26</v>
      </c>
      <c r="C16" s="3" t="s">
        <v>24</v>
      </c>
      <c r="E16" s="3" t="s">
        <v>0</v>
      </c>
      <c r="F16" s="3"/>
      <c r="G16" s="222" t="s">
        <v>4</v>
      </c>
      <c r="H16" s="222" t="s">
        <v>4</v>
      </c>
      <c r="I16" s="222" t="s">
        <v>76</v>
      </c>
      <c r="J16" s="222" t="s">
        <v>76</v>
      </c>
      <c r="K16" s="222" t="s">
        <v>72</v>
      </c>
      <c r="L16" s="222" t="s">
        <v>74</v>
      </c>
      <c r="M16" s="222" t="s">
        <v>73</v>
      </c>
      <c r="N16" s="222" t="s">
        <v>4</v>
      </c>
      <c r="O16" s="222" t="s">
        <v>4</v>
      </c>
      <c r="P16" s="222" t="s">
        <v>76</v>
      </c>
      <c r="Q16" s="3"/>
      <c r="R16" s="3"/>
      <c r="S16" s="26" t="s">
        <v>3</v>
      </c>
      <c r="T16" s="3" t="s">
        <v>3</v>
      </c>
      <c r="U16" s="3" t="s">
        <v>3</v>
      </c>
      <c r="V16" s="3" t="s">
        <v>3</v>
      </c>
      <c r="W16" s="3" t="s">
        <v>3</v>
      </c>
      <c r="X16" s="3" t="s">
        <v>4</v>
      </c>
      <c r="Y16" s="3"/>
      <c r="Z16" s="3" t="s">
        <v>3</v>
      </c>
      <c r="AC16" s="26" t="s">
        <v>3</v>
      </c>
      <c r="AD16" s="3" t="s">
        <v>3</v>
      </c>
      <c r="AE16" s="21" t="s">
        <v>3</v>
      </c>
      <c r="AF16" s="21" t="s">
        <v>3</v>
      </c>
      <c r="AG16" s="21" t="s">
        <v>3</v>
      </c>
      <c r="AH16" s="21" t="s">
        <v>4</v>
      </c>
      <c r="AI16" s="3" t="s">
        <v>3</v>
      </c>
      <c r="AK16" s="3" t="s">
        <v>7</v>
      </c>
      <c r="AL16" s="3"/>
      <c r="AM16" s="3" t="s">
        <v>7</v>
      </c>
    </row>
    <row r="17" spans="1:39" x14ac:dyDescent="0.2">
      <c r="A17" s="3"/>
      <c r="C17" s="3"/>
      <c r="E17" s="3"/>
      <c r="F17" s="3"/>
      <c r="G17" s="222"/>
      <c r="H17" s="222"/>
      <c r="I17" s="222" t="s">
        <v>70</v>
      </c>
      <c r="J17" s="223" t="s">
        <v>71</v>
      </c>
      <c r="K17" s="224"/>
      <c r="L17" s="224"/>
      <c r="M17" s="225"/>
      <c r="N17" s="222" t="s">
        <v>70</v>
      </c>
      <c r="O17" s="222" t="s">
        <v>70</v>
      </c>
      <c r="P17" s="223" t="s">
        <v>71</v>
      </c>
      <c r="Q17" s="3"/>
      <c r="R17" s="3"/>
      <c r="S17" s="26"/>
      <c r="T17" s="43">
        <f>+INPUT!$L$6</f>
        <v>3.61E-2</v>
      </c>
      <c r="U17" s="44">
        <f>+INPUT!$L$14</f>
        <v>4.55</v>
      </c>
      <c r="V17" s="44">
        <f>+INPUT!$L$15</f>
        <v>3</v>
      </c>
      <c r="W17" s="44">
        <f>+INPUT!$L$16</f>
        <v>2.75</v>
      </c>
      <c r="X17" s="3"/>
      <c r="Y17" s="3"/>
      <c r="Z17" s="43"/>
      <c r="AC17" s="26"/>
      <c r="AD17" s="43">
        <f>+INPUT!$L$27</f>
        <v>3.712E-2</v>
      </c>
      <c r="AE17" s="44">
        <f>+INPUT!$L$35</f>
        <v>4.67</v>
      </c>
      <c r="AF17" s="44">
        <f>+INPUT!$L$36</f>
        <v>3.12</v>
      </c>
      <c r="AG17" s="44">
        <f>+INPUT!$L$37</f>
        <v>2.87</v>
      </c>
      <c r="AH17" s="21"/>
      <c r="AI17" s="43"/>
      <c r="AK17" s="3"/>
      <c r="AL17" s="3"/>
      <c r="AM17" s="3"/>
    </row>
    <row r="18" spans="1:39" x14ac:dyDescent="0.2">
      <c r="C18" s="3"/>
      <c r="E18" s="3"/>
      <c r="F18" s="3"/>
      <c r="G18" s="222"/>
      <c r="H18" s="222"/>
      <c r="I18" s="222" t="str">
        <f>("[ "&amp;H13&amp;" - "&amp;G13&amp;" ]")</f>
        <v>[ B - A ]</v>
      </c>
      <c r="J18" s="222" t="str">
        <f>("[ "&amp;I13&amp;" / "&amp;G13&amp;" ]")</f>
        <v>[ C / A ]</v>
      </c>
      <c r="K18" s="224"/>
      <c r="L18" s="224"/>
      <c r="M18" s="224"/>
      <c r="N18" s="222" t="str">
        <f>("["&amp;G13&amp;"+"&amp;$K$13&amp;"+"&amp;$L$13&amp;"+"&amp;$M$13&amp;"]")</f>
        <v>[A+E+F+G]</v>
      </c>
      <c r="O18" s="222" t="str">
        <f>("["&amp;H13&amp;"+"&amp;$K$13&amp;"+"&amp;$L$13&amp;"+"&amp;$M$13&amp;"]")</f>
        <v>[B+E+F+G]</v>
      </c>
      <c r="P18" s="222" t="str">
        <f>("[("&amp;O13&amp;" - "&amp;N13&amp;")/"&amp;N13&amp;"]")</f>
        <v>[(I - H)/H]</v>
      </c>
      <c r="Q18" s="3"/>
      <c r="R18" s="3"/>
      <c r="T18" s="3" t="s">
        <v>14</v>
      </c>
      <c r="U18" s="3" t="s">
        <v>61</v>
      </c>
      <c r="V18" s="3" t="s">
        <v>61</v>
      </c>
      <c r="W18" s="3" t="s">
        <v>61</v>
      </c>
      <c r="X18" s="3"/>
      <c r="Y18" s="3"/>
      <c r="Z18" s="3" t="s">
        <v>14</v>
      </c>
      <c r="AC18" s="26"/>
      <c r="AD18" s="3" t="s">
        <v>14</v>
      </c>
      <c r="AE18" s="3" t="s">
        <v>61</v>
      </c>
      <c r="AF18" s="3" t="s">
        <v>61</v>
      </c>
      <c r="AG18" s="3" t="s">
        <v>61</v>
      </c>
      <c r="AH18" s="21"/>
      <c r="AI18" s="3" t="s">
        <v>14</v>
      </c>
      <c r="AK18" s="3"/>
      <c r="AL18" s="3"/>
      <c r="AM18" s="3"/>
    </row>
    <row r="19" spans="1:39" x14ac:dyDescent="0.2">
      <c r="C19" s="3"/>
      <c r="E19" s="3"/>
      <c r="F19" s="3"/>
      <c r="G19" s="3"/>
      <c r="H19" s="3"/>
      <c r="I19" s="222"/>
      <c r="J19" s="222"/>
      <c r="K19" s="3"/>
      <c r="L19" s="3"/>
      <c r="M19" s="3"/>
      <c r="N19" s="222"/>
      <c r="O19" s="3"/>
      <c r="P19" s="222"/>
      <c r="Q19" s="3"/>
      <c r="R19" s="3"/>
      <c r="U19" s="3"/>
      <c r="V19" s="3"/>
      <c r="W19" s="3"/>
      <c r="X19" s="3"/>
      <c r="Y19" s="3"/>
      <c r="AC19" s="26"/>
      <c r="AD19" s="3"/>
      <c r="AE19" s="21"/>
      <c r="AF19" s="21"/>
      <c r="AG19" s="21"/>
      <c r="AH19" s="21"/>
      <c r="AK19" s="3"/>
      <c r="AL19" s="3"/>
      <c r="AM19" s="3"/>
    </row>
    <row r="20" spans="1:39" x14ac:dyDescent="0.2">
      <c r="A20" s="1">
        <v>1000</v>
      </c>
      <c r="B20" s="1"/>
      <c r="C20" s="13">
        <v>0.3</v>
      </c>
      <c r="E20" s="1">
        <f>C20*($A$20*730)</f>
        <v>219000</v>
      </c>
      <c r="F20" s="1"/>
      <c r="G20" s="29">
        <f>+X20</f>
        <v>18955.900000000001</v>
      </c>
      <c r="H20" s="29">
        <f>+AH20</f>
        <v>19789.28</v>
      </c>
      <c r="I20" s="29">
        <f>+H20-G20</f>
        <v>833.37999999999738</v>
      </c>
      <c r="J20" s="57">
        <f>ROUND(+I20/G20,4)</f>
        <v>4.3999999999999997E-2</v>
      </c>
      <c r="K20" s="29">
        <f>ROUND($T$10*$E20,2)</f>
        <v>-64.61</v>
      </c>
      <c r="L20" s="29">
        <f>ROUND($T$11*$E20,2)</f>
        <v>0</v>
      </c>
      <c r="M20" s="29">
        <f>ROUND($T$12*$E20,2)</f>
        <v>2011.04</v>
      </c>
      <c r="N20" s="29">
        <f>+G20+K20+L20+M20</f>
        <v>20902.330000000002</v>
      </c>
      <c r="O20" s="29">
        <f>+H20+K20+L20+M20</f>
        <v>21735.71</v>
      </c>
      <c r="P20" s="57">
        <f>(O20-N20)/N20</f>
        <v>3.9870196289121709E-2</v>
      </c>
      <c r="Q20" s="1"/>
      <c r="S20" s="7">
        <f>+INPUT!$L$4</f>
        <v>750</v>
      </c>
      <c r="T20" s="20">
        <f>$T$17*E20</f>
        <v>7905.9</v>
      </c>
      <c r="U20" s="20">
        <f>$U$17*$A$20</f>
        <v>4550</v>
      </c>
      <c r="V20" s="20">
        <f>$V$17*$A$20</f>
        <v>3000</v>
      </c>
      <c r="W20" s="20">
        <f>$W$17*$A$20</f>
        <v>2750</v>
      </c>
      <c r="X20" s="25">
        <f>S20+T20+U20+V20+W20</f>
        <v>18955.900000000001</v>
      </c>
      <c r="Y20" s="25"/>
      <c r="Z20" s="20"/>
      <c r="AC20" s="7">
        <f>INPUT!$L$25</f>
        <v>1000</v>
      </c>
      <c r="AD20" s="20">
        <f>$AD$17*E20</f>
        <v>8129.28</v>
      </c>
      <c r="AE20" s="20">
        <f>$A$20*$AE$17</f>
        <v>4670</v>
      </c>
      <c r="AF20" s="20">
        <f>$A$20*$AF$17</f>
        <v>3120</v>
      </c>
      <c r="AG20" s="20">
        <f>$A$20*$AG$17</f>
        <v>2870</v>
      </c>
      <c r="AH20" s="25">
        <f>AC20+AD20+AE20+AF20+AG20</f>
        <v>19789.28</v>
      </c>
      <c r="AI20" s="20"/>
      <c r="AJ20" s="17"/>
      <c r="AK20" s="7">
        <f>AH20-X20</f>
        <v>833.37999999999738</v>
      </c>
      <c r="AM20" s="18">
        <f>AH20/X20-1</f>
        <v>4.3964148365416511E-2</v>
      </c>
    </row>
    <row r="21" spans="1:39" x14ac:dyDescent="0.2">
      <c r="C21" s="13">
        <v>0.5</v>
      </c>
      <c r="E21" s="1">
        <f>C21*($A$20*730)</f>
        <v>365000</v>
      </c>
      <c r="F21" s="1"/>
      <c r="G21" s="29">
        <f t="shared" ref="G21:G38" si="0">+X21</f>
        <v>24226.5</v>
      </c>
      <c r="H21" s="29">
        <f>+AH21</f>
        <v>25208.799999999999</v>
      </c>
      <c r="I21" s="29">
        <f>+H21-G21</f>
        <v>982.29999999999927</v>
      </c>
      <c r="J21" s="57">
        <f>ROUND(+I21/G21,4)</f>
        <v>4.0500000000000001E-2</v>
      </c>
      <c r="K21" s="29">
        <f>ROUND($T$10*$E21,2)</f>
        <v>-107.69</v>
      </c>
      <c r="L21" s="29">
        <f>ROUND($T$11*$E21,2)</f>
        <v>0</v>
      </c>
      <c r="M21" s="29">
        <f>ROUND($T$12*$E21,2)</f>
        <v>3351.73</v>
      </c>
      <c r="N21" s="29">
        <f>+G21+K21+L21+M21</f>
        <v>27470.54</v>
      </c>
      <c r="O21" s="29">
        <f>+H21+K21+L21+M21</f>
        <v>28452.84</v>
      </c>
      <c r="P21" s="57">
        <f>(O21-N21)/N21</f>
        <v>3.5758306898954269E-2</v>
      </c>
      <c r="Q21" s="1"/>
      <c r="S21" s="7">
        <f>$S$20</f>
        <v>750</v>
      </c>
      <c r="T21" s="20">
        <f>$T$17*E21</f>
        <v>13176.5</v>
      </c>
      <c r="U21" s="20">
        <f>$U$17*$A$20</f>
        <v>4550</v>
      </c>
      <c r="V21" s="20">
        <f>$V$17*$A$20</f>
        <v>3000</v>
      </c>
      <c r="W21" s="20">
        <f>$W$17*$A$20</f>
        <v>2750</v>
      </c>
      <c r="X21" s="25">
        <f>S21+T21+U21+V21+W21</f>
        <v>24226.5</v>
      </c>
      <c r="Y21" s="25"/>
      <c r="Z21" s="20"/>
      <c r="AC21" s="7">
        <f>$AC$20</f>
        <v>1000</v>
      </c>
      <c r="AD21" s="20">
        <f>$AD$17*E21</f>
        <v>13548.8</v>
      </c>
      <c r="AE21" s="20">
        <f>$A$20*$AE$17</f>
        <v>4670</v>
      </c>
      <c r="AF21" s="20">
        <f>$A$20*$AF$17</f>
        <v>3120</v>
      </c>
      <c r="AG21" s="20">
        <f>$A$20*$AG$17</f>
        <v>2870</v>
      </c>
      <c r="AH21" s="25">
        <f>AC21+AD21+AE21+AF21+AG21</f>
        <v>25208.799999999999</v>
      </c>
      <c r="AI21" s="20"/>
      <c r="AJ21" s="17"/>
      <c r="AK21" s="7">
        <f>AH21-X21</f>
        <v>982.29999999999927</v>
      </c>
      <c r="AM21" s="18">
        <f>AH21/X21-1</f>
        <v>4.0546508988091423E-2</v>
      </c>
    </row>
    <row r="22" spans="1:39" x14ac:dyDescent="0.2">
      <c r="C22" s="13">
        <v>0.7</v>
      </c>
      <c r="E22" s="1">
        <f>C22*($A$20*730)</f>
        <v>510999.99999999994</v>
      </c>
      <c r="F22" s="1"/>
      <c r="G22" s="29">
        <f t="shared" si="0"/>
        <v>29497.1</v>
      </c>
      <c r="H22" s="29">
        <f>+AH22</f>
        <v>30628.32</v>
      </c>
      <c r="I22" s="29">
        <f>+H22-G22</f>
        <v>1131.2200000000012</v>
      </c>
      <c r="J22" s="57">
        <f>ROUND(+I22/G22,4)</f>
        <v>3.8399999999999997E-2</v>
      </c>
      <c r="K22" s="29">
        <f>ROUND($T$10*$E22,2)</f>
        <v>-150.76</v>
      </c>
      <c r="L22" s="29">
        <f>ROUND($T$11*$E22,2)</f>
        <v>0</v>
      </c>
      <c r="M22" s="29">
        <f>ROUND($T$12*$E22,2)</f>
        <v>4692.43</v>
      </c>
      <c r="N22" s="29">
        <f>+G22+K22+L22+M22</f>
        <v>34038.770000000004</v>
      </c>
      <c r="O22" s="29">
        <f>+H22+K22+L22+M22</f>
        <v>35169.990000000005</v>
      </c>
      <c r="P22" s="57">
        <f>(O22-N22)/N22</f>
        <v>3.3233280756032046E-2</v>
      </c>
      <c r="Q22" s="1"/>
      <c r="S22" s="7">
        <f>$S$20</f>
        <v>750</v>
      </c>
      <c r="T22" s="20">
        <f>$T$17*E22</f>
        <v>18447.099999999999</v>
      </c>
      <c r="U22" s="20">
        <f>$U$17*$A$20</f>
        <v>4550</v>
      </c>
      <c r="V22" s="20">
        <f>$V$17*$A$20</f>
        <v>3000</v>
      </c>
      <c r="W22" s="20">
        <f>$W$17*$A$20</f>
        <v>2750</v>
      </c>
      <c r="X22" s="25">
        <f>S22+T22+U22+V22+W22</f>
        <v>29497.1</v>
      </c>
      <c r="Y22" s="25"/>
      <c r="Z22" s="20"/>
      <c r="AC22" s="7">
        <f>$AC$20</f>
        <v>1000</v>
      </c>
      <c r="AD22" s="20">
        <f>$AD$17*E22</f>
        <v>18968.32</v>
      </c>
      <c r="AE22" s="20">
        <f>$A$20*$AE$17</f>
        <v>4670</v>
      </c>
      <c r="AF22" s="20">
        <f>$A$20*$AF$17</f>
        <v>3120</v>
      </c>
      <c r="AG22" s="20">
        <f>$A$20*$AG$17</f>
        <v>2870</v>
      </c>
      <c r="AH22" s="25">
        <f>AC22+AD22+AE22+AF22+AG22</f>
        <v>30628.32</v>
      </c>
      <c r="AI22" s="20"/>
      <c r="AJ22" s="17"/>
      <c r="AK22" s="7">
        <f>AH22-X22</f>
        <v>1131.2200000000012</v>
      </c>
      <c r="AM22" s="18">
        <f>AH22/X22-1</f>
        <v>3.8350210698678833E-2</v>
      </c>
    </row>
    <row r="23" spans="1:39" x14ac:dyDescent="0.2">
      <c r="C23" s="13"/>
      <c r="E23" s="1"/>
      <c r="F23" s="1"/>
      <c r="G23" s="29"/>
      <c r="H23" s="29"/>
      <c r="J23" s="5"/>
      <c r="K23" s="1"/>
      <c r="L23" s="1"/>
      <c r="M23" s="1"/>
      <c r="P23" s="57"/>
      <c r="Q23" s="1"/>
      <c r="S23" s="7"/>
      <c r="T23" s="20"/>
      <c r="U23" s="20"/>
      <c r="V23" s="20"/>
      <c r="W23" s="20"/>
      <c r="X23" s="25"/>
      <c r="Y23" s="25"/>
      <c r="AC23" s="7"/>
      <c r="AD23" s="20"/>
      <c r="AE23" s="20"/>
      <c r="AF23" s="20"/>
      <c r="AG23" s="20"/>
      <c r="AH23" s="25"/>
      <c r="AJ23" s="17"/>
      <c r="AK23" s="6"/>
      <c r="AM23" s="6"/>
    </row>
    <row r="24" spans="1:39" x14ac:dyDescent="0.2">
      <c r="A24" s="1">
        <v>10000</v>
      </c>
      <c r="B24" s="1"/>
      <c r="C24" s="13">
        <v>0.3</v>
      </c>
      <c r="E24" s="1">
        <f>C24*($A$24*730)</f>
        <v>2190000</v>
      </c>
      <c r="F24" s="1"/>
      <c r="G24" s="29">
        <f t="shared" si="0"/>
        <v>182809</v>
      </c>
      <c r="H24" s="29">
        <f>+AH24</f>
        <v>188892.79999999999</v>
      </c>
      <c r="I24" s="29">
        <f>+H24-G24</f>
        <v>6083.7999999999884</v>
      </c>
      <c r="J24" s="57">
        <f>ROUND(+I24/G24,4)</f>
        <v>3.3300000000000003E-2</v>
      </c>
      <c r="K24" s="29">
        <f>ROUND($T$10*$E24,2)</f>
        <v>-646.11</v>
      </c>
      <c r="L24" s="29">
        <f>ROUND($T$11*$E24,2)</f>
        <v>0</v>
      </c>
      <c r="M24" s="29">
        <f>ROUND($T$12*$E24,2)</f>
        <v>20110.400000000001</v>
      </c>
      <c r="N24" s="29">
        <f>+G24+K24+L24+M24</f>
        <v>202273.29</v>
      </c>
      <c r="O24" s="29">
        <f>+H24+K24+L24+M24</f>
        <v>208357.09</v>
      </c>
      <c r="P24" s="57">
        <f>(O24-N24)/N24</f>
        <v>3.0077129807894992E-2</v>
      </c>
      <c r="Q24" s="1"/>
      <c r="S24" s="7">
        <f>$S$20</f>
        <v>750</v>
      </c>
      <c r="T24" s="20">
        <f>$T$17*E24</f>
        <v>79059</v>
      </c>
      <c r="U24" s="20">
        <f>$U$17*$A$24</f>
        <v>45500</v>
      </c>
      <c r="V24" s="20">
        <f>$V$17*$A$24</f>
        <v>30000</v>
      </c>
      <c r="W24" s="20">
        <f>$W$17*$A$24</f>
        <v>27500</v>
      </c>
      <c r="X24" s="25">
        <f>S24+T24+U24+V24+W24</f>
        <v>182809</v>
      </c>
      <c r="Y24" s="25"/>
      <c r="Z24" s="20"/>
      <c r="AC24" s="7">
        <f>$AC$20</f>
        <v>1000</v>
      </c>
      <c r="AD24" s="20">
        <f>$AD$17*E24</f>
        <v>81292.800000000003</v>
      </c>
      <c r="AE24" s="20">
        <f>$A$24*$AE$17</f>
        <v>46700</v>
      </c>
      <c r="AF24" s="20">
        <f>$A$24*$AF$17</f>
        <v>31200</v>
      </c>
      <c r="AG24" s="20">
        <f>$A$24*$AG$17</f>
        <v>28700</v>
      </c>
      <c r="AH24" s="25">
        <f>AC24+AD24+AE24+AF24+AG24</f>
        <v>188892.79999999999</v>
      </c>
      <c r="AI24" s="20"/>
      <c r="AJ24" s="17"/>
      <c r="AK24" s="7">
        <f>AH24-X24</f>
        <v>6083.7999999999884</v>
      </c>
      <c r="AL24" s="10"/>
      <c r="AM24" s="18">
        <f>AH24/X24-1</f>
        <v>3.3279543129714595E-2</v>
      </c>
    </row>
    <row r="25" spans="1:39" x14ac:dyDescent="0.2">
      <c r="C25" s="13">
        <v>0.5</v>
      </c>
      <c r="E25" s="1">
        <f>C25*($A$24*730)</f>
        <v>3650000</v>
      </c>
      <c r="F25" s="1"/>
      <c r="G25" s="29">
        <f t="shared" si="0"/>
        <v>235515</v>
      </c>
      <c r="H25" s="29">
        <f>+AH25</f>
        <v>243088</v>
      </c>
      <c r="I25" s="29">
        <f>+H25-G25</f>
        <v>7573</v>
      </c>
      <c r="J25" s="57">
        <f>ROUND(+I25/G25,4)</f>
        <v>3.2199999999999999E-2</v>
      </c>
      <c r="K25" s="29">
        <f>ROUND($T$10*$E25,2)</f>
        <v>-1076.8599999999999</v>
      </c>
      <c r="L25" s="29">
        <f>ROUND($T$11*$E25,2)</f>
        <v>0</v>
      </c>
      <c r="M25" s="29">
        <f>ROUND($T$12*$E25,2)</f>
        <v>33517.339999999997</v>
      </c>
      <c r="N25" s="29">
        <f>+G25+K25+L25+M25</f>
        <v>267955.48</v>
      </c>
      <c r="O25" s="29">
        <f>+H25+K25+L25+M25</f>
        <v>275528.48</v>
      </c>
      <c r="P25" s="57">
        <f>(O25-N25)/N25</f>
        <v>2.826215757931131E-2</v>
      </c>
      <c r="Q25" s="1"/>
      <c r="S25" s="7">
        <f>$S$20</f>
        <v>750</v>
      </c>
      <c r="T25" s="20">
        <f>$T$17*E25</f>
        <v>131765</v>
      </c>
      <c r="U25" s="20">
        <f>$U$17*$A$24</f>
        <v>45500</v>
      </c>
      <c r="V25" s="20">
        <f>$V$17*$A$24</f>
        <v>30000</v>
      </c>
      <c r="W25" s="20">
        <f>$W$17*$A$24</f>
        <v>27500</v>
      </c>
      <c r="X25" s="25">
        <f>S25+T25+U25+V25+W25</f>
        <v>235515</v>
      </c>
      <c r="Y25" s="25"/>
      <c r="Z25" s="20"/>
      <c r="AC25" s="7">
        <f>$AC$20</f>
        <v>1000</v>
      </c>
      <c r="AD25" s="20">
        <f>$AD$17*E25</f>
        <v>135488</v>
      </c>
      <c r="AE25" s="20">
        <f>$A$24*$AE$17</f>
        <v>46700</v>
      </c>
      <c r="AF25" s="20">
        <f>$A$24*$AF$17</f>
        <v>31200</v>
      </c>
      <c r="AG25" s="20">
        <f>$A$24*$AG$17</f>
        <v>28700</v>
      </c>
      <c r="AH25" s="25">
        <f>AC25+AD25+AE25+AF25+AG25</f>
        <v>243088</v>
      </c>
      <c r="AI25" s="20"/>
      <c r="AJ25" s="17"/>
      <c r="AK25" s="7">
        <f>AH25-X25</f>
        <v>7573</v>
      </c>
      <c r="AL25" s="10"/>
      <c r="AM25" s="18">
        <f>AH25/X25-1</f>
        <v>3.2155064433263325E-2</v>
      </c>
    </row>
    <row r="26" spans="1:39" x14ac:dyDescent="0.2">
      <c r="C26" s="13">
        <v>0.7</v>
      </c>
      <c r="E26" s="1">
        <f>C26*($A$24*730)</f>
        <v>5110000</v>
      </c>
      <c r="F26" s="1"/>
      <c r="G26" s="29">
        <f t="shared" si="0"/>
        <v>288221</v>
      </c>
      <c r="H26" s="29">
        <f>+AH26</f>
        <v>297283.20000000001</v>
      </c>
      <c r="I26" s="29">
        <f>+H26-G26</f>
        <v>9062.2000000000116</v>
      </c>
      <c r="J26" s="57">
        <f>ROUND(+I26/G26,4)</f>
        <v>3.1399999999999997E-2</v>
      </c>
      <c r="K26" s="29">
        <f>ROUND($T$10*$E26,2)</f>
        <v>-1507.6</v>
      </c>
      <c r="L26" s="29">
        <f>ROUND($T$11*$E26,2)</f>
        <v>0</v>
      </c>
      <c r="M26" s="29">
        <f>ROUND($T$12*$E26,2)</f>
        <v>46924.27</v>
      </c>
      <c r="N26" s="29">
        <f>+G26+K26+L26+M26</f>
        <v>333637.67000000004</v>
      </c>
      <c r="O26" s="29">
        <f>+H26+K26+L26+M26</f>
        <v>342699.87000000005</v>
      </c>
      <c r="P26" s="57">
        <f>(O26-N26)/N26</f>
        <v>2.716180100406531E-2</v>
      </c>
      <c r="Q26" s="1"/>
      <c r="S26" s="7">
        <f>$S$20</f>
        <v>750</v>
      </c>
      <c r="T26" s="20">
        <f>$T$17*E26</f>
        <v>184471</v>
      </c>
      <c r="U26" s="20">
        <f>$U$17*$A$24</f>
        <v>45500</v>
      </c>
      <c r="V26" s="20">
        <f>$V$17*$A$24</f>
        <v>30000</v>
      </c>
      <c r="W26" s="20">
        <f>$W$17*$A$24</f>
        <v>27500</v>
      </c>
      <c r="X26" s="25">
        <f>S26+T26+U26+V26+W26</f>
        <v>288221</v>
      </c>
      <c r="Y26" s="25"/>
      <c r="Z26" s="20"/>
      <c r="AC26" s="7">
        <f>$AC$20</f>
        <v>1000</v>
      </c>
      <c r="AD26" s="20">
        <f>$AD$17*E26</f>
        <v>189683.20000000001</v>
      </c>
      <c r="AE26" s="20">
        <f>$A$24*$AE$17</f>
        <v>46700</v>
      </c>
      <c r="AF26" s="20">
        <f>$A$24*$AF$17</f>
        <v>31200</v>
      </c>
      <c r="AG26" s="20">
        <f>$A$24*$AG$17</f>
        <v>28700</v>
      </c>
      <c r="AH26" s="25">
        <f>AC26+AD26+AE26+AF26+AG26</f>
        <v>297283.20000000001</v>
      </c>
      <c r="AI26" s="20"/>
      <c r="AJ26" s="17"/>
      <c r="AK26" s="7">
        <f>AH26-X26</f>
        <v>9062.2000000000116</v>
      </c>
      <c r="AM26" s="18">
        <f>AH26/X26-1</f>
        <v>3.1441844973128408E-2</v>
      </c>
    </row>
    <row r="27" spans="1:39" x14ac:dyDescent="0.2">
      <c r="C27" s="13"/>
      <c r="E27" s="1"/>
      <c r="F27" s="1"/>
      <c r="G27" s="29"/>
      <c r="H27" s="29"/>
      <c r="J27" s="5"/>
      <c r="K27" s="1"/>
      <c r="L27" s="1"/>
      <c r="M27" s="1"/>
      <c r="P27" s="57"/>
      <c r="Q27" s="1"/>
      <c r="S27" s="7"/>
      <c r="T27" s="20"/>
      <c r="U27" s="20"/>
      <c r="V27" s="20"/>
      <c r="W27" s="20"/>
      <c r="X27" s="25"/>
      <c r="Y27" s="25"/>
      <c r="AC27" s="7"/>
      <c r="AD27" s="20"/>
      <c r="AE27" s="20"/>
      <c r="AF27" s="20"/>
      <c r="AG27" s="20"/>
      <c r="AH27" s="25"/>
      <c r="AJ27" s="17"/>
      <c r="AK27" s="6"/>
      <c r="AM27" s="6"/>
    </row>
    <row r="28" spans="1:39" x14ac:dyDescent="0.2">
      <c r="A28" s="1">
        <v>25000</v>
      </c>
      <c r="B28" s="1"/>
      <c r="C28" s="13">
        <v>0.3</v>
      </c>
      <c r="E28" s="1">
        <f>C28*($A$28*730)</f>
        <v>5475000</v>
      </c>
      <c r="F28" s="1"/>
      <c r="G28" s="29">
        <f t="shared" si="0"/>
        <v>455897.5</v>
      </c>
      <c r="H28" s="29">
        <f>+AH28</f>
        <v>470732</v>
      </c>
      <c r="I28" s="29">
        <f>+H28-G28</f>
        <v>14834.5</v>
      </c>
      <c r="J28" s="57">
        <f>ROUND(+I28/G28,4)</f>
        <v>3.2500000000000001E-2</v>
      </c>
      <c r="K28" s="29">
        <f>ROUND($T$10*$E28,2)</f>
        <v>-1615.29</v>
      </c>
      <c r="L28" s="29">
        <f>ROUND($T$11*$E28,2)</f>
        <v>0</v>
      </c>
      <c r="M28" s="29">
        <f>ROUND($T$12*$E28,2)</f>
        <v>50276</v>
      </c>
      <c r="N28" s="29">
        <f>+G28+K28+L28+M28</f>
        <v>504558.21</v>
      </c>
      <c r="O28" s="29">
        <f>+H28+K28+L28+M28</f>
        <v>519392.71</v>
      </c>
      <c r="P28" s="57">
        <f>(O28-N28)/N28</f>
        <v>2.9400968423445136E-2</v>
      </c>
      <c r="Q28" s="1"/>
      <c r="S28" s="7">
        <f>$S$20</f>
        <v>750</v>
      </c>
      <c r="T28" s="20">
        <f>$T$17*E28</f>
        <v>197647.5</v>
      </c>
      <c r="U28" s="20">
        <f>$U$17*$A$28</f>
        <v>113750</v>
      </c>
      <c r="V28" s="20">
        <f>$V$17*$A$28</f>
        <v>75000</v>
      </c>
      <c r="W28" s="20">
        <f>$W$17*$A$28</f>
        <v>68750</v>
      </c>
      <c r="X28" s="25">
        <f>S28+T28+U28+V28+W28</f>
        <v>455897.5</v>
      </c>
      <c r="Y28" s="25"/>
      <c r="Z28" s="20"/>
      <c r="AC28" s="7">
        <f>$AC$20</f>
        <v>1000</v>
      </c>
      <c r="AD28" s="20">
        <f>$AD$17*E28</f>
        <v>203232</v>
      </c>
      <c r="AE28" s="20">
        <f>$A$28*$AE$17</f>
        <v>116750</v>
      </c>
      <c r="AF28" s="20">
        <f>$A$28*$AF$17</f>
        <v>78000</v>
      </c>
      <c r="AG28" s="20">
        <f>$A$28*$AG$17</f>
        <v>71750</v>
      </c>
      <c r="AH28" s="25">
        <f>AC28+AD28+AE28+AF28+AG28</f>
        <v>470732</v>
      </c>
      <c r="AI28" s="20"/>
      <c r="AJ28" s="17"/>
      <c r="AK28" s="7">
        <f>AH28-X28</f>
        <v>14834.5</v>
      </c>
      <c r="AM28" s="18">
        <f>AH28/X28-1</f>
        <v>3.2539112410135962E-2</v>
      </c>
    </row>
    <row r="29" spans="1:39" x14ac:dyDescent="0.2">
      <c r="C29" s="13">
        <v>0.5</v>
      </c>
      <c r="E29" s="1">
        <f>C29*($A$28*730)</f>
        <v>9125000</v>
      </c>
      <c r="F29" s="1"/>
      <c r="G29" s="29">
        <f t="shared" si="0"/>
        <v>587662.5</v>
      </c>
      <c r="H29" s="29">
        <f>+AH29</f>
        <v>606220</v>
      </c>
      <c r="I29" s="29">
        <f>+H29-G29</f>
        <v>18557.5</v>
      </c>
      <c r="J29" s="57">
        <f>ROUND(+I29/G29,4)</f>
        <v>3.1600000000000003E-2</v>
      </c>
      <c r="K29" s="29">
        <f>ROUND($T$10*$E29,2)</f>
        <v>-2692.14</v>
      </c>
      <c r="L29" s="29">
        <f>ROUND($T$11*$E29,2)</f>
        <v>0</v>
      </c>
      <c r="M29" s="29">
        <f>ROUND($T$12*$E29,2)</f>
        <v>83793.34</v>
      </c>
      <c r="N29" s="29">
        <f>+G29+K29+L29+M29</f>
        <v>668763.69999999995</v>
      </c>
      <c r="O29" s="29">
        <f>+H29+K29+L29+M29</f>
        <v>687321.2</v>
      </c>
      <c r="P29" s="57">
        <f>(O29-N29)/N29</f>
        <v>2.7748964245517514E-2</v>
      </c>
      <c r="Q29" s="1"/>
      <c r="S29" s="7">
        <f>$S$20</f>
        <v>750</v>
      </c>
      <c r="T29" s="20">
        <f>$T$17*E29</f>
        <v>329412.5</v>
      </c>
      <c r="U29" s="20">
        <f>$U$17*$A$28</f>
        <v>113750</v>
      </c>
      <c r="V29" s="20">
        <f>$V$17*$A$28</f>
        <v>75000</v>
      </c>
      <c r="W29" s="20">
        <f>$W$17*$A$28</f>
        <v>68750</v>
      </c>
      <c r="X29" s="25">
        <f>S29+T29+U29+V29+W29</f>
        <v>587662.5</v>
      </c>
      <c r="Y29" s="25"/>
      <c r="Z29" s="20"/>
      <c r="AC29" s="7">
        <f>$AC$20</f>
        <v>1000</v>
      </c>
      <c r="AD29" s="20">
        <f>$AD$17*E29</f>
        <v>338720</v>
      </c>
      <c r="AE29" s="20">
        <f>$A$28*$AE$17</f>
        <v>116750</v>
      </c>
      <c r="AF29" s="20">
        <f>$A$28*$AF$17</f>
        <v>78000</v>
      </c>
      <c r="AG29" s="20">
        <f>$A$28*$AG$17</f>
        <v>71750</v>
      </c>
      <c r="AH29" s="25">
        <f>AC29+AD29+AE29+AF29+AG29</f>
        <v>606220</v>
      </c>
      <c r="AI29" s="20"/>
      <c r="AJ29" s="17"/>
      <c r="AK29" s="7">
        <f>AH29-X29</f>
        <v>18557.5</v>
      </c>
      <c r="AM29" s="18">
        <f>AH29/X29-1</f>
        <v>3.1578499563950313E-2</v>
      </c>
    </row>
    <row r="30" spans="1:39" x14ac:dyDescent="0.2">
      <c r="C30" s="13">
        <v>0.7</v>
      </c>
      <c r="E30" s="1">
        <f>C30*($A$28*730)</f>
        <v>12775000</v>
      </c>
      <c r="F30" s="1"/>
      <c r="G30" s="29">
        <f t="shared" si="0"/>
        <v>719427.5</v>
      </c>
      <c r="H30" s="29">
        <f>+AH30</f>
        <v>741708</v>
      </c>
      <c r="I30" s="29">
        <f>+H30-G30</f>
        <v>22280.5</v>
      </c>
      <c r="J30" s="57">
        <f>ROUND(+I30/G30,4)</f>
        <v>3.1E-2</v>
      </c>
      <c r="K30" s="29">
        <f>ROUND($T$10*$E30,2)</f>
        <v>-3769</v>
      </c>
      <c r="L30" s="29">
        <f>ROUND($T$11*$E30,2)</f>
        <v>0</v>
      </c>
      <c r="M30" s="29">
        <f>ROUND($T$12*$E30,2)</f>
        <v>117310.68</v>
      </c>
      <c r="N30" s="29">
        <f>+G30+K30+L30+M30</f>
        <v>832969.17999999993</v>
      </c>
      <c r="O30" s="29">
        <f>+H30+K30+L30+M30</f>
        <v>855249.67999999993</v>
      </c>
      <c r="P30" s="57">
        <f>(O30-N30)/N30</f>
        <v>2.674828857413428E-2</v>
      </c>
      <c r="Q30" s="1"/>
      <c r="S30" s="7">
        <f>$S$20</f>
        <v>750</v>
      </c>
      <c r="T30" s="20">
        <f>$T$17*E30</f>
        <v>461177.5</v>
      </c>
      <c r="U30" s="20">
        <f>$U$17*$A$28</f>
        <v>113750</v>
      </c>
      <c r="V30" s="20">
        <f>$V$17*$A$28</f>
        <v>75000</v>
      </c>
      <c r="W30" s="20">
        <f>$W$17*$A$28</f>
        <v>68750</v>
      </c>
      <c r="X30" s="25">
        <f>S30+T30+U30+V30+W30</f>
        <v>719427.5</v>
      </c>
      <c r="Y30" s="25"/>
      <c r="Z30" s="20"/>
      <c r="AC30" s="7">
        <f>$AC$20</f>
        <v>1000</v>
      </c>
      <c r="AD30" s="20">
        <f>$AD$17*E30</f>
        <v>474208</v>
      </c>
      <c r="AE30" s="20">
        <f>$A$28*$AE$17</f>
        <v>116750</v>
      </c>
      <c r="AF30" s="20">
        <f>$A$28*$AF$17</f>
        <v>78000</v>
      </c>
      <c r="AG30" s="20">
        <f>$A$28*$AG$17</f>
        <v>71750</v>
      </c>
      <c r="AH30" s="25">
        <f>AC30+AD30+AE30+AF30+AG30</f>
        <v>741708</v>
      </c>
      <c r="AI30" s="20"/>
      <c r="AJ30" s="17"/>
      <c r="AK30" s="7">
        <f>AH30-X30</f>
        <v>22280.5</v>
      </c>
      <c r="AM30" s="18">
        <f>AH30/X30-1</f>
        <v>3.0969764152746437E-2</v>
      </c>
    </row>
    <row r="31" spans="1:39" x14ac:dyDescent="0.2">
      <c r="C31" s="13"/>
      <c r="E31" s="1"/>
      <c r="F31" s="1"/>
      <c r="G31" s="29"/>
      <c r="H31" s="29"/>
      <c r="J31" s="5"/>
      <c r="K31" s="1"/>
      <c r="L31" s="1"/>
      <c r="M31" s="1"/>
      <c r="P31" s="57"/>
      <c r="Q31" s="1"/>
      <c r="S31" s="7"/>
      <c r="T31" s="20"/>
      <c r="U31" s="20"/>
      <c r="V31" s="20"/>
      <c r="W31" s="20"/>
      <c r="X31" s="25"/>
      <c r="Y31" s="25"/>
      <c r="AC31" s="7"/>
      <c r="AD31" s="20"/>
      <c r="AE31" s="20"/>
      <c r="AF31" s="20"/>
      <c r="AG31" s="20"/>
      <c r="AH31" s="25"/>
      <c r="AJ31" s="17"/>
      <c r="AK31" s="6"/>
      <c r="AM31" s="6"/>
    </row>
    <row r="32" spans="1:39" x14ac:dyDescent="0.2">
      <c r="A32" s="1">
        <v>50000</v>
      </c>
      <c r="B32" s="1"/>
      <c r="C32" s="13">
        <v>0.3</v>
      </c>
      <c r="E32" s="1">
        <f>C32*($A$32*730)</f>
        <v>10950000</v>
      </c>
      <c r="F32" s="1"/>
      <c r="G32" s="29">
        <f t="shared" si="0"/>
        <v>911045</v>
      </c>
      <c r="H32" s="29">
        <f>+AH32</f>
        <v>940464</v>
      </c>
      <c r="I32" s="29">
        <f>+H32-G32</f>
        <v>29419</v>
      </c>
      <c r="J32" s="57">
        <f>ROUND(+I32/G32,4)</f>
        <v>3.2300000000000002E-2</v>
      </c>
      <c r="K32" s="29">
        <f>ROUND($T$10*$E32,2)</f>
        <v>-3230.57</v>
      </c>
      <c r="L32" s="29">
        <f>ROUND($T$11*$E32,2)</f>
        <v>0</v>
      </c>
      <c r="M32" s="29">
        <f>ROUND($T$12*$E32,2)</f>
        <v>100552.01</v>
      </c>
      <c r="N32" s="29">
        <f>+G32+K32+L32+M32</f>
        <v>1008366.4400000001</v>
      </c>
      <c r="O32" s="29">
        <f>+H32+K32+L32+M32</f>
        <v>1037785.4400000001</v>
      </c>
      <c r="P32" s="57">
        <f>(O32-N32)/N32</f>
        <v>2.9174909867091568E-2</v>
      </c>
      <c r="Q32" s="1"/>
      <c r="S32" s="7">
        <f>$S$20</f>
        <v>750</v>
      </c>
      <c r="T32" s="20">
        <f>$T$17*E32</f>
        <v>395295</v>
      </c>
      <c r="U32" s="20">
        <f>$U$17*$A$32</f>
        <v>227500</v>
      </c>
      <c r="V32" s="20">
        <f>$V$17*$A$32</f>
        <v>150000</v>
      </c>
      <c r="W32" s="20">
        <f>$W$17*$A$32</f>
        <v>137500</v>
      </c>
      <c r="X32" s="25">
        <f>S32+T32+U32+V32+W32</f>
        <v>911045</v>
      </c>
      <c r="Y32" s="25"/>
      <c r="Z32" s="20"/>
      <c r="AC32" s="7">
        <f>$AC$20</f>
        <v>1000</v>
      </c>
      <c r="AD32" s="20">
        <f>$AD$17*E32</f>
        <v>406464</v>
      </c>
      <c r="AE32" s="20">
        <f>$A$32*$AE$17</f>
        <v>233500</v>
      </c>
      <c r="AF32" s="20">
        <f>$A$32*$AF$17</f>
        <v>156000</v>
      </c>
      <c r="AG32" s="20">
        <f>$A$32*$AG$17</f>
        <v>143500</v>
      </c>
      <c r="AH32" s="25">
        <f>AC32+AD32+AE32+AF32+AG32</f>
        <v>940464</v>
      </c>
      <c r="AI32" s="20"/>
      <c r="AJ32" s="17"/>
      <c r="AK32" s="7">
        <f>AH32-X32</f>
        <v>29419</v>
      </c>
      <c r="AM32" s="18">
        <f>AH32/X32-1</f>
        <v>3.2291489443441401E-2</v>
      </c>
    </row>
    <row r="33" spans="1:39" x14ac:dyDescent="0.2">
      <c r="C33" s="13">
        <v>0.5</v>
      </c>
      <c r="E33" s="1">
        <f>C33*($A$32*730)</f>
        <v>18250000</v>
      </c>
      <c r="F33" s="1"/>
      <c r="G33" s="29">
        <f t="shared" si="0"/>
        <v>1174575</v>
      </c>
      <c r="H33" s="29">
        <f>+AH33</f>
        <v>1211440</v>
      </c>
      <c r="I33" s="29">
        <f>+H33-G33</f>
        <v>36865</v>
      </c>
      <c r="J33" s="57">
        <f>ROUND(+I33/G33,4)</f>
        <v>3.1399999999999997E-2</v>
      </c>
      <c r="K33" s="29">
        <f>ROUND($T$10*$E33,2)</f>
        <v>-5384.29</v>
      </c>
      <c r="L33" s="29">
        <f>ROUND($T$11*$E33,2)</f>
        <v>0</v>
      </c>
      <c r="M33" s="29">
        <f>ROUND($T$12*$E33,2)</f>
        <v>167586.68</v>
      </c>
      <c r="N33" s="29">
        <f>+G33+K33+L33+M33</f>
        <v>1336777.3899999999</v>
      </c>
      <c r="O33" s="29">
        <f>+H33+K33+L33+M33</f>
        <v>1373642.39</v>
      </c>
      <c r="P33" s="57">
        <f>(O33-N33)/N33</f>
        <v>2.7577516103859299E-2</v>
      </c>
      <c r="Q33" s="1"/>
      <c r="S33" s="7">
        <f>$S$20</f>
        <v>750</v>
      </c>
      <c r="T33" s="20">
        <f>$T$17*E33</f>
        <v>658825</v>
      </c>
      <c r="U33" s="20">
        <f>$U$17*$A$32</f>
        <v>227500</v>
      </c>
      <c r="V33" s="20">
        <f>$V$17*$A$32</f>
        <v>150000</v>
      </c>
      <c r="W33" s="20">
        <f>$W$17*$A$32</f>
        <v>137500</v>
      </c>
      <c r="X33" s="25">
        <f>S33+T33+U33+V33+W33</f>
        <v>1174575</v>
      </c>
      <c r="Y33" s="25"/>
      <c r="Z33" s="20"/>
      <c r="AC33" s="7">
        <f>$AC$20</f>
        <v>1000</v>
      </c>
      <c r="AD33" s="20">
        <f>$AD$17*E33</f>
        <v>677440</v>
      </c>
      <c r="AE33" s="20">
        <f>$A$32*$AE$17</f>
        <v>233500</v>
      </c>
      <c r="AF33" s="20">
        <f>$A$32*$AF$17</f>
        <v>156000</v>
      </c>
      <c r="AG33" s="20">
        <f>$A$32*$AG$17</f>
        <v>143500</v>
      </c>
      <c r="AH33" s="25">
        <f>AC33+AD33+AE33+AF33+AG33</f>
        <v>1211440</v>
      </c>
      <c r="AI33" s="20"/>
      <c r="AJ33" s="17"/>
      <c r="AK33" s="7">
        <f>AH33-X33</f>
        <v>36865</v>
      </c>
      <c r="AM33" s="18">
        <f>AH33/X33-1</f>
        <v>3.1385820403124542E-2</v>
      </c>
    </row>
    <row r="34" spans="1:39" x14ac:dyDescent="0.2">
      <c r="C34" s="13">
        <v>0.7</v>
      </c>
      <c r="E34" s="1">
        <f>C34*($A$32*730)</f>
        <v>25550000</v>
      </c>
      <c r="F34" s="1"/>
      <c r="G34" s="29">
        <f t="shared" si="0"/>
        <v>1438105</v>
      </c>
      <c r="H34" s="29">
        <f>+AH34</f>
        <v>1482416</v>
      </c>
      <c r="I34" s="29">
        <f>+H34-G34</f>
        <v>44311</v>
      </c>
      <c r="J34" s="57">
        <f>ROUND(+I34/G34,4)</f>
        <v>3.0800000000000001E-2</v>
      </c>
      <c r="K34" s="29">
        <f>ROUND($T$10*$E34,2)</f>
        <v>-7538</v>
      </c>
      <c r="L34" s="29">
        <f>ROUND($T$11*$E34,2)</f>
        <v>0</v>
      </c>
      <c r="M34" s="29">
        <f>ROUND($T$12*$E34,2)</f>
        <v>234621.36</v>
      </c>
      <c r="N34" s="29">
        <f>+G34+K34+L34+M34</f>
        <v>1665188.3599999999</v>
      </c>
      <c r="O34" s="29">
        <f>+H34+K34+L34+M34</f>
        <v>1709499.3599999999</v>
      </c>
      <c r="P34" s="57">
        <f>(O34-N34)/N34</f>
        <v>2.6610202824141772E-2</v>
      </c>
      <c r="Q34" s="1"/>
      <c r="S34" s="7">
        <f>$S$20</f>
        <v>750</v>
      </c>
      <c r="T34" s="20">
        <f>$T$17*E34</f>
        <v>922355</v>
      </c>
      <c r="U34" s="20">
        <f>$U$17*$A$32</f>
        <v>227500</v>
      </c>
      <c r="V34" s="20">
        <f>$V$17*$A$32</f>
        <v>150000</v>
      </c>
      <c r="W34" s="20">
        <f>$W$17*$A$32</f>
        <v>137500</v>
      </c>
      <c r="X34" s="25">
        <f>S34+T34+U34+V34+W34</f>
        <v>1438105</v>
      </c>
      <c r="Y34" s="25"/>
      <c r="Z34" s="20"/>
      <c r="AC34" s="7">
        <f>$AC$20</f>
        <v>1000</v>
      </c>
      <c r="AD34" s="20">
        <f>$AD$17*E34</f>
        <v>948416</v>
      </c>
      <c r="AE34" s="20">
        <f>$A$32*$AE$17</f>
        <v>233500</v>
      </c>
      <c r="AF34" s="20">
        <f>$A$32*$AF$17</f>
        <v>156000</v>
      </c>
      <c r="AG34" s="20">
        <f>$A$32*$AG$17</f>
        <v>143500</v>
      </c>
      <c r="AH34" s="25">
        <f>AC34+AD34+AE34+AF34+AG34</f>
        <v>1482416</v>
      </c>
      <c r="AI34" s="20"/>
      <c r="AJ34" s="17"/>
      <c r="AK34" s="7">
        <f>AH34-X34</f>
        <v>44311</v>
      </c>
      <c r="AM34" s="18">
        <f>AH34/X34-1</f>
        <v>3.0812075613394052E-2</v>
      </c>
    </row>
    <row r="35" spans="1:39" x14ac:dyDescent="0.2">
      <c r="C35" s="13"/>
      <c r="E35" s="1"/>
      <c r="F35" s="1"/>
      <c r="G35" s="29"/>
      <c r="H35" s="29"/>
      <c r="J35" s="5"/>
      <c r="K35" s="1"/>
      <c r="L35" s="1"/>
      <c r="M35" s="1"/>
      <c r="P35" s="57"/>
      <c r="Q35" s="1"/>
      <c r="S35" s="7"/>
      <c r="T35" s="20"/>
      <c r="U35" s="20"/>
      <c r="V35" s="20"/>
      <c r="W35" s="20"/>
      <c r="X35" s="25"/>
      <c r="Y35" s="25"/>
      <c r="AC35" s="7"/>
      <c r="AD35" s="20"/>
      <c r="AE35" s="20"/>
      <c r="AF35" s="20"/>
      <c r="AG35" s="20"/>
      <c r="AH35" s="25"/>
      <c r="AJ35" s="17"/>
      <c r="AK35" s="6"/>
      <c r="AM35" s="6"/>
    </row>
    <row r="36" spans="1:39" x14ac:dyDescent="0.2">
      <c r="A36" s="1">
        <v>75000</v>
      </c>
      <c r="B36" s="1"/>
      <c r="C36" s="13">
        <v>0.3</v>
      </c>
      <c r="E36" s="1">
        <f>C36*($A$36*730)</f>
        <v>16425000</v>
      </c>
      <c r="F36" s="1"/>
      <c r="G36" s="29">
        <f t="shared" si="0"/>
        <v>1366192.5</v>
      </c>
      <c r="H36" s="29">
        <f>+AH36</f>
        <v>1410196</v>
      </c>
      <c r="I36" s="29">
        <f>+H36-G36</f>
        <v>44003.5</v>
      </c>
      <c r="J36" s="57">
        <f>ROUND(+I36/G36,4)</f>
        <v>3.2199999999999999E-2</v>
      </c>
      <c r="K36" s="29">
        <f>ROUND($T$10*$E36,2)</f>
        <v>-4845.8599999999997</v>
      </c>
      <c r="L36" s="29">
        <f>ROUND($T$11*$E36,2)</f>
        <v>0</v>
      </c>
      <c r="M36" s="29">
        <f>ROUND($T$12*$E36,2)</f>
        <v>150828.01</v>
      </c>
      <c r="N36" s="29">
        <f>+G36+K36+L36+M36</f>
        <v>1512174.65</v>
      </c>
      <c r="O36" s="29">
        <f>+H36+K36+L36+M36</f>
        <v>1556178.15</v>
      </c>
      <c r="P36" s="57">
        <f>(O36-N36)/N36</f>
        <v>2.9099482655657535E-2</v>
      </c>
      <c r="Q36" s="1"/>
      <c r="S36" s="7">
        <f>$S$20</f>
        <v>750</v>
      </c>
      <c r="T36" s="20">
        <f>$T$17*E36</f>
        <v>592942.5</v>
      </c>
      <c r="U36" s="20">
        <f>$U$17*$A$36</f>
        <v>341250</v>
      </c>
      <c r="V36" s="20">
        <f>$V$17*$A$36</f>
        <v>225000</v>
      </c>
      <c r="W36" s="20">
        <f>$W$17*$A$36</f>
        <v>206250</v>
      </c>
      <c r="X36" s="25">
        <f>S36+T36+U36+V36+W36</f>
        <v>1366192.5</v>
      </c>
      <c r="Y36" s="25"/>
      <c r="Z36" s="20"/>
      <c r="AC36" s="7">
        <f>$AC$20</f>
        <v>1000</v>
      </c>
      <c r="AD36" s="20">
        <f>$AD$17*E36</f>
        <v>609696</v>
      </c>
      <c r="AE36" s="20">
        <f>$A$36*$AE$17</f>
        <v>350250</v>
      </c>
      <c r="AF36" s="20">
        <f>$A$36*$AF$17</f>
        <v>234000</v>
      </c>
      <c r="AG36" s="20">
        <f>$A$36*$AG$17</f>
        <v>215250</v>
      </c>
      <c r="AH36" s="25">
        <f>AC36+AD36+AE36+AF36+AG36</f>
        <v>1410196</v>
      </c>
      <c r="AI36" s="20"/>
      <c r="AJ36" s="17"/>
      <c r="AK36" s="7">
        <f>AH36-X36</f>
        <v>44003.5</v>
      </c>
      <c r="AM36" s="18">
        <f>AH36/X36-1</f>
        <v>3.2208857829332249E-2</v>
      </c>
    </row>
    <row r="37" spans="1:39" x14ac:dyDescent="0.2">
      <c r="C37" s="13">
        <v>0.5</v>
      </c>
      <c r="E37" s="1">
        <f>C37*($A$36*730)</f>
        <v>27375000</v>
      </c>
      <c r="F37" s="1"/>
      <c r="G37" s="29">
        <f t="shared" si="0"/>
        <v>1761487.5</v>
      </c>
      <c r="H37" s="29">
        <f>+AH37</f>
        <v>1816660</v>
      </c>
      <c r="I37" s="29">
        <f>+H37-G37</f>
        <v>55172.5</v>
      </c>
      <c r="J37" s="57">
        <f>ROUND(+I37/G37,4)</f>
        <v>3.1300000000000001E-2</v>
      </c>
      <c r="K37" s="29">
        <f>ROUND($T$10*$E37,2)</f>
        <v>-8076.43</v>
      </c>
      <c r="L37" s="29">
        <f>ROUND($T$11*$E37,2)</f>
        <v>0</v>
      </c>
      <c r="M37" s="29">
        <f>ROUND($T$12*$E37,2)</f>
        <v>251380.02</v>
      </c>
      <c r="N37" s="29">
        <f>+G37+K37+L37+M37</f>
        <v>2004791.09</v>
      </c>
      <c r="O37" s="29">
        <f>+H37+K37+L37+M37</f>
        <v>2059963.59</v>
      </c>
      <c r="P37" s="57">
        <f>(O37-N37)/N37</f>
        <v>2.7520323825860577E-2</v>
      </c>
      <c r="Q37" s="1"/>
      <c r="S37" s="7">
        <f>$S$20</f>
        <v>750</v>
      </c>
      <c r="T37" s="20">
        <f>$T$17*E37</f>
        <v>988237.5</v>
      </c>
      <c r="U37" s="20">
        <f>$U$17*$A$36</f>
        <v>341250</v>
      </c>
      <c r="V37" s="20">
        <f>$V$17*$A$36</f>
        <v>225000</v>
      </c>
      <c r="W37" s="20">
        <f>$W$17*$A$36</f>
        <v>206250</v>
      </c>
      <c r="X37" s="25">
        <f>S37+T37+U37+V37+W37</f>
        <v>1761487.5</v>
      </c>
      <c r="Y37" s="25"/>
      <c r="Z37" s="20"/>
      <c r="AC37" s="7">
        <f>$AC$20</f>
        <v>1000</v>
      </c>
      <c r="AD37" s="20">
        <f>$AD$17*E37</f>
        <v>1016160</v>
      </c>
      <c r="AE37" s="20">
        <f>$A$36*$AE$17</f>
        <v>350250</v>
      </c>
      <c r="AF37" s="20">
        <f>$A$36*$AF$17</f>
        <v>234000</v>
      </c>
      <c r="AG37" s="20">
        <f>$A$36*$AG$17</f>
        <v>215250</v>
      </c>
      <c r="AH37" s="25">
        <f>AC37+AD37+AE37+AF37+AG37</f>
        <v>1816660</v>
      </c>
      <c r="AI37" s="20"/>
      <c r="AJ37" s="17"/>
      <c r="AK37" s="7">
        <f>AH37-X37</f>
        <v>55172.5</v>
      </c>
      <c r="AM37" s="18">
        <f>AH37/X37-1</f>
        <v>3.1321539324008718E-2</v>
      </c>
    </row>
    <row r="38" spans="1:39" x14ac:dyDescent="0.2">
      <c r="C38" s="13">
        <v>0.7</v>
      </c>
      <c r="E38" s="1">
        <f>C38*($A$36*730)</f>
        <v>38325000</v>
      </c>
      <c r="F38" s="1"/>
      <c r="G38" s="29">
        <f t="shared" si="0"/>
        <v>2156782.5</v>
      </c>
      <c r="H38" s="29">
        <f>+AH38</f>
        <v>2223124</v>
      </c>
      <c r="I38" s="29">
        <f>+H38-G38</f>
        <v>66341.5</v>
      </c>
      <c r="J38" s="57">
        <f>ROUND(+I38/G38,4)</f>
        <v>3.0800000000000001E-2</v>
      </c>
      <c r="K38" s="29">
        <f>ROUND($T$10*$E38,2)</f>
        <v>-11307.01</v>
      </c>
      <c r="L38" s="29">
        <f>ROUND($T$11*$E38,2)</f>
        <v>0</v>
      </c>
      <c r="M38" s="29">
        <f>ROUND($T$12*$E38,2)</f>
        <v>351932.03</v>
      </c>
      <c r="N38" s="29">
        <f>+G38+K38+L38+M38</f>
        <v>2497407.5200000005</v>
      </c>
      <c r="O38" s="29">
        <f>+H38+K38+L38+M38</f>
        <v>2563749.0200000005</v>
      </c>
      <c r="P38" s="57">
        <f>(O38-N38)/N38</f>
        <v>2.6564146807726431E-2</v>
      </c>
      <c r="Q38" s="1"/>
      <c r="S38" s="7">
        <f>$S$20</f>
        <v>750</v>
      </c>
      <c r="T38" s="20">
        <f>$T$17*E38</f>
        <v>1383532.5</v>
      </c>
      <c r="U38" s="20">
        <f>$U$17*$A$36</f>
        <v>341250</v>
      </c>
      <c r="V38" s="20">
        <f>$V$17*$A$36</f>
        <v>225000</v>
      </c>
      <c r="W38" s="20">
        <f>$W$17*$A$36</f>
        <v>206250</v>
      </c>
      <c r="X38" s="25">
        <f>S38+T38+U38+V38+W38</f>
        <v>2156782.5</v>
      </c>
      <c r="Y38" s="25"/>
      <c r="Z38" s="20"/>
      <c r="AC38" s="7">
        <f>$AC$20</f>
        <v>1000</v>
      </c>
      <c r="AD38" s="20">
        <f>$AD$17*E38</f>
        <v>1422624</v>
      </c>
      <c r="AE38" s="20">
        <f>$A$36*$AE$17</f>
        <v>350250</v>
      </c>
      <c r="AF38" s="20">
        <f>$A$36*$AF$17</f>
        <v>234000</v>
      </c>
      <c r="AG38" s="20">
        <f>$A$36*$AG$17</f>
        <v>215250</v>
      </c>
      <c r="AH38" s="25">
        <f>AC38+AD38+AE38+AF38+AG38</f>
        <v>2223124</v>
      </c>
      <c r="AI38" s="20"/>
      <c r="AJ38" s="17"/>
      <c r="AK38" s="7">
        <f>AH38-X38</f>
        <v>66341.5</v>
      </c>
      <c r="AM38" s="18">
        <f>AH38/X38-1</f>
        <v>3.075947621051256E-2</v>
      </c>
    </row>
    <row r="39" spans="1:39" x14ac:dyDescent="0.2">
      <c r="T39" s="20"/>
      <c r="U39" s="20"/>
      <c r="V39" s="20"/>
      <c r="W39" s="20"/>
      <c r="X39" s="20"/>
      <c r="Y39" s="20"/>
    </row>
    <row r="40" spans="1:39" x14ac:dyDescent="0.2">
      <c r="A40" s="17" t="s">
        <v>373</v>
      </c>
      <c r="T40" s="20"/>
      <c r="U40" s="20"/>
      <c r="V40" s="20"/>
      <c r="W40" s="20"/>
      <c r="X40" s="20"/>
      <c r="Y40" s="20"/>
    </row>
    <row r="41" spans="1:39" x14ac:dyDescent="0.2">
      <c r="A41" s="228" t="str">
        <f>("Average usage = "&amp;TEXT(INPUT!L19*1,"0,000")&amp;" kWh per month")</f>
        <v>Average usage = 6,089,174 kWh per month</v>
      </c>
      <c r="T41" s="20"/>
      <c r="U41" s="20"/>
      <c r="V41" s="20"/>
      <c r="W41" s="20"/>
      <c r="X41" s="20"/>
      <c r="Y41" s="20"/>
    </row>
    <row r="42" spans="1:39" x14ac:dyDescent="0.2">
      <c r="A42" s="230" t="s">
        <v>375</v>
      </c>
      <c r="C42" s="1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AE42" s="31"/>
      <c r="AF42" s="20"/>
      <c r="AG42" s="20"/>
      <c r="AH42" s="20"/>
      <c r="AI42" s="20"/>
      <c r="AJ42" s="20"/>
      <c r="AK42" s="6"/>
    </row>
    <row r="43" spans="1:39" x14ac:dyDescent="0.2">
      <c r="A43" s="231" t="s">
        <v>99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T43" s="12"/>
      <c r="AE43" s="9"/>
    </row>
    <row r="44" spans="1:39" x14ac:dyDescent="0.2">
      <c r="A44" s="233" t="s">
        <v>137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A44" s="3"/>
      <c r="AB44" s="2"/>
      <c r="AC44" s="3"/>
      <c r="AE44" s="3"/>
    </row>
    <row r="45" spans="1:39" x14ac:dyDescent="0.2">
      <c r="A45" s="233" t="str">
        <f>+'Rate Case Constants'!C26</f>
        <v>Calculations may vary from other schedules due to rounding</v>
      </c>
      <c r="AE45" s="9"/>
    </row>
    <row r="46" spans="1:39" x14ac:dyDescent="0.2">
      <c r="S46" s="3"/>
      <c r="W46" s="3"/>
      <c r="AA46" s="3"/>
      <c r="AE46" s="9"/>
    </row>
    <row r="47" spans="1:39" x14ac:dyDescent="0.2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A47" s="3"/>
      <c r="AB47" s="2"/>
      <c r="AC47" s="3"/>
      <c r="AE47" s="3"/>
    </row>
    <row r="48" spans="1:39" x14ac:dyDescent="0.2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A48" s="3"/>
      <c r="AB48" s="2"/>
      <c r="AC48" s="3"/>
      <c r="AE48" s="3"/>
    </row>
    <row r="49" spans="5:31" x14ac:dyDescent="0.2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T49" s="3"/>
      <c r="U49" s="3"/>
      <c r="V49" s="3"/>
      <c r="W49" s="3"/>
      <c r="X49" s="3"/>
      <c r="Y49" s="3"/>
    </row>
    <row r="50" spans="5:31" x14ac:dyDescent="0.2"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S50" s="7"/>
      <c r="T50" s="12"/>
      <c r="W50" s="12"/>
      <c r="X50" s="12"/>
      <c r="Y50" s="12"/>
      <c r="AA50" s="6"/>
      <c r="AC50" s="6"/>
      <c r="AE50" s="9"/>
    </row>
    <row r="51" spans="5:31" x14ac:dyDescent="0.2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S51" s="7"/>
      <c r="T51" s="12"/>
      <c r="W51" s="12"/>
      <c r="X51" s="12"/>
      <c r="Y51" s="12"/>
      <c r="AA51" s="6"/>
      <c r="AC51" s="6"/>
      <c r="AE51" s="9"/>
    </row>
    <row r="52" spans="5:31" x14ac:dyDescent="0.2"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S52" s="7"/>
      <c r="T52" s="12"/>
      <c r="W52" s="12"/>
      <c r="X52" s="12"/>
      <c r="Y52" s="12"/>
      <c r="AA52" s="6"/>
      <c r="AC52" s="6"/>
      <c r="AE52" s="9"/>
    </row>
    <row r="53" spans="5:31" x14ac:dyDescent="0.2"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S53" s="7"/>
      <c r="T53" s="12"/>
      <c r="W53" s="12"/>
      <c r="X53" s="12"/>
      <c r="Y53" s="12"/>
      <c r="AA53" s="6"/>
      <c r="AB53" s="10"/>
      <c r="AC53" s="6"/>
      <c r="AD53" s="10"/>
      <c r="AE53" s="9"/>
    </row>
    <row r="54" spans="5:31" ht="6.75" customHeight="1" x14ac:dyDescent="0.2"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S54" s="7"/>
      <c r="T54" s="12"/>
      <c r="W54" s="12"/>
      <c r="X54" s="12"/>
      <c r="Y54" s="12"/>
      <c r="AA54" s="6"/>
      <c r="AB54" s="10"/>
      <c r="AC54" s="6"/>
      <c r="AD54" s="10"/>
      <c r="AE54" s="9"/>
    </row>
    <row r="55" spans="5:31" x14ac:dyDescent="0.2"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S55" s="7"/>
      <c r="T55" s="12"/>
      <c r="W55" s="12"/>
      <c r="X55" s="12"/>
      <c r="Y55" s="12"/>
      <c r="AA55" s="6"/>
      <c r="AC55" s="6"/>
      <c r="AE55" s="9"/>
    </row>
    <row r="56" spans="5:31" x14ac:dyDescent="0.2"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S56" s="7"/>
      <c r="T56" s="12"/>
      <c r="W56" s="12"/>
      <c r="X56" s="12"/>
      <c r="Y56" s="12"/>
      <c r="AA56" s="6"/>
      <c r="AC56" s="6"/>
      <c r="AE56" s="9"/>
    </row>
    <row r="57" spans="5:31" x14ac:dyDescent="0.2"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S57" s="7"/>
      <c r="T57" s="12"/>
      <c r="W57" s="12"/>
      <c r="X57" s="12"/>
      <c r="Y57" s="12"/>
      <c r="AA57" s="6"/>
      <c r="AC57" s="6"/>
      <c r="AE57" s="9"/>
    </row>
    <row r="58" spans="5:31" x14ac:dyDescent="0.2"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S58" s="7"/>
      <c r="T58" s="12"/>
      <c r="W58" s="12"/>
      <c r="X58" s="12"/>
      <c r="Y58" s="12"/>
      <c r="AA58" s="6"/>
      <c r="AC58" s="6"/>
      <c r="AE58" s="9"/>
    </row>
    <row r="59" spans="5:31" x14ac:dyDescent="0.2"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S59" s="7"/>
      <c r="T59" s="12"/>
      <c r="W59" s="12"/>
      <c r="X59" s="12"/>
      <c r="Y59" s="12"/>
      <c r="AA59" s="6"/>
      <c r="AC59" s="6"/>
      <c r="AE59" s="9"/>
    </row>
    <row r="60" spans="5:31" ht="6.75" customHeight="1" x14ac:dyDescent="0.2"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S60" s="7"/>
      <c r="T60" s="12"/>
      <c r="W60" s="12"/>
      <c r="X60" s="12"/>
      <c r="Y60" s="12"/>
      <c r="AA60" s="6"/>
      <c r="AC60" s="6"/>
      <c r="AE60" s="9"/>
    </row>
    <row r="61" spans="5:31" x14ac:dyDescent="0.2"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S61" s="7"/>
      <c r="T61" s="12"/>
      <c r="W61" s="12"/>
      <c r="X61" s="12"/>
      <c r="Y61" s="12"/>
      <c r="AA61" s="6"/>
      <c r="AC61" s="6"/>
      <c r="AE61" s="9"/>
    </row>
    <row r="62" spans="5:31" x14ac:dyDescent="0.2"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S62" s="7"/>
      <c r="T62" s="12"/>
      <c r="W62" s="12"/>
      <c r="X62" s="12"/>
      <c r="Y62" s="12"/>
      <c r="AA62" s="6"/>
      <c r="AC62" s="6"/>
      <c r="AE62" s="9"/>
    </row>
    <row r="63" spans="5:31" x14ac:dyDescent="0.2"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S63" s="7"/>
      <c r="T63" s="12"/>
      <c r="W63" s="12"/>
      <c r="X63" s="12"/>
      <c r="Y63" s="12"/>
      <c r="AA63" s="6"/>
      <c r="AC63" s="6"/>
      <c r="AE63" s="9"/>
    </row>
    <row r="64" spans="5:31" x14ac:dyDescent="0.2"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S64" s="7"/>
      <c r="T64" s="12"/>
      <c r="W64" s="12"/>
      <c r="X64" s="12"/>
      <c r="Y64" s="12"/>
      <c r="AA64" s="6"/>
      <c r="AC64" s="6"/>
      <c r="AE64" s="9"/>
    </row>
    <row r="65" spans="5:35" x14ac:dyDescent="0.2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T65" s="3"/>
      <c r="U65" s="3"/>
      <c r="V65" s="3"/>
      <c r="W65" s="3"/>
      <c r="X65" s="3"/>
      <c r="Y65" s="3"/>
    </row>
    <row r="66" spans="5:35" x14ac:dyDescent="0.2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T66" s="3"/>
      <c r="U66" s="3"/>
      <c r="V66" s="3"/>
      <c r="W66" s="3"/>
      <c r="X66" s="3"/>
      <c r="Y66" s="3"/>
    </row>
    <row r="67" spans="5:35" x14ac:dyDescent="0.2"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AE67" s="9"/>
    </row>
    <row r="68" spans="5:35" x14ac:dyDescent="0.2">
      <c r="AH68" s="4"/>
      <c r="AI68" s="4"/>
    </row>
  </sheetData>
  <mergeCells count="5">
    <mergeCell ref="K15:M15"/>
    <mergeCell ref="A1:P1"/>
    <mergeCell ref="A2:P2"/>
    <mergeCell ref="A3:P3"/>
    <mergeCell ref="A4:P4"/>
  </mergeCells>
  <printOptions horizontalCentered="1"/>
  <pageMargins left="0.25" right="0.25" top="1" bottom="0.5" header="1" footer="0.5"/>
  <pageSetup scale="8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8"/>
  <sheetViews>
    <sheetView view="pageBreakPreview" topLeftCell="A6" zoomScaleNormal="100" zoomScaleSheetLayoutView="100" workbookViewId="0">
      <selection activeCell="R33" sqref="R33"/>
    </sheetView>
  </sheetViews>
  <sheetFormatPr defaultRowHeight="12.75" x14ac:dyDescent="0.2"/>
  <cols>
    <col min="1" max="1" width="10.42578125" style="17" customWidth="1"/>
    <col min="2" max="2" width="3.7109375" style="17" customWidth="1"/>
    <col min="3" max="3" width="6.5703125" style="17" customWidth="1"/>
    <col min="4" max="4" width="1.85546875" style="17" customWidth="1"/>
    <col min="5" max="5" width="12" style="17" bestFit="1" customWidth="1"/>
    <col min="6" max="6" width="2" style="17" customWidth="1"/>
    <col min="7" max="7" width="15.140625" style="17" bestFit="1" customWidth="1"/>
    <col min="8" max="8" width="14.7109375" style="17" customWidth="1"/>
    <col min="9" max="9" width="12.28515625" style="17" bestFit="1" customWidth="1"/>
    <col min="10" max="10" width="9.85546875" style="17" customWidth="1"/>
    <col min="11" max="12" width="13.42578125" style="17" bestFit="1" customWidth="1"/>
    <col min="13" max="13" width="15.140625" style="17" customWidth="1"/>
    <col min="14" max="15" width="15.140625" style="17" bestFit="1" customWidth="1"/>
    <col min="16" max="18" width="9.85546875" style="17" customWidth="1"/>
    <col min="19" max="19" width="10" style="17" customWidth="1"/>
    <col min="20" max="20" width="14.42578125" style="17" bestFit="1" customWidth="1"/>
    <col min="21" max="21" width="12.7109375" style="17" bestFit="1" customWidth="1"/>
    <col min="22" max="22" width="13.85546875" style="17" bestFit="1" customWidth="1"/>
    <col min="23" max="23" width="12.7109375" style="17" bestFit="1" customWidth="1"/>
    <col min="24" max="24" width="14.42578125" style="17" bestFit="1" customWidth="1"/>
    <col min="25" max="25" width="3.140625" style="17" customWidth="1"/>
    <col min="26" max="26" width="14.42578125" style="17" customWidth="1"/>
    <col min="27" max="27" width="3.85546875" style="17" customWidth="1"/>
    <col min="28" max="28" width="2.42578125" style="17" customWidth="1"/>
    <col min="29" max="30" width="14.42578125" style="17" bestFit="1" customWidth="1"/>
    <col min="31" max="31" width="12.7109375" style="17" bestFit="1" customWidth="1"/>
    <col min="32" max="32" width="13.85546875" style="17" bestFit="1" customWidth="1"/>
    <col min="33" max="33" width="12.7109375" style="17" bestFit="1" customWidth="1"/>
    <col min="34" max="35" width="14.42578125" style="17" bestFit="1" customWidth="1"/>
    <col min="36" max="36" width="11.140625" style="17" customWidth="1"/>
    <col min="37" max="37" width="11.42578125" style="17" bestFit="1" customWidth="1"/>
    <col min="38" max="38" width="10.7109375" style="17" customWidth="1"/>
    <col min="39" max="39" width="11.42578125" style="17" bestFit="1" customWidth="1"/>
    <col min="40" max="16384" width="9.140625" style="17"/>
  </cols>
  <sheetData>
    <row r="1" spans="1:39" x14ac:dyDescent="0.2">
      <c r="A1" s="374" t="str">
        <f>+'Rate Case Constants'!C9</f>
        <v>LOUISVILLE GAS AND ELECTRIC COMPANY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</row>
    <row r="2" spans="1:39" x14ac:dyDescent="0.2">
      <c r="A2" s="375" t="str">
        <f>+'Rate Case Constants'!A2:C2</f>
        <v>Rate Case Constants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</row>
    <row r="3" spans="1:39" x14ac:dyDescent="0.2">
      <c r="A3" s="376" t="str">
        <f>+'Rate Case Constants'!C24</f>
        <v>Typical Electric Bill Comparison under Present &amp; Proposed Rates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</row>
    <row r="4" spans="1:39" x14ac:dyDescent="0.2">
      <c r="A4" s="375" t="str">
        <f>+'Rate Case Constants'!A3:C3</f>
        <v>For the 2014 Rate Case Filing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</row>
    <row r="7" spans="1:39" x14ac:dyDescent="0.2">
      <c r="A7" s="17" t="str">
        <f>+'Rate Case Constants'!C33</f>
        <v>DATA: ____BASE PERIOD__X___FORECASTED PERIOD</v>
      </c>
      <c r="P7" s="207" t="str">
        <f>+'Rate Case Constants'!C25</f>
        <v>SCHEDULE N (Electric)</v>
      </c>
    </row>
    <row r="8" spans="1:39" x14ac:dyDescent="0.2">
      <c r="A8" s="17" t="str">
        <f>+'Rate Case Constants'!C29</f>
        <v>TYPE OF FILING: __X__ ORIGINAL  _____ UPDATED  _____ REVISED</v>
      </c>
      <c r="L8" s="99"/>
      <c r="P8" s="99" t="str">
        <f>+'Rate Case Constants'!L19</f>
        <v>PAGE 12 of 22</v>
      </c>
    </row>
    <row r="9" spans="1:39" x14ac:dyDescent="0.2">
      <c r="A9" s="17" t="str">
        <f>+'Rate Case Constants'!C34</f>
        <v>WORKPAPER REFERENCE NO(S):________</v>
      </c>
      <c r="P9" s="99" t="str">
        <f>+'Rate Case Constants'!C37</f>
        <v>WITNESS:   R. M. CONROY</v>
      </c>
    </row>
    <row r="10" spans="1:39" x14ac:dyDescent="0.2">
      <c r="A10" s="204"/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S10" s="86" t="s">
        <v>72</v>
      </c>
      <c r="T10" s="17">
        <f>+INPUT!G58</f>
        <v>0</v>
      </c>
    </row>
    <row r="11" spans="1:39" x14ac:dyDescent="0.2">
      <c r="A11" s="88" t="s">
        <v>411</v>
      </c>
      <c r="S11" s="86" t="s">
        <v>74</v>
      </c>
      <c r="T11" s="17">
        <f>+INPUT!H58</f>
        <v>0</v>
      </c>
      <c r="V11" s="185" t="s">
        <v>138</v>
      </c>
      <c r="AD11" s="185" t="s">
        <v>138</v>
      </c>
    </row>
    <row r="12" spans="1:39" x14ac:dyDescent="0.2"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 t="s">
        <v>73</v>
      </c>
      <c r="T12" s="17">
        <f>+INPUT!I58</f>
        <v>0</v>
      </c>
    </row>
    <row r="13" spans="1:39" x14ac:dyDescent="0.2">
      <c r="A13" s="88"/>
      <c r="G13" s="222" t="s">
        <v>362</v>
      </c>
      <c r="H13" s="223" t="s">
        <v>363</v>
      </c>
      <c r="I13" s="223" t="s">
        <v>364</v>
      </c>
      <c r="J13" s="222" t="s">
        <v>365</v>
      </c>
      <c r="K13" s="222" t="s">
        <v>366</v>
      </c>
      <c r="L13" s="222" t="s">
        <v>367</v>
      </c>
      <c r="M13" s="223" t="s">
        <v>368</v>
      </c>
      <c r="N13" s="222" t="s">
        <v>369</v>
      </c>
      <c r="O13" s="222" t="s">
        <v>370</v>
      </c>
      <c r="P13" s="222" t="s">
        <v>371</v>
      </c>
      <c r="U13" s="89" t="s">
        <v>1</v>
      </c>
      <c r="V13" s="89" t="s">
        <v>1</v>
      </c>
      <c r="W13" s="89" t="s">
        <v>1</v>
      </c>
      <c r="Z13" s="89" t="s">
        <v>73</v>
      </c>
      <c r="AD13" s="25"/>
      <c r="AE13" s="186" t="s">
        <v>9</v>
      </c>
      <c r="AF13" s="186" t="s">
        <v>9</v>
      </c>
      <c r="AG13" s="186" t="s">
        <v>9</v>
      </c>
      <c r="AH13" s="25"/>
      <c r="AI13" s="89" t="s">
        <v>73</v>
      </c>
    </row>
    <row r="14" spans="1:39" x14ac:dyDescent="0.2">
      <c r="G14" s="351" t="s">
        <v>406</v>
      </c>
      <c r="H14" s="351" t="s">
        <v>406</v>
      </c>
      <c r="I14" s="226"/>
      <c r="J14" s="226"/>
      <c r="K14" s="226"/>
      <c r="L14" s="226"/>
      <c r="M14" s="226"/>
      <c r="N14" s="222" t="s">
        <v>5</v>
      </c>
      <c r="O14" s="222" t="s">
        <v>5</v>
      </c>
      <c r="P14" s="226"/>
      <c r="S14" s="89" t="s">
        <v>1</v>
      </c>
      <c r="T14" s="89" t="s">
        <v>1</v>
      </c>
      <c r="U14" s="89" t="s">
        <v>34</v>
      </c>
      <c r="V14" s="89" t="s">
        <v>30</v>
      </c>
      <c r="W14" s="89" t="s">
        <v>22</v>
      </c>
      <c r="X14" s="89" t="s">
        <v>1</v>
      </c>
      <c r="Y14" s="89"/>
      <c r="Z14" s="89" t="s">
        <v>1</v>
      </c>
      <c r="AC14" s="89" t="s">
        <v>9</v>
      </c>
      <c r="AD14" s="89" t="s">
        <v>9</v>
      </c>
      <c r="AE14" s="186" t="s">
        <v>34</v>
      </c>
      <c r="AF14" s="186" t="s">
        <v>30</v>
      </c>
      <c r="AG14" s="186" t="s">
        <v>22</v>
      </c>
      <c r="AH14" s="186" t="s">
        <v>9</v>
      </c>
      <c r="AI14" s="89" t="s">
        <v>1</v>
      </c>
      <c r="AK14" s="89"/>
    </row>
    <row r="15" spans="1:39" x14ac:dyDescent="0.2">
      <c r="C15" s="89" t="s">
        <v>23</v>
      </c>
      <c r="E15" s="89"/>
      <c r="F15" s="89"/>
      <c r="G15" s="222" t="s">
        <v>1</v>
      </c>
      <c r="H15" s="222" t="s">
        <v>75</v>
      </c>
      <c r="I15" s="222"/>
      <c r="J15" s="222"/>
      <c r="K15" s="372" t="s">
        <v>136</v>
      </c>
      <c r="L15" s="372"/>
      <c r="M15" s="373"/>
      <c r="N15" s="222" t="s">
        <v>1</v>
      </c>
      <c r="O15" s="222" t="s">
        <v>75</v>
      </c>
      <c r="P15" s="222"/>
      <c r="Q15" s="89"/>
      <c r="R15" s="89"/>
      <c r="S15" s="89" t="s">
        <v>2</v>
      </c>
      <c r="T15" s="89" t="s">
        <v>59</v>
      </c>
      <c r="U15" s="89" t="s">
        <v>25</v>
      </c>
      <c r="V15" s="89" t="s">
        <v>25</v>
      </c>
      <c r="W15" s="89" t="s">
        <v>18</v>
      </c>
      <c r="X15" s="89" t="s">
        <v>5</v>
      </c>
      <c r="Y15" s="89"/>
      <c r="Z15" s="89" t="s">
        <v>77</v>
      </c>
      <c r="AC15" s="90" t="s">
        <v>58</v>
      </c>
      <c r="AD15" s="89" t="s">
        <v>59</v>
      </c>
      <c r="AE15" s="186" t="s">
        <v>25</v>
      </c>
      <c r="AF15" s="186" t="s">
        <v>25</v>
      </c>
      <c r="AG15" s="186" t="s">
        <v>18</v>
      </c>
      <c r="AH15" s="186" t="s">
        <v>5</v>
      </c>
      <c r="AI15" s="89" t="s">
        <v>77</v>
      </c>
      <c r="AK15" s="89" t="s">
        <v>6</v>
      </c>
      <c r="AL15" s="89"/>
      <c r="AM15" s="89" t="s">
        <v>8</v>
      </c>
    </row>
    <row r="16" spans="1:39" x14ac:dyDescent="0.2">
      <c r="A16" s="89" t="s">
        <v>26</v>
      </c>
      <c r="C16" s="89" t="s">
        <v>24</v>
      </c>
      <c r="E16" s="89" t="s">
        <v>0</v>
      </c>
      <c r="F16" s="89"/>
      <c r="G16" s="222" t="s">
        <v>4</v>
      </c>
      <c r="H16" s="222" t="s">
        <v>4</v>
      </c>
      <c r="I16" s="222" t="s">
        <v>76</v>
      </c>
      <c r="J16" s="222" t="s">
        <v>76</v>
      </c>
      <c r="K16" s="222" t="s">
        <v>72</v>
      </c>
      <c r="L16" s="222" t="s">
        <v>74</v>
      </c>
      <c r="M16" s="222" t="s">
        <v>73</v>
      </c>
      <c r="N16" s="222" t="s">
        <v>4</v>
      </c>
      <c r="O16" s="222" t="s">
        <v>4</v>
      </c>
      <c r="P16" s="222" t="s">
        <v>76</v>
      </c>
      <c r="Q16" s="89"/>
      <c r="R16" s="89"/>
      <c r="S16" s="90" t="s">
        <v>3</v>
      </c>
      <c r="T16" s="89" t="s">
        <v>3</v>
      </c>
      <c r="U16" s="89" t="s">
        <v>3</v>
      </c>
      <c r="V16" s="89" t="s">
        <v>3</v>
      </c>
      <c r="W16" s="89" t="s">
        <v>3</v>
      </c>
      <c r="X16" s="89" t="s">
        <v>4</v>
      </c>
      <c r="Y16" s="89"/>
      <c r="Z16" s="89" t="s">
        <v>3</v>
      </c>
      <c r="AC16" s="90" t="s">
        <v>3</v>
      </c>
      <c r="AD16" s="89" t="s">
        <v>3</v>
      </c>
      <c r="AE16" s="186" t="s">
        <v>3</v>
      </c>
      <c r="AF16" s="186" t="s">
        <v>3</v>
      </c>
      <c r="AG16" s="186" t="s">
        <v>3</v>
      </c>
      <c r="AH16" s="186" t="s">
        <v>4</v>
      </c>
      <c r="AI16" s="89" t="s">
        <v>3</v>
      </c>
      <c r="AK16" s="89" t="s">
        <v>7</v>
      </c>
      <c r="AL16" s="89"/>
      <c r="AM16" s="89" t="s">
        <v>7</v>
      </c>
    </row>
    <row r="17" spans="1:39" x14ac:dyDescent="0.2">
      <c r="A17" s="89"/>
      <c r="C17" s="89"/>
      <c r="E17" s="89"/>
      <c r="F17" s="89"/>
      <c r="G17" s="222"/>
      <c r="H17" s="222"/>
      <c r="I17" s="222" t="s">
        <v>70</v>
      </c>
      <c r="J17" s="223" t="s">
        <v>71</v>
      </c>
      <c r="K17" s="224"/>
      <c r="L17" s="224"/>
      <c r="M17" s="225"/>
      <c r="N17" s="222" t="s">
        <v>70</v>
      </c>
      <c r="O17" s="222" t="s">
        <v>70</v>
      </c>
      <c r="P17" s="223" t="s">
        <v>71</v>
      </c>
      <c r="Q17" s="89"/>
      <c r="R17" s="89"/>
      <c r="S17" s="90"/>
      <c r="T17" s="187">
        <f>+INPUT!$M$6</f>
        <v>3.61E-2</v>
      </c>
      <c r="U17" s="188">
        <f>+INPUT!$M$14</f>
        <v>2.94</v>
      </c>
      <c r="V17" s="188">
        <f>+INPUT!$M$15</f>
        <v>1.89</v>
      </c>
      <c r="W17" s="188">
        <f>+INPUT!$M$16</f>
        <v>1.1399999999999999</v>
      </c>
      <c r="X17" s="89"/>
      <c r="Y17" s="89"/>
      <c r="Z17" s="187"/>
      <c r="AC17" s="90"/>
      <c r="AD17" s="187">
        <f>+INPUT!$M$27</f>
        <v>3.7089999999999998E-2</v>
      </c>
      <c r="AE17" s="188">
        <f>+INPUT!$M$35</f>
        <v>3.02</v>
      </c>
      <c r="AF17" s="188">
        <f>+INPUT!$M$36</f>
        <v>1.94</v>
      </c>
      <c r="AG17" s="188">
        <f>+INPUT!$M$37</f>
        <v>1.17</v>
      </c>
      <c r="AH17" s="186"/>
      <c r="AI17" s="187"/>
      <c r="AK17" s="89"/>
      <c r="AL17" s="89"/>
      <c r="AM17" s="89"/>
    </row>
    <row r="18" spans="1:39" x14ac:dyDescent="0.2">
      <c r="C18" s="89"/>
      <c r="E18" s="89"/>
      <c r="F18" s="89"/>
      <c r="G18" s="222"/>
      <c r="H18" s="222"/>
      <c r="I18" s="222" t="str">
        <f>("[ "&amp;H13&amp;" - "&amp;G13&amp;" ]")</f>
        <v>[ B - A ]</v>
      </c>
      <c r="J18" s="222" t="str">
        <f>("[ "&amp;I13&amp;" / "&amp;G13&amp;" ]")</f>
        <v>[ C / A ]</v>
      </c>
      <c r="K18" s="224"/>
      <c r="L18" s="224"/>
      <c r="M18" s="224"/>
      <c r="N18" s="222" t="str">
        <f>("["&amp;G13&amp;"+"&amp;$K$13&amp;"+"&amp;$L$13&amp;"+"&amp;$M$13&amp;"]")</f>
        <v>[A+E+F+G]</v>
      </c>
      <c r="O18" s="222" t="str">
        <f>("["&amp;H13&amp;"+"&amp;$K$13&amp;"+"&amp;$L$13&amp;"+"&amp;$M$13&amp;"]")</f>
        <v>[B+E+F+G]</v>
      </c>
      <c r="P18" s="222" t="str">
        <f>("[("&amp;O13&amp;" - "&amp;N13&amp;")/"&amp;N13&amp;"]")</f>
        <v>[(I - H)/H]</v>
      </c>
      <c r="Q18" s="89"/>
      <c r="R18" s="89"/>
      <c r="T18" s="89" t="s">
        <v>14</v>
      </c>
      <c r="U18" s="89" t="s">
        <v>61</v>
      </c>
      <c r="V18" s="89" t="s">
        <v>61</v>
      </c>
      <c r="W18" s="89" t="s">
        <v>61</v>
      </c>
      <c r="X18" s="89"/>
      <c r="Y18" s="89"/>
      <c r="Z18" s="89" t="s">
        <v>14</v>
      </c>
      <c r="AC18" s="90"/>
      <c r="AD18" s="89" t="s">
        <v>14</v>
      </c>
      <c r="AE18" s="89" t="s">
        <v>61</v>
      </c>
      <c r="AF18" s="89" t="s">
        <v>61</v>
      </c>
      <c r="AG18" s="89" t="s">
        <v>61</v>
      </c>
      <c r="AH18" s="186"/>
      <c r="AI18" s="89" t="s">
        <v>14</v>
      </c>
      <c r="AK18" s="89"/>
      <c r="AL18" s="89"/>
      <c r="AM18" s="89"/>
    </row>
    <row r="19" spans="1:39" x14ac:dyDescent="0.2">
      <c r="C19" s="89"/>
      <c r="E19" s="89"/>
      <c r="F19" s="89"/>
      <c r="G19" s="3"/>
      <c r="H19" s="3"/>
      <c r="I19" s="222"/>
      <c r="J19" s="222"/>
      <c r="K19" s="3"/>
      <c r="L19" s="3"/>
      <c r="M19" s="3"/>
      <c r="N19" s="222"/>
      <c r="O19" s="3"/>
      <c r="P19" s="222"/>
      <c r="Q19" s="89"/>
      <c r="R19" s="89"/>
      <c r="U19" s="89"/>
      <c r="V19" s="89"/>
      <c r="W19" s="89"/>
      <c r="X19" s="89"/>
      <c r="Y19" s="89"/>
      <c r="AC19" s="90"/>
      <c r="AD19" s="89"/>
      <c r="AE19" s="186"/>
      <c r="AF19" s="186"/>
      <c r="AG19" s="186"/>
      <c r="AH19" s="186"/>
      <c r="AK19" s="89"/>
      <c r="AL19" s="89"/>
      <c r="AM19" s="89"/>
    </row>
    <row r="20" spans="1:39" x14ac:dyDescent="0.2">
      <c r="A20" s="85">
        <v>50000</v>
      </c>
      <c r="B20" s="85"/>
      <c r="C20" s="189">
        <v>0.3</v>
      </c>
      <c r="E20" s="85">
        <f>C20*($A$20*730)</f>
        <v>10950000</v>
      </c>
      <c r="F20" s="85"/>
      <c r="G20" s="93">
        <f>+X20</f>
        <v>621045</v>
      </c>
      <c r="H20" s="93">
        <f>+AH20</f>
        <v>638135.5</v>
      </c>
      <c r="I20" s="93">
        <f>+H20-G20</f>
        <v>17090.5</v>
      </c>
      <c r="J20" s="94">
        <f>ROUND(+I20/G20,4)</f>
        <v>2.75E-2</v>
      </c>
      <c r="K20" s="93">
        <f>ROUND($T$10*$E20,2)</f>
        <v>0</v>
      </c>
      <c r="L20" s="93">
        <f>ROUND($T$11*$E20,2)</f>
        <v>0</v>
      </c>
      <c r="M20" s="93">
        <f>ROUND($T$12*$E20,2)</f>
        <v>0</v>
      </c>
      <c r="N20" s="93">
        <f>+G20+K20+L20+M20</f>
        <v>621045</v>
      </c>
      <c r="O20" s="93">
        <f>+H20+K20+L20+M20</f>
        <v>638135.5</v>
      </c>
      <c r="P20" s="94">
        <f>(O20-N20)/N20</f>
        <v>2.7518939851379529E-2</v>
      </c>
      <c r="Q20" s="85"/>
      <c r="S20" s="41">
        <f>+INPUT!$M$4</f>
        <v>750</v>
      </c>
      <c r="T20" s="25">
        <f>$T$17*E20</f>
        <v>395295</v>
      </c>
      <c r="U20" s="25">
        <f>$U$17*($A$20*0.5)</f>
        <v>73500</v>
      </c>
      <c r="V20" s="25">
        <f>$V$17*$A$20</f>
        <v>94500</v>
      </c>
      <c r="W20" s="25">
        <f>$W$17*$A$20</f>
        <v>56999.999999999993</v>
      </c>
      <c r="X20" s="25">
        <f>S20+T20+U20+V20+W20</f>
        <v>621045</v>
      </c>
      <c r="Y20" s="25"/>
      <c r="Z20" s="25"/>
      <c r="AC20" s="41">
        <f>INPUT!$M$25</f>
        <v>1000</v>
      </c>
      <c r="AD20" s="25">
        <f>$AD$17*E20</f>
        <v>406135.5</v>
      </c>
      <c r="AE20" s="25">
        <f>$AE$17*($A$20*0.5)</f>
        <v>75500</v>
      </c>
      <c r="AF20" s="25">
        <f>$A$20*$AF$17</f>
        <v>97000</v>
      </c>
      <c r="AG20" s="25">
        <f>$A$20*$AG$17</f>
        <v>58500</v>
      </c>
      <c r="AH20" s="25">
        <f>AC20+AD20+AE20+AF20+AG20</f>
        <v>638135.5</v>
      </c>
      <c r="AI20" s="25"/>
      <c r="AK20" s="41">
        <f>AH20-X20</f>
        <v>17090.5</v>
      </c>
      <c r="AM20" s="190">
        <f>AH20/X20-1</f>
        <v>2.7518939851379542E-2</v>
      </c>
    </row>
    <row r="21" spans="1:39" x14ac:dyDescent="0.2">
      <c r="C21" s="189">
        <v>0.5</v>
      </c>
      <c r="E21" s="85">
        <f>C21*($A$20*730)</f>
        <v>18250000</v>
      </c>
      <c r="F21" s="85"/>
      <c r="G21" s="93">
        <f t="shared" ref="G21:G38" si="0">+X21</f>
        <v>884575</v>
      </c>
      <c r="H21" s="93">
        <f>+AH21</f>
        <v>908892.5</v>
      </c>
      <c r="I21" s="93">
        <f>+H21-G21</f>
        <v>24317.5</v>
      </c>
      <c r="J21" s="94">
        <f>ROUND(+I21/G21,4)</f>
        <v>2.75E-2</v>
      </c>
      <c r="K21" s="93">
        <f>ROUND($T$10*$E21,2)</f>
        <v>0</v>
      </c>
      <c r="L21" s="93">
        <f>ROUND($T$11*$E21,2)</f>
        <v>0</v>
      </c>
      <c r="M21" s="93">
        <f>ROUND($T$12*$E21,2)</f>
        <v>0</v>
      </c>
      <c r="N21" s="93">
        <f>+G21+K21+L21+M21</f>
        <v>884575</v>
      </c>
      <c r="O21" s="93">
        <f>+H21+K21+L21+M21</f>
        <v>908892.5</v>
      </c>
      <c r="P21" s="94">
        <f>(O21-N21)/N21</f>
        <v>2.749060283186841E-2</v>
      </c>
      <c r="Q21" s="85"/>
      <c r="S21" s="41">
        <f>$S$20</f>
        <v>750</v>
      </c>
      <c r="T21" s="25">
        <f>$T$17*E21</f>
        <v>658825</v>
      </c>
      <c r="U21" s="25">
        <f>$U$17*($A$20*0.5)</f>
        <v>73500</v>
      </c>
      <c r="V21" s="25">
        <f>$V$17*$A$20</f>
        <v>94500</v>
      </c>
      <c r="W21" s="25">
        <f>$W$17*$A$20</f>
        <v>56999.999999999993</v>
      </c>
      <c r="X21" s="25">
        <f>S21+T21+U21+V21+W21</f>
        <v>884575</v>
      </c>
      <c r="Y21" s="25"/>
      <c r="Z21" s="25"/>
      <c r="AC21" s="41">
        <f>$AC$20</f>
        <v>1000</v>
      </c>
      <c r="AD21" s="25">
        <f>$AD$17*E21</f>
        <v>676892.5</v>
      </c>
      <c r="AE21" s="25">
        <f>$AE$17*($A$20*0.5)</f>
        <v>75500</v>
      </c>
      <c r="AF21" s="25">
        <f>$A$20*$AF$17</f>
        <v>97000</v>
      </c>
      <c r="AG21" s="25">
        <f>$A$20*$AG$17</f>
        <v>58500</v>
      </c>
      <c r="AH21" s="25">
        <f>AC21+AD21+AE21+AF21+AG21</f>
        <v>908892.5</v>
      </c>
      <c r="AI21" s="25"/>
      <c r="AK21" s="41">
        <f>AH21-X21</f>
        <v>24317.5</v>
      </c>
      <c r="AM21" s="190">
        <f>AH21/X21-1</f>
        <v>2.7490602831868438E-2</v>
      </c>
    </row>
    <row r="22" spans="1:39" x14ac:dyDescent="0.2">
      <c r="C22" s="189">
        <v>0.7</v>
      </c>
      <c r="E22" s="85">
        <f>C22*($A$20*730)</f>
        <v>25550000</v>
      </c>
      <c r="F22" s="85"/>
      <c r="G22" s="93">
        <f t="shared" si="0"/>
        <v>1148105</v>
      </c>
      <c r="H22" s="93">
        <f>+AH22</f>
        <v>1179649.5</v>
      </c>
      <c r="I22" s="93">
        <f>+H22-G22</f>
        <v>31544.5</v>
      </c>
      <c r="J22" s="94">
        <f>ROUND(+I22/G22,4)</f>
        <v>2.75E-2</v>
      </c>
      <c r="K22" s="93">
        <f>ROUND($T$10*$E22,2)</f>
        <v>0</v>
      </c>
      <c r="L22" s="93">
        <f>ROUND($T$11*$E22,2)</f>
        <v>0</v>
      </c>
      <c r="M22" s="93">
        <f>ROUND($T$12*$E22,2)</f>
        <v>0</v>
      </c>
      <c r="N22" s="93">
        <f>+G22+K22+L22+M22</f>
        <v>1148105</v>
      </c>
      <c r="O22" s="93">
        <f>+H22+K22+L22+M22</f>
        <v>1179649.5</v>
      </c>
      <c r="P22" s="94">
        <f>(O22-N22)/N22</f>
        <v>2.7475274474024588E-2</v>
      </c>
      <c r="Q22" s="85"/>
      <c r="S22" s="41">
        <f>$S$20</f>
        <v>750</v>
      </c>
      <c r="T22" s="25">
        <f>$T$17*E22</f>
        <v>922355</v>
      </c>
      <c r="U22" s="25">
        <f>$U$17*($A$20*0.5)</f>
        <v>73500</v>
      </c>
      <c r="V22" s="25">
        <f>$V$17*$A$20</f>
        <v>94500</v>
      </c>
      <c r="W22" s="25">
        <f>$W$17*$A$20</f>
        <v>56999.999999999993</v>
      </c>
      <c r="X22" s="25">
        <f>S22+T22+U22+V22+W22</f>
        <v>1148105</v>
      </c>
      <c r="Y22" s="25"/>
      <c r="Z22" s="25"/>
      <c r="AC22" s="41">
        <f>$AC$20</f>
        <v>1000</v>
      </c>
      <c r="AD22" s="25">
        <f>$AD$17*E22</f>
        <v>947649.5</v>
      </c>
      <c r="AE22" s="25">
        <f>$AE$17*($A$20*0.5)</f>
        <v>75500</v>
      </c>
      <c r="AF22" s="25">
        <f>$A$20*$AF$17</f>
        <v>97000</v>
      </c>
      <c r="AG22" s="25">
        <f>$A$20*$AG$17</f>
        <v>58500</v>
      </c>
      <c r="AH22" s="25">
        <f>AC22+AD22+AE22+AF22+AG22</f>
        <v>1179649.5</v>
      </c>
      <c r="AI22" s="25"/>
      <c r="AK22" s="41">
        <f>AH22-X22</f>
        <v>31544.5</v>
      </c>
      <c r="AM22" s="190">
        <f>AH22/X22-1</f>
        <v>2.7475274474024536E-2</v>
      </c>
    </row>
    <row r="23" spans="1:39" x14ac:dyDescent="0.2">
      <c r="C23" s="189"/>
      <c r="E23" s="85"/>
      <c r="F23" s="85"/>
      <c r="G23" s="93"/>
      <c r="H23" s="93"/>
      <c r="J23" s="363"/>
      <c r="K23" s="85"/>
      <c r="L23" s="85"/>
      <c r="M23" s="85"/>
      <c r="P23" s="94"/>
      <c r="Q23" s="85"/>
      <c r="S23" s="41"/>
      <c r="T23" s="25"/>
      <c r="U23" s="25"/>
      <c r="V23" s="25"/>
      <c r="W23" s="25"/>
      <c r="X23" s="25"/>
      <c r="Y23" s="25"/>
      <c r="AC23" s="41"/>
      <c r="AD23" s="25"/>
      <c r="AE23" s="25"/>
      <c r="AF23" s="25"/>
      <c r="AG23" s="25"/>
      <c r="AH23" s="25"/>
      <c r="AK23" s="87"/>
      <c r="AM23" s="87"/>
    </row>
    <row r="24" spans="1:39" x14ac:dyDescent="0.2">
      <c r="A24" s="85">
        <v>75000</v>
      </c>
      <c r="B24" s="85"/>
      <c r="C24" s="189">
        <v>0.3</v>
      </c>
      <c r="E24" s="85">
        <f>C24*($A$24*730)</f>
        <v>16425000</v>
      </c>
      <c r="F24" s="85"/>
      <c r="G24" s="93">
        <f t="shared" si="0"/>
        <v>931192.5</v>
      </c>
      <c r="H24" s="93">
        <f>+AH24</f>
        <v>956703.25</v>
      </c>
      <c r="I24" s="93">
        <f>+H24-G24</f>
        <v>25510.75</v>
      </c>
      <c r="J24" s="94">
        <f>ROUND(+I24/G24,4)</f>
        <v>2.7400000000000001E-2</v>
      </c>
      <c r="K24" s="93">
        <f>ROUND($T$10*$E24,2)</f>
        <v>0</v>
      </c>
      <c r="L24" s="93">
        <f>ROUND($T$11*$E24,2)</f>
        <v>0</v>
      </c>
      <c r="M24" s="93">
        <f>ROUND($T$12*$E24,2)</f>
        <v>0</v>
      </c>
      <c r="N24" s="93">
        <f>+G24+K24+L24+M24</f>
        <v>931192.5</v>
      </c>
      <c r="O24" s="93">
        <f>+H24+K24+L24+M24</f>
        <v>956703.25</v>
      </c>
      <c r="P24" s="94">
        <f>(O24-N24)/N24</f>
        <v>2.7395785511588635E-2</v>
      </c>
      <c r="Q24" s="85"/>
      <c r="S24" s="41">
        <f>$S$20</f>
        <v>750</v>
      </c>
      <c r="T24" s="25">
        <f>$T$17*E24</f>
        <v>592942.5</v>
      </c>
      <c r="U24" s="25">
        <f>$U$17*($A$24*0.5)</f>
        <v>110250</v>
      </c>
      <c r="V24" s="25">
        <f>$V$17*$A$24</f>
        <v>141750</v>
      </c>
      <c r="W24" s="25">
        <f>$W$17*$A$24</f>
        <v>85499.999999999985</v>
      </c>
      <c r="X24" s="25">
        <f>S24+T24+U24+V24+W24</f>
        <v>931192.5</v>
      </c>
      <c r="Y24" s="25"/>
      <c r="Z24" s="25"/>
      <c r="AC24" s="41">
        <f>$AC$20</f>
        <v>1000</v>
      </c>
      <c r="AD24" s="25">
        <f>$AD$17*E24</f>
        <v>609203.25</v>
      </c>
      <c r="AE24" s="25">
        <f>$AE$17*($A$24*0.5)</f>
        <v>113250</v>
      </c>
      <c r="AF24" s="25">
        <f>$A$24*$AF$17</f>
        <v>145500</v>
      </c>
      <c r="AG24" s="25">
        <f>$A$24*$AG$17</f>
        <v>87750</v>
      </c>
      <c r="AH24" s="25">
        <f>AC24+AD24+AE24+AF24+AG24</f>
        <v>956703.25</v>
      </c>
      <c r="AI24" s="25"/>
      <c r="AK24" s="41">
        <f>AH24-X24</f>
        <v>25510.75</v>
      </c>
      <c r="AL24" s="123"/>
      <c r="AM24" s="190">
        <f>AH24/X24-1</f>
        <v>2.7395785511588722E-2</v>
      </c>
    </row>
    <row r="25" spans="1:39" x14ac:dyDescent="0.2">
      <c r="C25" s="189">
        <v>0.5</v>
      </c>
      <c r="E25" s="85">
        <f>C25*($A$24*730)</f>
        <v>27375000</v>
      </c>
      <c r="F25" s="85"/>
      <c r="G25" s="93">
        <f t="shared" si="0"/>
        <v>1326487.5</v>
      </c>
      <c r="H25" s="93">
        <f>+AH25</f>
        <v>1362838.75</v>
      </c>
      <c r="I25" s="93">
        <f>+H25-G25</f>
        <v>36351.25</v>
      </c>
      <c r="J25" s="94">
        <f>ROUND(+I25/G25,4)</f>
        <v>2.7400000000000001E-2</v>
      </c>
      <c r="K25" s="93">
        <f>ROUND($T$10*$E25,2)</f>
        <v>0</v>
      </c>
      <c r="L25" s="93">
        <f>ROUND($T$11*$E25,2)</f>
        <v>0</v>
      </c>
      <c r="M25" s="93">
        <f>ROUND($T$12*$E25,2)</f>
        <v>0</v>
      </c>
      <c r="N25" s="93">
        <f>+G25+K25+L25+M25</f>
        <v>1326487.5</v>
      </c>
      <c r="O25" s="93">
        <f>+H25+K25+L25+M25</f>
        <v>1362838.75</v>
      </c>
      <c r="P25" s="94">
        <f>(O25-N25)/N25</f>
        <v>2.7404140634570622E-2</v>
      </c>
      <c r="Q25" s="85"/>
      <c r="S25" s="41">
        <f>$S$20</f>
        <v>750</v>
      </c>
      <c r="T25" s="25">
        <f>$T$17*E25</f>
        <v>988237.5</v>
      </c>
      <c r="U25" s="25">
        <f>$U$17*($A$24*0.5)</f>
        <v>110250</v>
      </c>
      <c r="V25" s="25">
        <f>$V$17*$A$24</f>
        <v>141750</v>
      </c>
      <c r="W25" s="25">
        <f>$W$17*$A$24</f>
        <v>85499.999999999985</v>
      </c>
      <c r="X25" s="25">
        <f>S25+T25+U25+V25+W25</f>
        <v>1326487.5</v>
      </c>
      <c r="Y25" s="25"/>
      <c r="Z25" s="25"/>
      <c r="AC25" s="41">
        <f>$AC$20</f>
        <v>1000</v>
      </c>
      <c r="AD25" s="25">
        <f>$AD$17*E25</f>
        <v>1015338.75</v>
      </c>
      <c r="AE25" s="25">
        <f>$AE$17*($A$24*0.5)</f>
        <v>113250</v>
      </c>
      <c r="AF25" s="25">
        <f>$A$24*$AF$17</f>
        <v>145500</v>
      </c>
      <c r="AG25" s="25">
        <f>$A$24*$AG$17</f>
        <v>87750</v>
      </c>
      <c r="AH25" s="25">
        <f>AC25+AD25+AE25+AF25+AG25</f>
        <v>1362838.75</v>
      </c>
      <c r="AI25" s="25"/>
      <c r="AK25" s="41">
        <f>AH25-X25</f>
        <v>36351.25</v>
      </c>
      <c r="AL25" s="123"/>
      <c r="AM25" s="190">
        <f>AH25/X25-1</f>
        <v>2.740414063457064E-2</v>
      </c>
    </row>
    <row r="26" spans="1:39" x14ac:dyDescent="0.2">
      <c r="C26" s="189">
        <v>0.7</v>
      </c>
      <c r="E26" s="85">
        <f>C26*($A$24*730)</f>
        <v>38325000</v>
      </c>
      <c r="F26" s="85"/>
      <c r="G26" s="93">
        <f t="shared" si="0"/>
        <v>1721782.5</v>
      </c>
      <c r="H26" s="93">
        <f>+AH26</f>
        <v>1768974.25</v>
      </c>
      <c r="I26" s="93">
        <f>+H26-G26</f>
        <v>47191.75</v>
      </c>
      <c r="J26" s="94">
        <f>ROUND(+I26/G26,4)</f>
        <v>2.7400000000000001E-2</v>
      </c>
      <c r="K26" s="93">
        <f>ROUND($T$10*$E26,2)</f>
        <v>0</v>
      </c>
      <c r="L26" s="93">
        <f>ROUND($T$11*$E26,2)</f>
        <v>0</v>
      </c>
      <c r="M26" s="93">
        <f>ROUND($T$12*$E26,2)</f>
        <v>0</v>
      </c>
      <c r="N26" s="93">
        <f>+G26+K26+L26+M26</f>
        <v>1721782.5</v>
      </c>
      <c r="O26" s="93">
        <f>+H26+K26+L26+M26</f>
        <v>1768974.25</v>
      </c>
      <c r="P26" s="94">
        <f>(O26-N26)/N26</f>
        <v>2.7408659339957283E-2</v>
      </c>
      <c r="Q26" s="85"/>
      <c r="S26" s="41">
        <f>$S$20</f>
        <v>750</v>
      </c>
      <c r="T26" s="25">
        <f>$T$17*E26</f>
        <v>1383532.5</v>
      </c>
      <c r="U26" s="25">
        <f>$U$17*($A$24*0.5)</f>
        <v>110250</v>
      </c>
      <c r="V26" s="25">
        <f>$V$17*$A$24</f>
        <v>141750</v>
      </c>
      <c r="W26" s="25">
        <f>$W$17*$A$24</f>
        <v>85499.999999999985</v>
      </c>
      <c r="X26" s="25">
        <f>S26+T26+U26+V26+W26</f>
        <v>1721782.5</v>
      </c>
      <c r="Y26" s="25"/>
      <c r="Z26" s="25"/>
      <c r="AC26" s="41">
        <f>$AC$20</f>
        <v>1000</v>
      </c>
      <c r="AD26" s="25">
        <f>$AD$17*E26</f>
        <v>1421474.25</v>
      </c>
      <c r="AE26" s="25">
        <f>$AE$17*($A$24*0.5)</f>
        <v>113250</v>
      </c>
      <c r="AF26" s="25">
        <f>$A$24*$AF$17</f>
        <v>145500</v>
      </c>
      <c r="AG26" s="25">
        <f>$A$24*$AG$17</f>
        <v>87750</v>
      </c>
      <c r="AH26" s="25">
        <f>AC26+AD26+AE26+AF26+AG26</f>
        <v>1768974.25</v>
      </c>
      <c r="AI26" s="25"/>
      <c r="AK26" s="41">
        <f>AH26-X26</f>
        <v>47191.75</v>
      </c>
      <c r="AM26" s="190">
        <f>AH26/X26-1</f>
        <v>2.7408659339957175E-2</v>
      </c>
    </row>
    <row r="27" spans="1:39" x14ac:dyDescent="0.2">
      <c r="C27" s="189"/>
      <c r="E27" s="85"/>
      <c r="F27" s="85"/>
      <c r="G27" s="93"/>
      <c r="H27" s="93"/>
      <c r="J27" s="363"/>
      <c r="K27" s="85"/>
      <c r="L27" s="85"/>
      <c r="M27" s="85"/>
      <c r="P27" s="94"/>
      <c r="Q27" s="85"/>
      <c r="S27" s="41"/>
      <c r="T27" s="25"/>
      <c r="U27" s="25"/>
      <c r="V27" s="25"/>
      <c r="W27" s="25"/>
      <c r="X27" s="25"/>
      <c r="Y27" s="25"/>
      <c r="AC27" s="41"/>
      <c r="AD27" s="25"/>
      <c r="AE27" s="25"/>
      <c r="AF27" s="25"/>
      <c r="AG27" s="25"/>
      <c r="AH27" s="25"/>
      <c r="AK27" s="87"/>
      <c r="AM27" s="87"/>
    </row>
    <row r="28" spans="1:39" x14ac:dyDescent="0.2">
      <c r="A28" s="85">
        <v>100000</v>
      </c>
      <c r="B28" s="85"/>
      <c r="C28" s="189">
        <v>0.3</v>
      </c>
      <c r="E28" s="85">
        <f>C28*($A$28*730)</f>
        <v>21900000</v>
      </c>
      <c r="F28" s="85"/>
      <c r="G28" s="93">
        <f t="shared" si="0"/>
        <v>1241340</v>
      </c>
      <c r="H28" s="93">
        <f>+AH28</f>
        <v>1275271</v>
      </c>
      <c r="I28" s="93">
        <f>+H28-G28</f>
        <v>33931</v>
      </c>
      <c r="J28" s="94">
        <f>ROUND(+I28/G28,4)</f>
        <v>2.7300000000000001E-2</v>
      </c>
      <c r="K28" s="93">
        <f>ROUND($T$10*$E28,2)</f>
        <v>0</v>
      </c>
      <c r="L28" s="93">
        <f>ROUND($T$11*$E28,2)</f>
        <v>0</v>
      </c>
      <c r="M28" s="93">
        <f>ROUND($T$12*$E28,2)</f>
        <v>0</v>
      </c>
      <c r="N28" s="93">
        <f>+G28+K28+L28+M28</f>
        <v>1241340</v>
      </c>
      <c r="O28" s="93">
        <f>+H28+K28+L28+M28</f>
        <v>1275271</v>
      </c>
      <c r="P28" s="94">
        <f>(O28-N28)/N28</f>
        <v>2.733417113764158E-2</v>
      </c>
      <c r="Q28" s="85"/>
      <c r="S28" s="41">
        <f>$S$20</f>
        <v>750</v>
      </c>
      <c r="T28" s="25">
        <f>$T$17*E28</f>
        <v>790590</v>
      </c>
      <c r="U28" s="25">
        <f>$U$17*($A$28*0.5)</f>
        <v>147000</v>
      </c>
      <c r="V28" s="25">
        <f>$V$17*$A$28</f>
        <v>189000</v>
      </c>
      <c r="W28" s="25">
        <f>$W$17*$A$28</f>
        <v>113999.99999999999</v>
      </c>
      <c r="X28" s="25">
        <f>S28+T28+U28+V28+W28</f>
        <v>1241340</v>
      </c>
      <c r="Y28" s="25"/>
      <c r="Z28" s="25"/>
      <c r="AC28" s="41">
        <f>$AC$20</f>
        <v>1000</v>
      </c>
      <c r="AD28" s="25">
        <f>$AD$17*E28</f>
        <v>812271</v>
      </c>
      <c r="AE28" s="25">
        <f>$AE$17*($A$28*0.5)</f>
        <v>151000</v>
      </c>
      <c r="AF28" s="25">
        <f>$A$28*$AF$17</f>
        <v>194000</v>
      </c>
      <c r="AG28" s="25">
        <f>$A$28*$AG$17</f>
        <v>117000</v>
      </c>
      <c r="AH28" s="25">
        <f>AC28+AD28+AE28+AF28+AG28</f>
        <v>1275271</v>
      </c>
      <c r="AI28" s="25"/>
      <c r="AK28" s="41">
        <f>AH28-X28</f>
        <v>33931</v>
      </c>
      <c r="AM28" s="190">
        <f>AH28/X28-1</f>
        <v>2.7334171137641583E-2</v>
      </c>
    </row>
    <row r="29" spans="1:39" x14ac:dyDescent="0.2">
      <c r="C29" s="189">
        <v>0.5</v>
      </c>
      <c r="E29" s="85">
        <f>C29*($A$28*730)</f>
        <v>36500000</v>
      </c>
      <c r="F29" s="85"/>
      <c r="G29" s="93">
        <f t="shared" si="0"/>
        <v>1768400</v>
      </c>
      <c r="H29" s="93">
        <f>+AH29</f>
        <v>1816785</v>
      </c>
      <c r="I29" s="93">
        <f>+H29-G29</f>
        <v>48385</v>
      </c>
      <c r="J29" s="94">
        <f>ROUND(+I29/G29,4)</f>
        <v>2.7400000000000001E-2</v>
      </c>
      <c r="K29" s="93">
        <f>ROUND($T$10*$E29,2)</f>
        <v>0</v>
      </c>
      <c r="L29" s="93">
        <f>ROUND($T$11*$E29,2)</f>
        <v>0</v>
      </c>
      <c r="M29" s="93">
        <f>ROUND($T$12*$E29,2)</f>
        <v>0</v>
      </c>
      <c r="N29" s="93">
        <f>+G29+K29+L29+M29</f>
        <v>1768400</v>
      </c>
      <c r="O29" s="93">
        <f>+H29+K29+L29+M29</f>
        <v>1816785</v>
      </c>
      <c r="P29" s="94">
        <f>(O29-N29)/N29</f>
        <v>2.7360891201085726E-2</v>
      </c>
      <c r="Q29" s="85"/>
      <c r="S29" s="41">
        <f>$S$20</f>
        <v>750</v>
      </c>
      <c r="T29" s="25">
        <f>$T$17*E29</f>
        <v>1317650</v>
      </c>
      <c r="U29" s="25">
        <f>$U$17*($A$28*0.5)</f>
        <v>147000</v>
      </c>
      <c r="V29" s="25">
        <f>$V$17*$A$28</f>
        <v>189000</v>
      </c>
      <c r="W29" s="25">
        <f>$W$17*$A$28</f>
        <v>113999.99999999999</v>
      </c>
      <c r="X29" s="25">
        <f>S29+T29+U29+V29+W29</f>
        <v>1768400</v>
      </c>
      <c r="Y29" s="25"/>
      <c r="Z29" s="25"/>
      <c r="AC29" s="41">
        <f>$AC$20</f>
        <v>1000</v>
      </c>
      <c r="AD29" s="25">
        <f>$AD$17*E29</f>
        <v>1353785</v>
      </c>
      <c r="AE29" s="25">
        <f>$AE$17*($A$28*0.5)</f>
        <v>151000</v>
      </c>
      <c r="AF29" s="25">
        <f>$A$28*$AF$17</f>
        <v>194000</v>
      </c>
      <c r="AG29" s="25">
        <f>$A$28*$AG$17</f>
        <v>117000</v>
      </c>
      <c r="AH29" s="25">
        <f>AC29+AD29+AE29+AF29+AG29</f>
        <v>1816785</v>
      </c>
      <c r="AI29" s="25"/>
      <c r="AK29" s="41">
        <f>AH29-X29</f>
        <v>48385</v>
      </c>
      <c r="AM29" s="190">
        <f>AH29/X29-1</f>
        <v>2.7360891201085646E-2</v>
      </c>
    </row>
    <row r="30" spans="1:39" x14ac:dyDescent="0.2">
      <c r="C30" s="189">
        <v>0.7</v>
      </c>
      <c r="E30" s="85">
        <f>C30*($A$28*730)</f>
        <v>51100000</v>
      </c>
      <c r="F30" s="85"/>
      <c r="G30" s="93">
        <f t="shared" si="0"/>
        <v>2295460</v>
      </c>
      <c r="H30" s="93">
        <f>+AH30</f>
        <v>2358299</v>
      </c>
      <c r="I30" s="93">
        <f>+H30-G30</f>
        <v>62839</v>
      </c>
      <c r="J30" s="94">
        <f>ROUND(+I30/G30,4)</f>
        <v>2.7400000000000001E-2</v>
      </c>
      <c r="K30" s="93">
        <f>ROUND($T$10*$E30,2)</f>
        <v>0</v>
      </c>
      <c r="L30" s="93">
        <f>ROUND($T$11*$E30,2)</f>
        <v>0</v>
      </c>
      <c r="M30" s="93">
        <f>ROUND($T$12*$E30,2)</f>
        <v>0</v>
      </c>
      <c r="N30" s="93">
        <f>+G30+K30+L30+M30</f>
        <v>2295460</v>
      </c>
      <c r="O30" s="93">
        <f>+H30+K30+L30+M30</f>
        <v>2358299</v>
      </c>
      <c r="P30" s="94">
        <f>(O30-N30)/N30</f>
        <v>2.7375340890279074E-2</v>
      </c>
      <c r="Q30" s="85"/>
      <c r="S30" s="41">
        <f>$S$20</f>
        <v>750</v>
      </c>
      <c r="T30" s="25">
        <f>$T$17*E30</f>
        <v>1844710</v>
      </c>
      <c r="U30" s="25">
        <f>$U$17*($A$28*0.5)</f>
        <v>147000</v>
      </c>
      <c r="V30" s="25">
        <f>$V$17*$A$28</f>
        <v>189000</v>
      </c>
      <c r="W30" s="25">
        <f>$W$17*$A$28</f>
        <v>113999.99999999999</v>
      </c>
      <c r="X30" s="25">
        <f>S30+T30+U30+V30+W30</f>
        <v>2295460</v>
      </c>
      <c r="Y30" s="25"/>
      <c r="Z30" s="25"/>
      <c r="AC30" s="41">
        <f>$AC$20</f>
        <v>1000</v>
      </c>
      <c r="AD30" s="25">
        <f>$AD$17*E30</f>
        <v>1895299</v>
      </c>
      <c r="AE30" s="25">
        <f>$AE$17*($A$28*0.5)</f>
        <v>151000</v>
      </c>
      <c r="AF30" s="25">
        <f>$A$28*$AF$17</f>
        <v>194000</v>
      </c>
      <c r="AG30" s="25">
        <f>$A$28*$AG$17</f>
        <v>117000</v>
      </c>
      <c r="AH30" s="25">
        <f>AC30+AD30+AE30+AF30+AG30</f>
        <v>2358299</v>
      </c>
      <c r="AI30" s="25"/>
      <c r="AK30" s="41">
        <f>AH30-X30</f>
        <v>62839</v>
      </c>
      <c r="AM30" s="190">
        <f>AH30/X30-1</f>
        <v>2.7375340890279043E-2</v>
      </c>
    </row>
    <row r="31" spans="1:39" x14ac:dyDescent="0.2">
      <c r="C31" s="189"/>
      <c r="E31" s="85"/>
      <c r="F31" s="85"/>
      <c r="G31" s="93"/>
      <c r="H31" s="93"/>
      <c r="J31" s="363"/>
      <c r="K31" s="85"/>
      <c r="L31" s="85"/>
      <c r="M31" s="85"/>
      <c r="P31" s="94"/>
      <c r="Q31" s="85"/>
      <c r="S31" s="41"/>
      <c r="T31" s="25"/>
      <c r="U31" s="25"/>
      <c r="V31" s="25"/>
      <c r="W31" s="25"/>
      <c r="X31" s="25"/>
      <c r="Y31" s="25"/>
      <c r="AC31" s="41"/>
      <c r="AD31" s="25"/>
      <c r="AE31" s="25"/>
      <c r="AF31" s="25"/>
      <c r="AG31" s="25"/>
      <c r="AH31" s="25"/>
      <c r="AK31" s="87"/>
      <c r="AM31" s="87"/>
    </row>
    <row r="32" spans="1:39" x14ac:dyDescent="0.2">
      <c r="A32" s="85">
        <v>150000</v>
      </c>
      <c r="B32" s="85"/>
      <c r="C32" s="189">
        <v>0.3</v>
      </c>
      <c r="E32" s="85">
        <f>C32*($A$32*730)</f>
        <v>32850000</v>
      </c>
      <c r="F32" s="85"/>
      <c r="G32" s="93">
        <f t="shared" si="0"/>
        <v>1861635</v>
      </c>
      <c r="H32" s="93">
        <f>+AH32</f>
        <v>1912406.5</v>
      </c>
      <c r="I32" s="93">
        <f>+H32-G32</f>
        <v>50771.5</v>
      </c>
      <c r="J32" s="94">
        <f>ROUND(+I32/G32,4)</f>
        <v>2.7300000000000001E-2</v>
      </c>
      <c r="K32" s="93">
        <f>ROUND($T$10*$E32,2)</f>
        <v>0</v>
      </c>
      <c r="L32" s="93">
        <f>ROUND($T$11*$E32,2)</f>
        <v>0</v>
      </c>
      <c r="M32" s="93">
        <f>ROUND($T$12*$E32,2)</f>
        <v>0</v>
      </c>
      <c r="N32" s="93">
        <f>+G32+K32+L32+M32</f>
        <v>1861635</v>
      </c>
      <c r="O32" s="93">
        <f>+H32+K32+L32+M32</f>
        <v>1912406.5</v>
      </c>
      <c r="P32" s="94">
        <f>(O32-N32)/N32</f>
        <v>2.7272531941008843E-2</v>
      </c>
      <c r="Q32" s="85"/>
      <c r="S32" s="41">
        <f>$S$20</f>
        <v>750</v>
      </c>
      <c r="T32" s="25">
        <f>$T$17*E32</f>
        <v>1185885</v>
      </c>
      <c r="U32" s="25">
        <f>$U$17*($A$32*0.5)</f>
        <v>220500</v>
      </c>
      <c r="V32" s="25">
        <f>$V$17*$A$32</f>
        <v>283500</v>
      </c>
      <c r="W32" s="25">
        <f>$W$17*$A$32</f>
        <v>170999.99999999997</v>
      </c>
      <c r="X32" s="25">
        <f>S32+T32+U32+V32+W32</f>
        <v>1861635</v>
      </c>
      <c r="Y32" s="25"/>
      <c r="Z32" s="25"/>
      <c r="AC32" s="41">
        <f>$AC$20</f>
        <v>1000</v>
      </c>
      <c r="AD32" s="25">
        <f>$AD$17*E32</f>
        <v>1218406.5</v>
      </c>
      <c r="AE32" s="25">
        <f>$AE$17*($A$32*0.5)</f>
        <v>226500</v>
      </c>
      <c r="AF32" s="25">
        <f>$A$32*$AF$17</f>
        <v>291000</v>
      </c>
      <c r="AG32" s="25">
        <f>$A$32*$AG$17</f>
        <v>175500</v>
      </c>
      <c r="AH32" s="25">
        <f>AC32+AD32+AE32+AF32+AG32</f>
        <v>1912406.5</v>
      </c>
      <c r="AI32" s="25"/>
      <c r="AK32" s="41">
        <f>AH32-X32</f>
        <v>50771.5</v>
      </c>
      <c r="AM32" s="190">
        <f>AH32/X32-1</f>
        <v>2.727253194100876E-2</v>
      </c>
    </row>
    <row r="33" spans="1:39" x14ac:dyDescent="0.2">
      <c r="C33" s="189">
        <v>0.5</v>
      </c>
      <c r="E33" s="85">
        <f>C33*($A$32*730)</f>
        <v>54750000</v>
      </c>
      <c r="F33" s="85"/>
      <c r="G33" s="93">
        <f t="shared" si="0"/>
        <v>2652225</v>
      </c>
      <c r="H33" s="93">
        <f>+AH33</f>
        <v>2724677.5</v>
      </c>
      <c r="I33" s="93">
        <f>+H33-G33</f>
        <v>72452.5</v>
      </c>
      <c r="J33" s="94">
        <f>ROUND(+I33/G33,4)</f>
        <v>2.7300000000000001E-2</v>
      </c>
      <c r="K33" s="93">
        <f>ROUND($T$10*$E33,2)</f>
        <v>0</v>
      </c>
      <c r="L33" s="93">
        <f>ROUND($T$11*$E33,2)</f>
        <v>0</v>
      </c>
      <c r="M33" s="93">
        <f>ROUND($T$12*$E33,2)</f>
        <v>0</v>
      </c>
      <c r="N33" s="93">
        <f>+G33+K33+L33+M33</f>
        <v>2652225</v>
      </c>
      <c r="O33" s="93">
        <f>+H33+K33+L33+M33</f>
        <v>2724677.5</v>
      </c>
      <c r="P33" s="94">
        <f>(O33-N33)/N33</f>
        <v>2.7317629537463826E-2</v>
      </c>
      <c r="Q33" s="85"/>
      <c r="S33" s="41">
        <f>$S$20</f>
        <v>750</v>
      </c>
      <c r="T33" s="25">
        <f>$T$17*E33</f>
        <v>1976475</v>
      </c>
      <c r="U33" s="25">
        <f>$U$17*($A$32*0.5)</f>
        <v>220500</v>
      </c>
      <c r="V33" s="25">
        <f>$V$17*$A$32</f>
        <v>283500</v>
      </c>
      <c r="W33" s="25">
        <f>$W$17*$A$32</f>
        <v>170999.99999999997</v>
      </c>
      <c r="X33" s="25">
        <f>S33+T33+U33+V33+W33</f>
        <v>2652225</v>
      </c>
      <c r="Y33" s="25"/>
      <c r="Z33" s="25"/>
      <c r="AC33" s="41">
        <f>$AC$20</f>
        <v>1000</v>
      </c>
      <c r="AD33" s="25">
        <f>$AD$17*E33</f>
        <v>2030677.5</v>
      </c>
      <c r="AE33" s="25">
        <f>$AE$17*($A$32*0.5)</f>
        <v>226500</v>
      </c>
      <c r="AF33" s="25">
        <f>$A$32*$AF$17</f>
        <v>291000</v>
      </c>
      <c r="AG33" s="25">
        <f>$A$32*$AG$17</f>
        <v>175500</v>
      </c>
      <c r="AH33" s="25">
        <f>AC33+AD33+AE33+AF33+AG33</f>
        <v>2724677.5</v>
      </c>
      <c r="AI33" s="25"/>
      <c r="AK33" s="41">
        <f>AH33-X33</f>
        <v>72452.5</v>
      </c>
      <c r="AM33" s="190">
        <f>AH33/X33-1</f>
        <v>2.731762953746375E-2</v>
      </c>
    </row>
    <row r="34" spans="1:39" x14ac:dyDescent="0.2">
      <c r="C34" s="189">
        <v>0.7</v>
      </c>
      <c r="E34" s="85">
        <f>C34*($A$32*730)</f>
        <v>76650000</v>
      </c>
      <c r="F34" s="85"/>
      <c r="G34" s="93">
        <f t="shared" si="0"/>
        <v>3442815</v>
      </c>
      <c r="H34" s="93">
        <f>+AH34</f>
        <v>3536948.5</v>
      </c>
      <c r="I34" s="93">
        <f>+H34-G34</f>
        <v>94133.5</v>
      </c>
      <c r="J34" s="94">
        <f>ROUND(+I34/G34,4)</f>
        <v>2.7300000000000001E-2</v>
      </c>
      <c r="K34" s="93">
        <f>ROUND($T$10*$E34,2)</f>
        <v>0</v>
      </c>
      <c r="L34" s="93">
        <f>ROUND($T$11*$E34,2)</f>
        <v>0</v>
      </c>
      <c r="M34" s="93">
        <f>ROUND($T$12*$E34,2)</f>
        <v>0</v>
      </c>
      <c r="N34" s="93">
        <f>+G34+K34+L34+M34</f>
        <v>3442815</v>
      </c>
      <c r="O34" s="93">
        <f>+H34+K34+L34+M34</f>
        <v>3536948.5</v>
      </c>
      <c r="P34" s="94">
        <f>(O34-N34)/N34</f>
        <v>2.734201518234352E-2</v>
      </c>
      <c r="Q34" s="85"/>
      <c r="S34" s="41">
        <f>$S$20</f>
        <v>750</v>
      </c>
      <c r="T34" s="25">
        <f>$T$17*E34</f>
        <v>2767065</v>
      </c>
      <c r="U34" s="25">
        <f>$U$17*($A$32*0.5)</f>
        <v>220500</v>
      </c>
      <c r="V34" s="25">
        <f>$V$17*$A$32</f>
        <v>283500</v>
      </c>
      <c r="W34" s="25">
        <f>$W$17*$A$32</f>
        <v>170999.99999999997</v>
      </c>
      <c r="X34" s="25">
        <f>S34+T34+U34+V34+W34</f>
        <v>3442815</v>
      </c>
      <c r="Y34" s="25"/>
      <c r="Z34" s="25"/>
      <c r="AC34" s="41">
        <f>$AC$20</f>
        <v>1000</v>
      </c>
      <c r="AD34" s="25">
        <f>$AD$17*E34</f>
        <v>2842948.5</v>
      </c>
      <c r="AE34" s="25">
        <f>$AE$17*($A$32*0.5)</f>
        <v>226500</v>
      </c>
      <c r="AF34" s="25">
        <f>$A$32*$AF$17</f>
        <v>291000</v>
      </c>
      <c r="AG34" s="25">
        <f>$A$32*$AG$17</f>
        <v>175500</v>
      </c>
      <c r="AH34" s="25">
        <f>AC34+AD34+AE34+AF34+AG34</f>
        <v>3536948.5</v>
      </c>
      <c r="AI34" s="25"/>
      <c r="AK34" s="41">
        <f>AH34-X34</f>
        <v>94133.5</v>
      </c>
      <c r="AM34" s="190">
        <f>AH34/X34-1</f>
        <v>2.7342015182343582E-2</v>
      </c>
    </row>
    <row r="35" spans="1:39" x14ac:dyDescent="0.2">
      <c r="C35" s="189"/>
      <c r="E35" s="85"/>
      <c r="F35" s="85"/>
      <c r="G35" s="93"/>
      <c r="H35" s="93"/>
      <c r="J35" s="363"/>
      <c r="K35" s="85"/>
      <c r="L35" s="85"/>
      <c r="M35" s="85"/>
      <c r="P35" s="94"/>
      <c r="Q35" s="85"/>
      <c r="S35" s="41"/>
      <c r="T35" s="25"/>
      <c r="U35" s="25"/>
      <c r="V35" s="25"/>
      <c r="W35" s="25"/>
      <c r="X35" s="25"/>
      <c r="Y35" s="25"/>
      <c r="AC35" s="41"/>
      <c r="AD35" s="25"/>
      <c r="AE35" s="25"/>
      <c r="AF35" s="25"/>
      <c r="AG35" s="25"/>
      <c r="AH35" s="25"/>
      <c r="AK35" s="87"/>
      <c r="AM35" s="87"/>
    </row>
    <row r="36" spans="1:39" x14ac:dyDescent="0.2">
      <c r="A36" s="85">
        <v>200000</v>
      </c>
      <c r="B36" s="85"/>
      <c r="C36" s="189">
        <v>0.3</v>
      </c>
      <c r="E36" s="85">
        <f>C36*($A$36*730)</f>
        <v>43800000</v>
      </c>
      <c r="F36" s="85"/>
      <c r="G36" s="93">
        <f t="shared" si="0"/>
        <v>2481930</v>
      </c>
      <c r="H36" s="93">
        <f>+AH36</f>
        <v>2549542</v>
      </c>
      <c r="I36" s="93">
        <f>+H36-G36</f>
        <v>67612</v>
      </c>
      <c r="J36" s="94">
        <f>ROUND(+I36/G36,4)</f>
        <v>2.7199999999999998E-2</v>
      </c>
      <c r="K36" s="93">
        <f>ROUND($T$10*$E36,2)</f>
        <v>0</v>
      </c>
      <c r="L36" s="93">
        <f>ROUND($T$11*$E36,2)</f>
        <v>0</v>
      </c>
      <c r="M36" s="93">
        <f>ROUND($T$12*$E36,2)</f>
        <v>0</v>
      </c>
      <c r="N36" s="93">
        <f>+G36+K36+L36+M36</f>
        <v>2481930</v>
      </c>
      <c r="O36" s="93">
        <f>+H36+K36+L36+M36</f>
        <v>2549542</v>
      </c>
      <c r="P36" s="94">
        <f>(O36-N36)/N36</f>
        <v>2.7241703029497206E-2</v>
      </c>
      <c r="Q36" s="85"/>
      <c r="S36" s="41">
        <f>$S$20</f>
        <v>750</v>
      </c>
      <c r="T36" s="25">
        <f>$T$17*E36</f>
        <v>1581180</v>
      </c>
      <c r="U36" s="25">
        <f>$U$17*($A$36*0.5)</f>
        <v>294000</v>
      </c>
      <c r="V36" s="25">
        <f>$V$17*$A$36</f>
        <v>378000</v>
      </c>
      <c r="W36" s="25">
        <f>$W$17*$A$36</f>
        <v>227999.99999999997</v>
      </c>
      <c r="X36" s="25">
        <f>S36+T36+U36+V36+W36</f>
        <v>2481930</v>
      </c>
      <c r="Y36" s="25"/>
      <c r="Z36" s="25"/>
      <c r="AC36" s="41">
        <f>$AC$20</f>
        <v>1000</v>
      </c>
      <c r="AD36" s="25">
        <f>$AD$17*E36</f>
        <v>1624542</v>
      </c>
      <c r="AE36" s="25">
        <f>$AE$17*($A$36*0.5)</f>
        <v>302000</v>
      </c>
      <c r="AF36" s="25">
        <f>$A$36*$AF$17</f>
        <v>388000</v>
      </c>
      <c r="AG36" s="25">
        <f>$A$36*$AG$17</f>
        <v>234000</v>
      </c>
      <c r="AH36" s="25">
        <f>AC36+AD36+AE36+AF36+AG36</f>
        <v>2549542</v>
      </c>
      <c r="AI36" s="25"/>
      <c r="AK36" s="41">
        <f>AH36-X36</f>
        <v>67612</v>
      </c>
      <c r="AM36" s="190">
        <f>AH36/X36-1</f>
        <v>2.7241703029497133E-2</v>
      </c>
    </row>
    <row r="37" spans="1:39" x14ac:dyDescent="0.2">
      <c r="C37" s="189">
        <v>0.5</v>
      </c>
      <c r="E37" s="85">
        <f>C37*($A$36*730)</f>
        <v>73000000</v>
      </c>
      <c r="F37" s="85"/>
      <c r="G37" s="93">
        <f t="shared" si="0"/>
        <v>3536050</v>
      </c>
      <c r="H37" s="93">
        <f>+AH37</f>
        <v>3632570</v>
      </c>
      <c r="I37" s="93">
        <f>+H37-G37</f>
        <v>96520</v>
      </c>
      <c r="J37" s="94">
        <f>ROUND(+I37/G37,4)</f>
        <v>2.7300000000000001E-2</v>
      </c>
      <c r="K37" s="93">
        <f>ROUND($T$10*$E37,2)</f>
        <v>0</v>
      </c>
      <c r="L37" s="93">
        <f>ROUND($T$11*$E37,2)</f>
        <v>0</v>
      </c>
      <c r="M37" s="93">
        <f>ROUND($T$12*$E37,2)</f>
        <v>0</v>
      </c>
      <c r="N37" s="93">
        <f>+G37+K37+L37+M37</f>
        <v>3536050</v>
      </c>
      <c r="O37" s="93">
        <f>+H37+K37+L37+M37</f>
        <v>3632570</v>
      </c>
      <c r="P37" s="94">
        <f>(O37-N37)/N37</f>
        <v>2.7295994117730236E-2</v>
      </c>
      <c r="Q37" s="85"/>
      <c r="S37" s="41">
        <f>$S$20</f>
        <v>750</v>
      </c>
      <c r="T37" s="25">
        <f>$T$17*E37</f>
        <v>2635300</v>
      </c>
      <c r="U37" s="25">
        <f>$U$17*($A$36*0.5)</f>
        <v>294000</v>
      </c>
      <c r="V37" s="25">
        <f>$V$17*$A$36</f>
        <v>378000</v>
      </c>
      <c r="W37" s="25">
        <f>$W$17*$A$36</f>
        <v>227999.99999999997</v>
      </c>
      <c r="X37" s="25">
        <f>S37+T37+U37+V37+W37</f>
        <v>3536050</v>
      </c>
      <c r="Y37" s="25"/>
      <c r="Z37" s="25"/>
      <c r="AC37" s="41">
        <f>$AC$20</f>
        <v>1000</v>
      </c>
      <c r="AD37" s="25">
        <f>$AD$17*E37</f>
        <v>2707570</v>
      </c>
      <c r="AE37" s="25">
        <f>$AE$17*($A$36*0.5)</f>
        <v>302000</v>
      </c>
      <c r="AF37" s="25">
        <f>$A$36*$AF$17</f>
        <v>388000</v>
      </c>
      <c r="AG37" s="25">
        <f>$A$36*$AG$17</f>
        <v>234000</v>
      </c>
      <c r="AH37" s="25">
        <f>AC37+AD37+AE37+AF37+AG37</f>
        <v>3632570</v>
      </c>
      <c r="AI37" s="25"/>
      <c r="AK37" s="41">
        <f>AH37-X37</f>
        <v>96520</v>
      </c>
      <c r="AM37" s="190">
        <f>AH37/X37-1</f>
        <v>2.7295994117730205E-2</v>
      </c>
    </row>
    <row r="38" spans="1:39" x14ac:dyDescent="0.2">
      <c r="C38" s="189">
        <v>0.7</v>
      </c>
      <c r="E38" s="85">
        <f>C38*($A$36*730)</f>
        <v>102200000</v>
      </c>
      <c r="F38" s="85"/>
      <c r="G38" s="93">
        <f t="shared" si="0"/>
        <v>4590170</v>
      </c>
      <c r="H38" s="93">
        <f>+AH38</f>
        <v>4715598</v>
      </c>
      <c r="I38" s="93">
        <f>+H38-G38</f>
        <v>125428</v>
      </c>
      <c r="J38" s="94">
        <f>ROUND(+I38/G38,4)</f>
        <v>2.7300000000000001E-2</v>
      </c>
      <c r="K38" s="93">
        <f>ROUND($T$10*$E38,2)</f>
        <v>0</v>
      </c>
      <c r="L38" s="93">
        <f>ROUND($T$11*$E38,2)</f>
        <v>0</v>
      </c>
      <c r="M38" s="93">
        <f>ROUND($T$12*$E38,2)</f>
        <v>0</v>
      </c>
      <c r="N38" s="93">
        <f>+G38+K38+L38+M38</f>
        <v>4590170</v>
      </c>
      <c r="O38" s="93">
        <f>+H38+K38+L38+M38</f>
        <v>4715598</v>
      </c>
      <c r="P38" s="94">
        <f>(O38-N38)/N38</f>
        <v>2.7325349605788019E-2</v>
      </c>
      <c r="Q38" s="85"/>
      <c r="S38" s="41">
        <f>$S$20</f>
        <v>750</v>
      </c>
      <c r="T38" s="25">
        <f>$T$17*E38</f>
        <v>3689420</v>
      </c>
      <c r="U38" s="25">
        <f>$U$17*($A$36*0.5)</f>
        <v>294000</v>
      </c>
      <c r="V38" s="25">
        <f>$V$17*$A$36</f>
        <v>378000</v>
      </c>
      <c r="W38" s="25">
        <f>$W$17*$A$36</f>
        <v>227999.99999999997</v>
      </c>
      <c r="X38" s="25">
        <f>S38+T38+U38+V38+W38</f>
        <v>4590170</v>
      </c>
      <c r="Y38" s="25"/>
      <c r="Z38" s="25"/>
      <c r="AC38" s="41">
        <f>$AC$20</f>
        <v>1000</v>
      </c>
      <c r="AD38" s="25">
        <f>$AD$17*E38</f>
        <v>3790598</v>
      </c>
      <c r="AE38" s="25">
        <f>$AE$17*($A$36*0.5)</f>
        <v>302000</v>
      </c>
      <c r="AF38" s="25">
        <f>$A$36*$AF$17</f>
        <v>388000</v>
      </c>
      <c r="AG38" s="25">
        <f>$A$36*$AG$17</f>
        <v>234000</v>
      </c>
      <c r="AH38" s="25">
        <f>AC38+AD38+AE38+AF38+AG38</f>
        <v>4715598</v>
      </c>
      <c r="AI38" s="25"/>
      <c r="AK38" s="41">
        <f>AH38-X38</f>
        <v>125428</v>
      </c>
      <c r="AM38" s="190">
        <f>AH38/X38-1</f>
        <v>2.7325349605787919E-2</v>
      </c>
    </row>
    <row r="39" spans="1:39" x14ac:dyDescent="0.2">
      <c r="T39" s="25"/>
      <c r="U39" s="25"/>
      <c r="V39" s="25"/>
      <c r="W39" s="25"/>
      <c r="X39" s="25"/>
      <c r="Y39" s="25"/>
      <c r="AE39" s="25"/>
    </row>
    <row r="40" spans="1:39" x14ac:dyDescent="0.2">
      <c r="A40" s="17" t="s">
        <v>373</v>
      </c>
      <c r="T40" s="25"/>
      <c r="U40" s="25"/>
      <c r="V40" s="25"/>
      <c r="W40" s="25"/>
      <c r="X40" s="25"/>
      <c r="Y40" s="25"/>
    </row>
    <row r="41" spans="1:39" x14ac:dyDescent="0.2">
      <c r="A41" s="228" t="str">
        <f>("Average usage = "&amp;INPUT!M19&amp;" kWh per month")</f>
        <v>Average usage = 0 kWh per month</v>
      </c>
      <c r="G41" s="91" t="s">
        <v>377</v>
      </c>
      <c r="T41" s="25"/>
      <c r="U41" s="25"/>
      <c r="V41" s="25"/>
      <c r="W41" s="25"/>
      <c r="X41" s="25"/>
      <c r="Y41" s="25"/>
    </row>
    <row r="42" spans="1:39" x14ac:dyDescent="0.2">
      <c r="A42" s="230" t="s">
        <v>375</v>
      </c>
      <c r="C42" s="189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AE42" s="191"/>
      <c r="AF42" s="25"/>
      <c r="AG42" s="25"/>
      <c r="AH42" s="25"/>
      <c r="AI42" s="25"/>
      <c r="AJ42" s="25"/>
      <c r="AK42" s="87"/>
    </row>
    <row r="43" spans="1:39" x14ac:dyDescent="0.2">
      <c r="A43" s="229" t="s">
        <v>378</v>
      </c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T43" s="192"/>
      <c r="AE43" s="193"/>
    </row>
    <row r="44" spans="1:39" x14ac:dyDescent="0.2">
      <c r="A44" s="233" t="s">
        <v>137</v>
      </c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AA44" s="89"/>
      <c r="AB44" s="86"/>
      <c r="AC44" s="89"/>
      <c r="AE44" s="89"/>
    </row>
    <row r="45" spans="1:39" x14ac:dyDescent="0.2">
      <c r="A45" s="233" t="str">
        <f>+'Rate Case Constants'!C26</f>
        <v>Calculations may vary from other schedules due to rounding</v>
      </c>
      <c r="AE45" s="193"/>
    </row>
    <row r="46" spans="1:39" x14ac:dyDescent="0.2">
      <c r="A46" s="185" t="s">
        <v>138</v>
      </c>
      <c r="S46" s="89"/>
      <c r="W46" s="89"/>
      <c r="AA46" s="89"/>
      <c r="AE46" s="193"/>
    </row>
    <row r="47" spans="1:39" x14ac:dyDescent="0.2"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AA47" s="89"/>
      <c r="AB47" s="86"/>
      <c r="AC47" s="89"/>
      <c r="AE47" s="89"/>
    </row>
    <row r="48" spans="1:39" x14ac:dyDescent="0.2"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AA48" s="89"/>
      <c r="AB48" s="86"/>
      <c r="AC48" s="89"/>
      <c r="AE48" s="89"/>
    </row>
    <row r="49" spans="5:31" x14ac:dyDescent="0.2"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T49" s="89"/>
      <c r="U49" s="89"/>
      <c r="V49" s="89"/>
      <c r="W49" s="89"/>
      <c r="X49" s="89"/>
      <c r="Y49" s="89"/>
    </row>
    <row r="50" spans="5:31" x14ac:dyDescent="0.2"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S50" s="41"/>
      <c r="T50" s="192"/>
      <c r="W50" s="192"/>
      <c r="X50" s="192"/>
      <c r="Y50" s="192"/>
      <c r="AA50" s="87"/>
      <c r="AC50" s="87"/>
      <c r="AE50" s="193"/>
    </row>
    <row r="51" spans="5:31" x14ac:dyDescent="0.2"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S51" s="41"/>
      <c r="T51" s="192"/>
      <c r="W51" s="192"/>
      <c r="X51" s="192"/>
      <c r="Y51" s="192"/>
      <c r="AA51" s="87"/>
      <c r="AC51" s="87"/>
      <c r="AE51" s="193"/>
    </row>
    <row r="52" spans="5:31" x14ac:dyDescent="0.2"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S52" s="41"/>
      <c r="T52" s="192"/>
      <c r="W52" s="192"/>
      <c r="X52" s="192"/>
      <c r="Y52" s="192"/>
      <c r="AA52" s="87"/>
      <c r="AC52" s="87"/>
      <c r="AE52" s="193"/>
    </row>
    <row r="53" spans="5:31" x14ac:dyDescent="0.2"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S53" s="41"/>
      <c r="T53" s="192"/>
      <c r="W53" s="192"/>
      <c r="X53" s="192"/>
      <c r="Y53" s="192"/>
      <c r="AA53" s="87"/>
      <c r="AB53" s="123"/>
      <c r="AC53" s="87"/>
      <c r="AD53" s="123"/>
      <c r="AE53" s="193"/>
    </row>
    <row r="54" spans="5:31" ht="6.75" customHeight="1" x14ac:dyDescent="0.2"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S54" s="41"/>
      <c r="T54" s="192"/>
      <c r="W54" s="192"/>
      <c r="X54" s="192"/>
      <c r="Y54" s="192"/>
      <c r="AA54" s="87"/>
      <c r="AB54" s="123"/>
      <c r="AC54" s="87"/>
      <c r="AD54" s="123"/>
      <c r="AE54" s="193"/>
    </row>
    <row r="55" spans="5:31" x14ac:dyDescent="0.2"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S55" s="41"/>
      <c r="T55" s="192"/>
      <c r="W55" s="192"/>
      <c r="X55" s="192"/>
      <c r="Y55" s="192"/>
      <c r="AA55" s="87"/>
      <c r="AC55" s="87"/>
      <c r="AE55" s="193"/>
    </row>
    <row r="56" spans="5:31" x14ac:dyDescent="0.2"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S56" s="41"/>
      <c r="T56" s="192"/>
      <c r="W56" s="192"/>
      <c r="X56" s="192"/>
      <c r="Y56" s="192"/>
      <c r="AA56" s="87"/>
      <c r="AC56" s="87"/>
      <c r="AE56" s="193"/>
    </row>
    <row r="57" spans="5:31" x14ac:dyDescent="0.2"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S57" s="41"/>
      <c r="T57" s="192"/>
      <c r="W57" s="192"/>
      <c r="X57" s="192"/>
      <c r="Y57" s="192"/>
      <c r="AA57" s="87"/>
      <c r="AC57" s="87"/>
      <c r="AE57" s="193"/>
    </row>
    <row r="58" spans="5:31" x14ac:dyDescent="0.2"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S58" s="41"/>
      <c r="T58" s="192"/>
      <c r="W58" s="192"/>
      <c r="X58" s="192"/>
      <c r="Y58" s="192"/>
      <c r="AA58" s="87"/>
      <c r="AC58" s="87"/>
      <c r="AE58" s="193"/>
    </row>
    <row r="59" spans="5:31" x14ac:dyDescent="0.2"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S59" s="41"/>
      <c r="T59" s="192"/>
      <c r="W59" s="192"/>
      <c r="X59" s="192"/>
      <c r="Y59" s="192"/>
      <c r="AA59" s="87"/>
      <c r="AC59" s="87"/>
      <c r="AE59" s="193"/>
    </row>
    <row r="60" spans="5:31" ht="6.75" customHeight="1" x14ac:dyDescent="0.2"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S60" s="41"/>
      <c r="T60" s="192"/>
      <c r="W60" s="192"/>
      <c r="X60" s="192"/>
      <c r="Y60" s="192"/>
      <c r="AA60" s="87"/>
      <c r="AC60" s="87"/>
      <c r="AE60" s="193"/>
    </row>
    <row r="61" spans="5:31" x14ac:dyDescent="0.2"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S61" s="41"/>
      <c r="T61" s="192"/>
      <c r="W61" s="192"/>
      <c r="X61" s="192"/>
      <c r="Y61" s="192"/>
      <c r="AA61" s="87"/>
      <c r="AC61" s="87"/>
      <c r="AE61" s="193"/>
    </row>
    <row r="62" spans="5:31" x14ac:dyDescent="0.2"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S62" s="41"/>
      <c r="T62" s="192"/>
      <c r="W62" s="192"/>
      <c r="X62" s="192"/>
      <c r="Y62" s="192"/>
      <c r="AA62" s="87"/>
      <c r="AC62" s="87"/>
      <c r="AE62" s="193"/>
    </row>
    <row r="63" spans="5:31" x14ac:dyDescent="0.2"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S63" s="41"/>
      <c r="T63" s="192"/>
      <c r="W63" s="192"/>
      <c r="X63" s="192"/>
      <c r="Y63" s="192"/>
      <c r="AA63" s="87"/>
      <c r="AC63" s="87"/>
      <c r="AE63" s="193"/>
    </row>
    <row r="64" spans="5:31" x14ac:dyDescent="0.2"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S64" s="41"/>
      <c r="T64" s="192"/>
      <c r="W64" s="192"/>
      <c r="X64" s="192"/>
      <c r="Y64" s="192"/>
      <c r="AA64" s="87"/>
      <c r="AC64" s="87"/>
      <c r="AE64" s="193"/>
    </row>
    <row r="65" spans="5:35" x14ac:dyDescent="0.2"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T65" s="89"/>
      <c r="U65" s="89"/>
      <c r="V65" s="89"/>
      <c r="W65" s="89"/>
      <c r="X65" s="89"/>
      <c r="Y65" s="89"/>
    </row>
    <row r="66" spans="5:35" x14ac:dyDescent="0.2"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T66" s="89"/>
      <c r="U66" s="89"/>
      <c r="V66" s="89"/>
      <c r="W66" s="89"/>
      <c r="X66" s="89"/>
      <c r="Y66" s="89"/>
    </row>
    <row r="67" spans="5:35" x14ac:dyDescent="0.2"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AE67" s="193"/>
    </row>
    <row r="68" spans="5:35" x14ac:dyDescent="0.2">
      <c r="AH68" s="194"/>
      <c r="AI68" s="194"/>
    </row>
  </sheetData>
  <mergeCells count="5">
    <mergeCell ref="A1:P1"/>
    <mergeCell ref="A2:P2"/>
    <mergeCell ref="A3:P3"/>
    <mergeCell ref="A4:P4"/>
    <mergeCell ref="K15:M15"/>
  </mergeCells>
  <printOptions horizontalCentered="1"/>
  <pageMargins left="0.25" right="0.25" top="1" bottom="0.5" header="1" footer="0.5"/>
  <pageSetup scale="8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8"/>
  <sheetViews>
    <sheetView view="pageBreakPreview" topLeftCell="A6" zoomScaleNormal="100" zoomScaleSheetLayoutView="100" workbookViewId="0">
      <selection activeCell="R33" sqref="R33"/>
    </sheetView>
  </sheetViews>
  <sheetFormatPr defaultRowHeight="12.75" x14ac:dyDescent="0.2"/>
  <cols>
    <col min="1" max="1" width="10.42578125" style="17" customWidth="1"/>
    <col min="2" max="2" width="3.7109375" style="17" customWidth="1"/>
    <col min="3" max="3" width="6.5703125" style="17" customWidth="1"/>
    <col min="4" max="4" width="1.85546875" style="17" customWidth="1"/>
    <col min="5" max="5" width="12" style="17" bestFit="1" customWidth="1"/>
    <col min="6" max="6" width="2" style="17" customWidth="1"/>
    <col min="7" max="7" width="15.140625" style="17" bestFit="1" customWidth="1"/>
    <col min="8" max="8" width="14.7109375" style="17" customWidth="1"/>
    <col min="9" max="9" width="12.28515625" style="17" bestFit="1" customWidth="1"/>
    <col min="10" max="10" width="9.85546875" style="17" customWidth="1"/>
    <col min="11" max="12" width="13.42578125" style="17" bestFit="1" customWidth="1"/>
    <col min="13" max="13" width="15.140625" style="17" customWidth="1"/>
    <col min="14" max="15" width="15.140625" style="17" bestFit="1" customWidth="1"/>
    <col min="16" max="18" width="9.85546875" style="17" customWidth="1"/>
    <col min="19" max="19" width="10" style="17" customWidth="1"/>
    <col min="20" max="20" width="14.42578125" style="17" bestFit="1" customWidth="1"/>
    <col min="21" max="21" width="12.7109375" style="17" bestFit="1" customWidth="1"/>
    <col min="22" max="22" width="13.85546875" style="17" bestFit="1" customWidth="1"/>
    <col min="23" max="23" width="12.7109375" style="17" bestFit="1" customWidth="1"/>
    <col min="24" max="24" width="14.42578125" style="17" bestFit="1" customWidth="1"/>
    <col min="25" max="25" width="3.140625" style="17" customWidth="1"/>
    <col min="26" max="26" width="14.42578125" style="17" customWidth="1"/>
    <col min="27" max="27" width="3.85546875" style="17" customWidth="1"/>
    <col min="28" max="28" width="2.42578125" style="17" customWidth="1"/>
    <col min="29" max="30" width="14.42578125" style="17" bestFit="1" customWidth="1"/>
    <col min="31" max="31" width="12.7109375" style="17" bestFit="1" customWidth="1"/>
    <col min="32" max="32" width="13.85546875" style="17" bestFit="1" customWidth="1"/>
    <col min="33" max="33" width="12.7109375" style="17" bestFit="1" customWidth="1"/>
    <col min="34" max="35" width="14.42578125" style="17" bestFit="1" customWidth="1"/>
    <col min="36" max="36" width="11.140625" style="17" customWidth="1"/>
    <col min="37" max="37" width="11.42578125" style="17" bestFit="1" customWidth="1"/>
    <col min="38" max="38" width="10.7109375" style="17" customWidth="1"/>
    <col min="39" max="39" width="11.42578125" style="17" bestFit="1" customWidth="1"/>
    <col min="40" max="16384" width="9.140625" style="17"/>
  </cols>
  <sheetData>
    <row r="1" spans="1:39" x14ac:dyDescent="0.2">
      <c r="A1" s="374" t="str">
        <f>+'Rate Case Constants'!C9</f>
        <v>LOUISVILLE GAS AND ELECTRIC COMPANY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</row>
    <row r="2" spans="1:39" x14ac:dyDescent="0.2">
      <c r="A2" s="375" t="str">
        <f>+'Rate Case Constants'!A2:C2</f>
        <v>Rate Case Constants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</row>
    <row r="3" spans="1:39" x14ac:dyDescent="0.2">
      <c r="A3" s="376" t="str">
        <f>+'Rate Case Constants'!C24</f>
        <v>Typical Electric Bill Comparison under Present &amp; Proposed Rates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</row>
    <row r="4" spans="1:39" x14ac:dyDescent="0.2">
      <c r="A4" s="375" t="str">
        <f>+'Rate Case Constants'!A3:C3</f>
        <v>For the 2014 Rate Case Filing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</row>
    <row r="7" spans="1:39" x14ac:dyDescent="0.2">
      <c r="A7" s="17" t="str">
        <f>+'Rate Case Constants'!C33</f>
        <v>DATA: ____BASE PERIOD__X___FORECASTED PERIOD</v>
      </c>
      <c r="P7" s="207" t="str">
        <f>+'Rate Case Constants'!C25</f>
        <v>SCHEDULE N (Electric)</v>
      </c>
    </row>
    <row r="8" spans="1:39" x14ac:dyDescent="0.2">
      <c r="A8" s="17" t="str">
        <f>+'Rate Case Constants'!C29</f>
        <v>TYPE OF FILING: __X__ ORIGINAL  _____ UPDATED  _____ REVISED</v>
      </c>
      <c r="L8" s="99"/>
      <c r="P8" s="99" t="str">
        <f>+'Rate Case Constants'!L20</f>
        <v>PAGE 13 of 22</v>
      </c>
    </row>
    <row r="9" spans="1:39" x14ac:dyDescent="0.2">
      <c r="A9" s="17" t="str">
        <f>+'Rate Case Constants'!C34</f>
        <v>WORKPAPER REFERENCE NO(S):________</v>
      </c>
      <c r="P9" s="99" t="str">
        <f>+'Rate Case Constants'!C37</f>
        <v>WITNESS:   R. M. CONROY</v>
      </c>
    </row>
    <row r="10" spans="1:39" x14ac:dyDescent="0.2">
      <c r="A10" s="204"/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S10" s="86" t="s">
        <v>72</v>
      </c>
      <c r="T10" s="17">
        <f>+INPUT!G58</f>
        <v>0</v>
      </c>
    </row>
    <row r="11" spans="1:39" x14ac:dyDescent="0.2">
      <c r="A11" s="88" t="s">
        <v>412</v>
      </c>
      <c r="S11" s="86" t="s">
        <v>74</v>
      </c>
      <c r="T11" s="17">
        <f>+INPUT!H58</f>
        <v>0</v>
      </c>
      <c r="V11" s="185" t="s">
        <v>138</v>
      </c>
      <c r="AD11" s="185" t="s">
        <v>138</v>
      </c>
    </row>
    <row r="12" spans="1:39" x14ac:dyDescent="0.2"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 t="s">
        <v>73</v>
      </c>
      <c r="T12" s="17">
        <f>+INPUT!I58</f>
        <v>0</v>
      </c>
    </row>
    <row r="13" spans="1:39" x14ac:dyDescent="0.2">
      <c r="A13" s="88"/>
      <c r="G13" s="222" t="s">
        <v>362</v>
      </c>
      <c r="H13" s="223" t="s">
        <v>363</v>
      </c>
      <c r="I13" s="223" t="s">
        <v>364</v>
      </c>
      <c r="J13" s="222" t="s">
        <v>365</v>
      </c>
      <c r="K13" s="222" t="s">
        <v>366</v>
      </c>
      <c r="L13" s="222" t="s">
        <v>367</v>
      </c>
      <c r="M13" s="223" t="s">
        <v>368</v>
      </c>
      <c r="N13" s="222" t="s">
        <v>369</v>
      </c>
      <c r="O13" s="222" t="s">
        <v>370</v>
      </c>
      <c r="P13" s="222" t="s">
        <v>371</v>
      </c>
      <c r="U13" s="89" t="s">
        <v>1</v>
      </c>
      <c r="V13" s="89" t="s">
        <v>1</v>
      </c>
      <c r="W13" s="89" t="s">
        <v>1</v>
      </c>
      <c r="Z13" s="89" t="s">
        <v>73</v>
      </c>
      <c r="AD13" s="25"/>
      <c r="AE13" s="186" t="s">
        <v>9</v>
      </c>
      <c r="AF13" s="186" t="s">
        <v>9</v>
      </c>
      <c r="AG13" s="186" t="s">
        <v>9</v>
      </c>
      <c r="AH13" s="25"/>
      <c r="AI13" s="89" t="s">
        <v>73</v>
      </c>
    </row>
    <row r="14" spans="1:39" x14ac:dyDescent="0.2">
      <c r="G14" s="351" t="s">
        <v>406</v>
      </c>
      <c r="H14" s="351" t="s">
        <v>406</v>
      </c>
      <c r="I14" s="226"/>
      <c r="J14" s="226"/>
      <c r="K14" s="226"/>
      <c r="L14" s="226"/>
      <c r="M14" s="226"/>
      <c r="N14" s="222" t="s">
        <v>5</v>
      </c>
      <c r="O14" s="222" t="s">
        <v>5</v>
      </c>
      <c r="P14" s="226"/>
      <c r="S14" s="89" t="s">
        <v>1</v>
      </c>
      <c r="T14" s="89" t="s">
        <v>1</v>
      </c>
      <c r="U14" s="89" t="s">
        <v>34</v>
      </c>
      <c r="V14" s="89" t="s">
        <v>30</v>
      </c>
      <c r="W14" s="89" t="s">
        <v>22</v>
      </c>
      <c r="X14" s="89" t="s">
        <v>1</v>
      </c>
      <c r="Y14" s="89"/>
      <c r="Z14" s="89" t="s">
        <v>1</v>
      </c>
      <c r="AC14" s="89" t="s">
        <v>9</v>
      </c>
      <c r="AD14" s="89" t="s">
        <v>9</v>
      </c>
      <c r="AE14" s="186" t="s">
        <v>34</v>
      </c>
      <c r="AF14" s="186" t="s">
        <v>30</v>
      </c>
      <c r="AG14" s="186" t="s">
        <v>22</v>
      </c>
      <c r="AH14" s="186" t="s">
        <v>9</v>
      </c>
      <c r="AI14" s="89" t="s">
        <v>1</v>
      </c>
      <c r="AK14" s="89"/>
    </row>
    <row r="15" spans="1:39" x14ac:dyDescent="0.2">
      <c r="C15" s="89" t="s">
        <v>23</v>
      </c>
      <c r="E15" s="89"/>
      <c r="F15" s="89"/>
      <c r="G15" s="222" t="s">
        <v>1</v>
      </c>
      <c r="H15" s="222" t="s">
        <v>75</v>
      </c>
      <c r="I15" s="222"/>
      <c r="J15" s="222"/>
      <c r="K15" s="372" t="s">
        <v>136</v>
      </c>
      <c r="L15" s="372"/>
      <c r="M15" s="373"/>
      <c r="N15" s="222" t="s">
        <v>1</v>
      </c>
      <c r="O15" s="222" t="s">
        <v>75</v>
      </c>
      <c r="P15" s="222"/>
      <c r="Q15" s="89"/>
      <c r="R15" s="89"/>
      <c r="S15" s="89" t="s">
        <v>2</v>
      </c>
      <c r="T15" s="89" t="s">
        <v>59</v>
      </c>
      <c r="U15" s="89" t="s">
        <v>25</v>
      </c>
      <c r="V15" s="89" t="s">
        <v>25</v>
      </c>
      <c r="W15" s="89" t="s">
        <v>18</v>
      </c>
      <c r="X15" s="89" t="s">
        <v>5</v>
      </c>
      <c r="Y15" s="89"/>
      <c r="Z15" s="89" t="s">
        <v>77</v>
      </c>
      <c r="AC15" s="90" t="s">
        <v>58</v>
      </c>
      <c r="AD15" s="89" t="s">
        <v>59</v>
      </c>
      <c r="AE15" s="186" t="s">
        <v>25</v>
      </c>
      <c r="AF15" s="186" t="s">
        <v>25</v>
      </c>
      <c r="AG15" s="186" t="s">
        <v>18</v>
      </c>
      <c r="AH15" s="186" t="s">
        <v>5</v>
      </c>
      <c r="AI15" s="89" t="s">
        <v>77</v>
      </c>
      <c r="AK15" s="89" t="s">
        <v>6</v>
      </c>
      <c r="AL15" s="89"/>
      <c r="AM15" s="89" t="s">
        <v>8</v>
      </c>
    </row>
    <row r="16" spans="1:39" x14ac:dyDescent="0.2">
      <c r="A16" s="89" t="s">
        <v>26</v>
      </c>
      <c r="C16" s="89" t="s">
        <v>24</v>
      </c>
      <c r="E16" s="89" t="s">
        <v>0</v>
      </c>
      <c r="F16" s="89"/>
      <c r="G16" s="222" t="s">
        <v>4</v>
      </c>
      <c r="H16" s="222" t="s">
        <v>4</v>
      </c>
      <c r="I16" s="222" t="s">
        <v>76</v>
      </c>
      <c r="J16" s="222" t="s">
        <v>76</v>
      </c>
      <c r="K16" s="222" t="s">
        <v>72</v>
      </c>
      <c r="L16" s="222" t="s">
        <v>74</v>
      </c>
      <c r="M16" s="222" t="s">
        <v>73</v>
      </c>
      <c r="N16" s="222" t="s">
        <v>4</v>
      </c>
      <c r="O16" s="222" t="s">
        <v>4</v>
      </c>
      <c r="P16" s="222" t="s">
        <v>76</v>
      </c>
      <c r="Q16" s="89"/>
      <c r="R16" s="89"/>
      <c r="S16" s="90" t="s">
        <v>3</v>
      </c>
      <c r="T16" s="89" t="s">
        <v>3</v>
      </c>
      <c r="U16" s="89" t="s">
        <v>3</v>
      </c>
      <c r="V16" s="89" t="s">
        <v>3</v>
      </c>
      <c r="W16" s="89" t="s">
        <v>3</v>
      </c>
      <c r="X16" s="89" t="s">
        <v>4</v>
      </c>
      <c r="Y16" s="89"/>
      <c r="Z16" s="89" t="s">
        <v>3</v>
      </c>
      <c r="AC16" s="90" t="s">
        <v>3</v>
      </c>
      <c r="AD16" s="89" t="s">
        <v>3</v>
      </c>
      <c r="AE16" s="186" t="s">
        <v>3</v>
      </c>
      <c r="AF16" s="186" t="s">
        <v>3</v>
      </c>
      <c r="AG16" s="186" t="s">
        <v>3</v>
      </c>
      <c r="AH16" s="186" t="s">
        <v>4</v>
      </c>
      <c r="AI16" s="89" t="s">
        <v>3</v>
      </c>
      <c r="AK16" s="89" t="s">
        <v>7</v>
      </c>
      <c r="AL16" s="89"/>
      <c r="AM16" s="89" t="s">
        <v>7</v>
      </c>
    </row>
    <row r="17" spans="1:39" x14ac:dyDescent="0.2">
      <c r="A17" s="89"/>
      <c r="C17" s="89"/>
      <c r="E17" s="89"/>
      <c r="F17" s="89"/>
      <c r="G17" s="222"/>
      <c r="H17" s="222"/>
      <c r="I17" s="222" t="s">
        <v>70</v>
      </c>
      <c r="J17" s="223" t="s">
        <v>71</v>
      </c>
      <c r="K17" s="224"/>
      <c r="L17" s="224"/>
      <c r="M17" s="225"/>
      <c r="N17" s="222" t="s">
        <v>70</v>
      </c>
      <c r="O17" s="222" t="s">
        <v>70</v>
      </c>
      <c r="P17" s="223" t="s">
        <v>71</v>
      </c>
      <c r="Q17" s="89"/>
      <c r="R17" s="89"/>
      <c r="S17" s="90"/>
      <c r="T17" s="187">
        <f>+INPUT!$N$6</f>
        <v>3.61E-2</v>
      </c>
      <c r="U17" s="188">
        <f>+INPUT!$N$14</f>
        <v>1.89</v>
      </c>
      <c r="V17" s="188">
        <f>+INPUT!$N$15</f>
        <v>1.89</v>
      </c>
      <c r="W17" s="188">
        <f>+INPUT!$N$16</f>
        <v>2.94</v>
      </c>
      <c r="X17" s="89"/>
      <c r="Y17" s="89"/>
      <c r="Z17" s="187"/>
      <c r="AC17" s="90"/>
      <c r="AD17" s="187">
        <f>+INPUT!$N$27</f>
        <v>3.7089999999999998E-2</v>
      </c>
      <c r="AE17" s="188">
        <f>+INPUT!$N$35</f>
        <v>3.02</v>
      </c>
      <c r="AF17" s="188">
        <f>+INPUT!$N$36</f>
        <v>1.94</v>
      </c>
      <c r="AG17" s="188">
        <f>+INPUT!$N$37</f>
        <v>1.94</v>
      </c>
      <c r="AH17" s="186"/>
      <c r="AI17" s="187"/>
      <c r="AK17" s="89"/>
      <c r="AL17" s="89"/>
      <c r="AM17" s="89"/>
    </row>
    <row r="18" spans="1:39" x14ac:dyDescent="0.2">
      <c r="C18" s="89"/>
      <c r="E18" s="89"/>
      <c r="F18" s="89"/>
      <c r="G18" s="222"/>
      <c r="H18" s="222"/>
      <c r="I18" s="222" t="str">
        <f>("[ "&amp;H13&amp;" - "&amp;G13&amp;" ]")</f>
        <v>[ B - A ]</v>
      </c>
      <c r="J18" s="222" t="str">
        <f>("[ "&amp;I13&amp;" / "&amp;G13&amp;" ]")</f>
        <v>[ C / A ]</v>
      </c>
      <c r="K18" s="224"/>
      <c r="L18" s="224"/>
      <c r="M18" s="224"/>
      <c r="N18" s="222" t="str">
        <f>("["&amp;G13&amp;"+"&amp;$K$13&amp;"+"&amp;$L$13&amp;"+"&amp;$M$13&amp;"]")</f>
        <v>[A+E+F+G]</v>
      </c>
      <c r="O18" s="222" t="str">
        <f>("["&amp;H13&amp;"+"&amp;$K$13&amp;"+"&amp;$L$13&amp;"+"&amp;$M$13&amp;"]")</f>
        <v>[B+E+F+G]</v>
      </c>
      <c r="P18" s="222" t="str">
        <f>("[("&amp;O13&amp;" - "&amp;N13&amp;")/"&amp;N13&amp;"]")</f>
        <v>[(I - H)/H]</v>
      </c>
      <c r="Q18" s="89"/>
      <c r="R18" s="89"/>
      <c r="T18" s="89" t="s">
        <v>14</v>
      </c>
      <c r="U18" s="89" t="s">
        <v>61</v>
      </c>
      <c r="V18" s="89" t="s">
        <v>61</v>
      </c>
      <c r="W18" s="89" t="s">
        <v>61</v>
      </c>
      <c r="X18" s="89"/>
      <c r="Y18" s="89"/>
      <c r="Z18" s="89" t="s">
        <v>14</v>
      </c>
      <c r="AC18" s="90"/>
      <c r="AD18" s="89" t="s">
        <v>14</v>
      </c>
      <c r="AE18" s="89" t="s">
        <v>61</v>
      </c>
      <c r="AF18" s="89" t="s">
        <v>61</v>
      </c>
      <c r="AG18" s="89" t="s">
        <v>61</v>
      </c>
      <c r="AH18" s="186"/>
      <c r="AI18" s="89" t="s">
        <v>14</v>
      </c>
      <c r="AK18" s="89"/>
      <c r="AL18" s="89"/>
      <c r="AM18" s="89"/>
    </row>
    <row r="19" spans="1:39" x14ac:dyDescent="0.2">
      <c r="C19" s="89"/>
      <c r="E19" s="89"/>
      <c r="F19" s="89"/>
      <c r="G19" s="3"/>
      <c r="H19" s="3"/>
      <c r="I19" s="222"/>
      <c r="J19" s="222"/>
      <c r="K19" s="3"/>
      <c r="L19" s="3"/>
      <c r="M19" s="3"/>
      <c r="N19" s="222"/>
      <c r="O19" s="3"/>
      <c r="P19" s="222"/>
      <c r="Q19" s="89"/>
      <c r="R19" s="89"/>
      <c r="U19" s="89"/>
      <c r="V19" s="89"/>
      <c r="W19" s="89"/>
      <c r="X19" s="89"/>
      <c r="Y19" s="89"/>
      <c r="AC19" s="90"/>
      <c r="AD19" s="89"/>
      <c r="AE19" s="186"/>
      <c r="AF19" s="186"/>
      <c r="AG19" s="186"/>
      <c r="AH19" s="186"/>
      <c r="AK19" s="89"/>
      <c r="AL19" s="89"/>
      <c r="AM19" s="89"/>
    </row>
    <row r="20" spans="1:39" x14ac:dyDescent="0.2">
      <c r="A20" s="85">
        <v>50000</v>
      </c>
      <c r="B20" s="85"/>
      <c r="C20" s="189">
        <v>0.3</v>
      </c>
      <c r="E20" s="85">
        <f>C20*($A$20*730)</f>
        <v>10950000</v>
      </c>
      <c r="F20" s="85"/>
      <c r="G20" s="93">
        <f>+X20</f>
        <v>684795</v>
      </c>
      <c r="H20" s="93">
        <f>+AH20</f>
        <v>676635.5</v>
      </c>
      <c r="I20" s="93">
        <f>+H20-G20</f>
        <v>-8159.5</v>
      </c>
      <c r="J20" s="94">
        <f>ROUND(+I20/G20,4)</f>
        <v>-1.1900000000000001E-2</v>
      </c>
      <c r="K20" s="93">
        <f>ROUND($T$10*$E20,2)</f>
        <v>0</v>
      </c>
      <c r="L20" s="93">
        <f>ROUND($T$11*$E20,2)</f>
        <v>0</v>
      </c>
      <c r="M20" s="93">
        <f>ROUND($T$12*$E20,2)</f>
        <v>0</v>
      </c>
      <c r="N20" s="93">
        <f>+G20+K20+L20+M20</f>
        <v>684795</v>
      </c>
      <c r="O20" s="93">
        <f>+H20+K20+L20+M20</f>
        <v>676635.5</v>
      </c>
      <c r="P20" s="94">
        <f>(O20-N20)/N20</f>
        <v>-1.1915244708270357E-2</v>
      </c>
      <c r="Q20" s="85"/>
      <c r="S20" s="41">
        <f>+INPUT!$N$4</f>
        <v>750</v>
      </c>
      <c r="T20" s="25">
        <f>$T$17*E20</f>
        <v>395295</v>
      </c>
      <c r="U20" s="25">
        <f>$U$17*($A$20*0.5)</f>
        <v>47250</v>
      </c>
      <c r="V20" s="25">
        <f>$V$17*$A$20</f>
        <v>94500</v>
      </c>
      <c r="W20" s="25">
        <f>$W$17*$A$20</f>
        <v>147000</v>
      </c>
      <c r="X20" s="25">
        <f>S20+T20+U20+V20+W20</f>
        <v>684795</v>
      </c>
      <c r="Y20" s="25"/>
      <c r="Z20" s="25"/>
      <c r="AC20" s="41">
        <f>INPUT!$N$25</f>
        <v>1000</v>
      </c>
      <c r="AD20" s="25">
        <f>$AD$17*E20</f>
        <v>406135.5</v>
      </c>
      <c r="AE20" s="25">
        <f>$AE$17*($A$20*0.5)</f>
        <v>75500</v>
      </c>
      <c r="AF20" s="25">
        <f>$A$20*$AF$17</f>
        <v>97000</v>
      </c>
      <c r="AG20" s="25">
        <f>$A$20*$AG$17</f>
        <v>97000</v>
      </c>
      <c r="AH20" s="25">
        <f>AC20+AD20+AE20+AF20+AG20</f>
        <v>676635.5</v>
      </c>
      <c r="AI20" s="25"/>
      <c r="AK20" s="41">
        <f>AH20-X20</f>
        <v>-8159.5</v>
      </c>
      <c r="AM20" s="190">
        <f>AH20/X20-1</f>
        <v>-1.1915244708270323E-2</v>
      </c>
    </row>
    <row r="21" spans="1:39" x14ac:dyDescent="0.2">
      <c r="C21" s="189">
        <v>0.5</v>
      </c>
      <c r="E21" s="85">
        <f>C21*($A$20*730)</f>
        <v>18250000</v>
      </c>
      <c r="F21" s="85"/>
      <c r="G21" s="93">
        <f t="shared" ref="G21:G38" si="0">+X21</f>
        <v>948325</v>
      </c>
      <c r="H21" s="93">
        <f>+AH21</f>
        <v>947392.5</v>
      </c>
      <c r="I21" s="93">
        <f>+H21-G21</f>
        <v>-932.5</v>
      </c>
      <c r="J21" s="94">
        <f>ROUND(+I21/G21,4)</f>
        <v>-1E-3</v>
      </c>
      <c r="K21" s="93">
        <f>ROUND($T$10*$E21,2)</f>
        <v>0</v>
      </c>
      <c r="L21" s="93">
        <f>ROUND($T$11*$E21,2)</f>
        <v>0</v>
      </c>
      <c r="M21" s="93">
        <f>ROUND($T$12*$E21,2)</f>
        <v>0</v>
      </c>
      <c r="N21" s="93">
        <f>+G21+K21+L21+M21</f>
        <v>948325</v>
      </c>
      <c r="O21" s="93">
        <f>+H21+K21+L21+M21</f>
        <v>947392.5</v>
      </c>
      <c r="P21" s="94">
        <f>(O21-N21)/N21</f>
        <v>-9.8331268288825036E-4</v>
      </c>
      <c r="Q21" s="85"/>
      <c r="S21" s="41">
        <f>$S$20</f>
        <v>750</v>
      </c>
      <c r="T21" s="25">
        <f>$T$17*E21</f>
        <v>658825</v>
      </c>
      <c r="U21" s="25">
        <f>$U$17*($A$20*0.5)</f>
        <v>47250</v>
      </c>
      <c r="V21" s="25">
        <f>$V$17*$A$20</f>
        <v>94500</v>
      </c>
      <c r="W21" s="25">
        <f>$W$17*$A$20</f>
        <v>147000</v>
      </c>
      <c r="X21" s="25">
        <f>S21+T21+U21+V21+W21</f>
        <v>948325</v>
      </c>
      <c r="Y21" s="25"/>
      <c r="Z21" s="25"/>
      <c r="AC21" s="41">
        <f>$AC$20</f>
        <v>1000</v>
      </c>
      <c r="AD21" s="25">
        <f>$AD$17*E21</f>
        <v>676892.5</v>
      </c>
      <c r="AE21" s="25">
        <f>$AE$17*($A$20*0.5)</f>
        <v>75500</v>
      </c>
      <c r="AF21" s="25">
        <f>$A$20*$AF$17</f>
        <v>97000</v>
      </c>
      <c r="AG21" s="25">
        <f>$A$20*$AG$17</f>
        <v>97000</v>
      </c>
      <c r="AH21" s="25">
        <f>AC21+AD21+AE21+AF21+AG21</f>
        <v>947392.5</v>
      </c>
      <c r="AI21" s="25"/>
      <c r="AK21" s="41">
        <f>AH21-X21</f>
        <v>-932.5</v>
      </c>
      <c r="AM21" s="190">
        <f>AH21/X21-1</f>
        <v>-9.8331268288820439E-4</v>
      </c>
    </row>
    <row r="22" spans="1:39" x14ac:dyDescent="0.2">
      <c r="C22" s="189">
        <v>0.7</v>
      </c>
      <c r="E22" s="85">
        <f>C22*($A$20*730)</f>
        <v>25550000</v>
      </c>
      <c r="F22" s="85"/>
      <c r="G22" s="93">
        <f t="shared" si="0"/>
        <v>1211855</v>
      </c>
      <c r="H22" s="93">
        <f>+AH22</f>
        <v>1218149.5</v>
      </c>
      <c r="I22" s="93">
        <f>+H22-G22</f>
        <v>6294.5</v>
      </c>
      <c r="J22" s="94">
        <f>ROUND(+I22/G22,4)</f>
        <v>5.1999999999999998E-3</v>
      </c>
      <c r="K22" s="93">
        <f>ROUND($T$10*$E22,2)</f>
        <v>0</v>
      </c>
      <c r="L22" s="93">
        <f>ROUND($T$11*$E22,2)</f>
        <v>0</v>
      </c>
      <c r="M22" s="93">
        <f>ROUND($T$12*$E22,2)</f>
        <v>0</v>
      </c>
      <c r="N22" s="93">
        <f>+G22+K22+L22+M22</f>
        <v>1211855</v>
      </c>
      <c r="O22" s="93">
        <f>+H22+K22+L22+M22</f>
        <v>1218149.5</v>
      </c>
      <c r="P22" s="94">
        <f>(O22-N22)/N22</f>
        <v>5.1941032549273633E-3</v>
      </c>
      <c r="Q22" s="85"/>
      <c r="S22" s="41">
        <f>$S$20</f>
        <v>750</v>
      </c>
      <c r="T22" s="25">
        <f>$T$17*E22</f>
        <v>922355</v>
      </c>
      <c r="U22" s="25">
        <f>$U$17*($A$20*0.5)</f>
        <v>47250</v>
      </c>
      <c r="V22" s="25">
        <f>$V$17*$A$20</f>
        <v>94500</v>
      </c>
      <c r="W22" s="25">
        <f>$W$17*$A$20</f>
        <v>147000</v>
      </c>
      <c r="X22" s="25">
        <f>S22+T22+U22+V22+W22</f>
        <v>1211855</v>
      </c>
      <c r="Y22" s="25"/>
      <c r="Z22" s="25"/>
      <c r="AC22" s="41">
        <f>$AC$20</f>
        <v>1000</v>
      </c>
      <c r="AD22" s="25">
        <f>$AD$17*E22</f>
        <v>947649.5</v>
      </c>
      <c r="AE22" s="25">
        <f>$AE$17*($A$20*0.5)</f>
        <v>75500</v>
      </c>
      <c r="AF22" s="25">
        <f>$A$20*$AF$17</f>
        <v>97000</v>
      </c>
      <c r="AG22" s="25">
        <f>$A$20*$AG$17</f>
        <v>97000</v>
      </c>
      <c r="AH22" s="25">
        <f>AC22+AD22+AE22+AF22+AG22</f>
        <v>1218149.5</v>
      </c>
      <c r="AI22" s="25"/>
      <c r="AK22" s="41">
        <f>AH22-X22</f>
        <v>6294.5</v>
      </c>
      <c r="AM22" s="190">
        <f>AH22/X22-1</f>
        <v>5.194103254927418E-3</v>
      </c>
    </row>
    <row r="23" spans="1:39" x14ac:dyDescent="0.2">
      <c r="C23" s="189"/>
      <c r="E23" s="85"/>
      <c r="F23" s="85"/>
      <c r="G23" s="93"/>
      <c r="H23" s="93"/>
      <c r="J23" s="38"/>
      <c r="K23" s="85"/>
      <c r="L23" s="85"/>
      <c r="M23" s="85"/>
      <c r="P23" s="94"/>
      <c r="Q23" s="85"/>
      <c r="S23" s="41"/>
      <c r="T23" s="25"/>
      <c r="U23" s="25"/>
      <c r="V23" s="25"/>
      <c r="W23" s="25"/>
      <c r="X23" s="25"/>
      <c r="Y23" s="25"/>
      <c r="AC23" s="41"/>
      <c r="AD23" s="25"/>
      <c r="AE23" s="25"/>
      <c r="AF23" s="25"/>
      <c r="AG23" s="25"/>
      <c r="AH23" s="25"/>
      <c r="AK23" s="87"/>
      <c r="AM23" s="87"/>
    </row>
    <row r="24" spans="1:39" x14ac:dyDescent="0.2">
      <c r="A24" s="85">
        <v>75000</v>
      </c>
      <c r="B24" s="85"/>
      <c r="C24" s="189">
        <v>0.3</v>
      </c>
      <c r="E24" s="85">
        <f>C24*($A$24*730)</f>
        <v>16425000</v>
      </c>
      <c r="F24" s="85"/>
      <c r="G24" s="93">
        <f t="shared" si="0"/>
        <v>1026817.5</v>
      </c>
      <c r="H24" s="93">
        <f>+AH24</f>
        <v>1014453.25</v>
      </c>
      <c r="I24" s="93">
        <f>+H24-G24</f>
        <v>-12364.25</v>
      </c>
      <c r="J24" s="94">
        <f>ROUND(+I24/G24,4)</f>
        <v>-1.2E-2</v>
      </c>
      <c r="K24" s="93">
        <f>ROUND($T$10*$E24,2)</f>
        <v>0</v>
      </c>
      <c r="L24" s="93">
        <f>ROUND($T$11*$E24,2)</f>
        <v>0</v>
      </c>
      <c r="M24" s="93">
        <f>ROUND($T$12*$E24,2)</f>
        <v>0</v>
      </c>
      <c r="N24" s="93">
        <f>+G24+K24+L24+M24</f>
        <v>1026817.5</v>
      </c>
      <c r="O24" s="93">
        <f>+H24+K24+L24+M24</f>
        <v>1014453.25</v>
      </c>
      <c r="P24" s="94">
        <f>(O24-N24)/N24</f>
        <v>-1.204133159008295E-2</v>
      </c>
      <c r="Q24" s="85"/>
      <c r="S24" s="41">
        <f>$S$20</f>
        <v>750</v>
      </c>
      <c r="T24" s="25">
        <f>$T$17*E24</f>
        <v>592942.5</v>
      </c>
      <c r="U24" s="25">
        <f>$U$17*($A$24*0.5)</f>
        <v>70875</v>
      </c>
      <c r="V24" s="25">
        <f>$V$17*$A$24</f>
        <v>141750</v>
      </c>
      <c r="W24" s="25">
        <f>$W$17*$A$24</f>
        <v>220500</v>
      </c>
      <c r="X24" s="25">
        <f>S24+T24+U24+V24+W24</f>
        <v>1026817.5</v>
      </c>
      <c r="Y24" s="25"/>
      <c r="Z24" s="25"/>
      <c r="AC24" s="41">
        <f>$AC$20</f>
        <v>1000</v>
      </c>
      <c r="AD24" s="25">
        <f>$AD$17*E24</f>
        <v>609203.25</v>
      </c>
      <c r="AE24" s="25">
        <f>$AE$17*($A$24*0.5)</f>
        <v>113250</v>
      </c>
      <c r="AF24" s="25">
        <f>$A$24*$AF$17</f>
        <v>145500</v>
      </c>
      <c r="AG24" s="25">
        <f>$A$24*$AG$17</f>
        <v>145500</v>
      </c>
      <c r="AH24" s="25">
        <f>AC24+AD24+AE24+AF24+AG24</f>
        <v>1014453.25</v>
      </c>
      <c r="AI24" s="25"/>
      <c r="AK24" s="41">
        <f>AH24-X24</f>
        <v>-12364.25</v>
      </c>
      <c r="AL24" s="123"/>
      <c r="AM24" s="190">
        <f>AH24/X24-1</f>
        <v>-1.2041331590082915E-2</v>
      </c>
    </row>
    <row r="25" spans="1:39" x14ac:dyDescent="0.2">
      <c r="C25" s="189">
        <v>0.5</v>
      </c>
      <c r="E25" s="85">
        <f>C25*($A$24*730)</f>
        <v>27375000</v>
      </c>
      <c r="F25" s="85"/>
      <c r="G25" s="93">
        <f t="shared" si="0"/>
        <v>1422112.5</v>
      </c>
      <c r="H25" s="93">
        <f>+AH25</f>
        <v>1420588.75</v>
      </c>
      <c r="I25" s="93">
        <f>+H25-G25</f>
        <v>-1523.75</v>
      </c>
      <c r="J25" s="94">
        <f>ROUND(+I25/G25,4)</f>
        <v>-1.1000000000000001E-3</v>
      </c>
      <c r="K25" s="93">
        <f>ROUND($T$10*$E25,2)</f>
        <v>0</v>
      </c>
      <c r="L25" s="93">
        <f>ROUND($T$11*$E25,2)</f>
        <v>0</v>
      </c>
      <c r="M25" s="93">
        <f>ROUND($T$12*$E25,2)</f>
        <v>0</v>
      </c>
      <c r="N25" s="93">
        <f>+G25+K25+L25+M25</f>
        <v>1422112.5</v>
      </c>
      <c r="O25" s="93">
        <f>+H25+K25+L25+M25</f>
        <v>1420588.75</v>
      </c>
      <c r="P25" s="94">
        <f>(O25-N25)/N25</f>
        <v>-1.0714693809385685E-3</v>
      </c>
      <c r="Q25" s="85"/>
      <c r="S25" s="41">
        <f>$S$20</f>
        <v>750</v>
      </c>
      <c r="T25" s="25">
        <f>$T$17*E25</f>
        <v>988237.5</v>
      </c>
      <c r="U25" s="25">
        <f>$U$17*($A$24*0.5)</f>
        <v>70875</v>
      </c>
      <c r="V25" s="25">
        <f>$V$17*$A$24</f>
        <v>141750</v>
      </c>
      <c r="W25" s="25">
        <f>$W$17*$A$24</f>
        <v>220500</v>
      </c>
      <c r="X25" s="25">
        <f>S25+T25+U25+V25+W25</f>
        <v>1422112.5</v>
      </c>
      <c r="Y25" s="25"/>
      <c r="Z25" s="25"/>
      <c r="AC25" s="41">
        <f>$AC$20</f>
        <v>1000</v>
      </c>
      <c r="AD25" s="25">
        <f>$AD$17*E25</f>
        <v>1015338.75</v>
      </c>
      <c r="AE25" s="25">
        <f>$AE$17*($A$24*0.5)</f>
        <v>113250</v>
      </c>
      <c r="AF25" s="25">
        <f>$A$24*$AF$17</f>
        <v>145500</v>
      </c>
      <c r="AG25" s="25">
        <f>$A$24*$AG$17</f>
        <v>145500</v>
      </c>
      <c r="AH25" s="25">
        <f>AC25+AD25+AE25+AF25+AG25</f>
        <v>1420588.75</v>
      </c>
      <c r="AI25" s="25"/>
      <c r="AK25" s="41">
        <f>AH25-X25</f>
        <v>-1523.75</v>
      </c>
      <c r="AL25" s="123"/>
      <c r="AM25" s="190">
        <f>AH25/X25-1</f>
        <v>-1.0714693809386056E-3</v>
      </c>
    </row>
    <row r="26" spans="1:39" x14ac:dyDescent="0.2">
      <c r="C26" s="189">
        <v>0.7</v>
      </c>
      <c r="E26" s="85">
        <f>C26*($A$24*730)</f>
        <v>38325000</v>
      </c>
      <c r="F26" s="85"/>
      <c r="G26" s="93">
        <f t="shared" si="0"/>
        <v>1817407.5</v>
      </c>
      <c r="H26" s="93">
        <f>+AH26</f>
        <v>1826724.25</v>
      </c>
      <c r="I26" s="93">
        <f>+H26-G26</f>
        <v>9316.75</v>
      </c>
      <c r="J26" s="94">
        <f>ROUND(+I26/G26,4)</f>
        <v>5.1000000000000004E-3</v>
      </c>
      <c r="K26" s="93">
        <f>ROUND($T$10*$E26,2)</f>
        <v>0</v>
      </c>
      <c r="L26" s="93">
        <f>ROUND($T$11*$E26,2)</f>
        <v>0</v>
      </c>
      <c r="M26" s="93">
        <f>ROUND($T$12*$E26,2)</f>
        <v>0</v>
      </c>
      <c r="N26" s="93">
        <f>+G26+K26+L26+M26</f>
        <v>1817407.5</v>
      </c>
      <c r="O26" s="93">
        <f>+H26+K26+L26+M26</f>
        <v>1826724.25</v>
      </c>
      <c r="P26" s="94">
        <f>(O26-N26)/N26</f>
        <v>5.126395703770343E-3</v>
      </c>
      <c r="Q26" s="85"/>
      <c r="S26" s="41">
        <f>$S$20</f>
        <v>750</v>
      </c>
      <c r="T26" s="25">
        <f>$T$17*E26</f>
        <v>1383532.5</v>
      </c>
      <c r="U26" s="25">
        <f>$U$17*($A$24*0.5)</f>
        <v>70875</v>
      </c>
      <c r="V26" s="25">
        <f>$V$17*$A$24</f>
        <v>141750</v>
      </c>
      <c r="W26" s="25">
        <f>$W$17*$A$24</f>
        <v>220500</v>
      </c>
      <c r="X26" s="25">
        <f>S26+T26+U26+V26+W26</f>
        <v>1817407.5</v>
      </c>
      <c r="Y26" s="25"/>
      <c r="Z26" s="25"/>
      <c r="AC26" s="41">
        <f>$AC$20</f>
        <v>1000</v>
      </c>
      <c r="AD26" s="25">
        <f>$AD$17*E26</f>
        <v>1421474.25</v>
      </c>
      <c r="AE26" s="25">
        <f>$AE$17*($A$24*0.5)</f>
        <v>113250</v>
      </c>
      <c r="AF26" s="25">
        <f>$A$24*$AF$17</f>
        <v>145500</v>
      </c>
      <c r="AG26" s="25">
        <f>$A$24*$AG$17</f>
        <v>145500</v>
      </c>
      <c r="AH26" s="25">
        <f>AC26+AD26+AE26+AF26+AG26</f>
        <v>1826724.25</v>
      </c>
      <c r="AI26" s="25"/>
      <c r="AK26" s="41">
        <f>AH26-X26</f>
        <v>9316.75</v>
      </c>
      <c r="AM26" s="190">
        <f>AH26/X26-1</f>
        <v>5.1263957037703811E-3</v>
      </c>
    </row>
    <row r="27" spans="1:39" x14ac:dyDescent="0.2">
      <c r="C27" s="189"/>
      <c r="E27" s="85"/>
      <c r="F27" s="85"/>
      <c r="G27" s="93"/>
      <c r="H27" s="93"/>
      <c r="J27" s="38"/>
      <c r="K27" s="85"/>
      <c r="L27" s="85"/>
      <c r="M27" s="85"/>
      <c r="P27" s="94"/>
      <c r="Q27" s="85"/>
      <c r="S27" s="41"/>
      <c r="T27" s="25"/>
      <c r="U27" s="25"/>
      <c r="V27" s="25"/>
      <c r="W27" s="25"/>
      <c r="X27" s="25"/>
      <c r="Y27" s="25"/>
      <c r="AC27" s="41"/>
      <c r="AD27" s="25"/>
      <c r="AE27" s="25"/>
      <c r="AF27" s="25"/>
      <c r="AG27" s="25"/>
      <c r="AH27" s="25"/>
      <c r="AK27" s="87"/>
      <c r="AM27" s="87"/>
    </row>
    <row r="28" spans="1:39" x14ac:dyDescent="0.2">
      <c r="A28" s="85">
        <v>100000</v>
      </c>
      <c r="B28" s="85"/>
      <c r="C28" s="189">
        <v>0.3</v>
      </c>
      <c r="E28" s="85">
        <f>C28*($A$28*730)</f>
        <v>21900000</v>
      </c>
      <c r="F28" s="85"/>
      <c r="G28" s="93">
        <f t="shared" si="0"/>
        <v>1368840</v>
      </c>
      <c r="H28" s="93">
        <f>+AH28</f>
        <v>1352271</v>
      </c>
      <c r="I28" s="93">
        <f>+H28-G28</f>
        <v>-16569</v>
      </c>
      <c r="J28" s="94">
        <f>ROUND(+I28/G28,4)</f>
        <v>-1.21E-2</v>
      </c>
      <c r="K28" s="93">
        <f>ROUND($T$10*$E28,2)</f>
        <v>0</v>
      </c>
      <c r="L28" s="93">
        <f>ROUND($T$11*$E28,2)</f>
        <v>0</v>
      </c>
      <c r="M28" s="93">
        <f>ROUND($T$12*$E28,2)</f>
        <v>0</v>
      </c>
      <c r="N28" s="93">
        <f>+G28+K28+L28+M28</f>
        <v>1368840</v>
      </c>
      <c r="O28" s="93">
        <f>+H28+K28+L28+M28</f>
        <v>1352271</v>
      </c>
      <c r="P28" s="94">
        <f>(O28-N28)/N28</f>
        <v>-1.2104409573069169E-2</v>
      </c>
      <c r="Q28" s="85"/>
      <c r="S28" s="41">
        <f>$S$20</f>
        <v>750</v>
      </c>
      <c r="T28" s="25">
        <f>$T$17*E28</f>
        <v>790590</v>
      </c>
      <c r="U28" s="25">
        <f>$U$17*($A$28*0.5)</f>
        <v>94500</v>
      </c>
      <c r="V28" s="25">
        <f>$V$17*$A$28</f>
        <v>189000</v>
      </c>
      <c r="W28" s="25">
        <f>$W$17*$A$28</f>
        <v>294000</v>
      </c>
      <c r="X28" s="25">
        <f>S28+T28+U28+V28+W28</f>
        <v>1368840</v>
      </c>
      <c r="Y28" s="25"/>
      <c r="Z28" s="25"/>
      <c r="AC28" s="41">
        <f>$AC$20</f>
        <v>1000</v>
      </c>
      <c r="AD28" s="25">
        <f>$AD$17*E28</f>
        <v>812271</v>
      </c>
      <c r="AE28" s="25">
        <f>$AE$17*($A$28*0.5)</f>
        <v>151000</v>
      </c>
      <c r="AF28" s="25">
        <f>$A$28*$AF$17</f>
        <v>194000</v>
      </c>
      <c r="AG28" s="25">
        <f>$A$28*$AG$17</f>
        <v>194000</v>
      </c>
      <c r="AH28" s="25">
        <f>AC28+AD28+AE28+AF28+AG28</f>
        <v>1352271</v>
      </c>
      <c r="AI28" s="25"/>
      <c r="AK28" s="41">
        <f>AH28-X28</f>
        <v>-16569</v>
      </c>
      <c r="AM28" s="190">
        <f>AH28/X28-1</f>
        <v>-1.210440957306913E-2</v>
      </c>
    </row>
    <row r="29" spans="1:39" x14ac:dyDescent="0.2">
      <c r="C29" s="189">
        <v>0.5</v>
      </c>
      <c r="E29" s="85">
        <f>C29*($A$28*730)</f>
        <v>36500000</v>
      </c>
      <c r="F29" s="85"/>
      <c r="G29" s="93">
        <f t="shared" si="0"/>
        <v>1895900</v>
      </c>
      <c r="H29" s="93">
        <f>+AH29</f>
        <v>1893785</v>
      </c>
      <c r="I29" s="93">
        <f>+H29-G29</f>
        <v>-2115</v>
      </c>
      <c r="J29" s="94">
        <f>ROUND(+I29/G29,4)</f>
        <v>-1.1000000000000001E-3</v>
      </c>
      <c r="K29" s="93">
        <f>ROUND($T$10*$E29,2)</f>
        <v>0</v>
      </c>
      <c r="L29" s="93">
        <f>ROUND($T$11*$E29,2)</f>
        <v>0</v>
      </c>
      <c r="M29" s="93">
        <f>ROUND($T$12*$E29,2)</f>
        <v>0</v>
      </c>
      <c r="N29" s="93">
        <f>+G29+K29+L29+M29</f>
        <v>1895900</v>
      </c>
      <c r="O29" s="93">
        <f>+H29+K29+L29+M29</f>
        <v>1893785</v>
      </c>
      <c r="P29" s="94">
        <f>(O29-N29)/N29</f>
        <v>-1.1155651669391845E-3</v>
      </c>
      <c r="Q29" s="85"/>
      <c r="S29" s="41">
        <f>$S$20</f>
        <v>750</v>
      </c>
      <c r="T29" s="25">
        <f>$T$17*E29</f>
        <v>1317650</v>
      </c>
      <c r="U29" s="25">
        <f>$U$17*($A$28*0.5)</f>
        <v>94500</v>
      </c>
      <c r="V29" s="25">
        <f>$V$17*$A$28</f>
        <v>189000</v>
      </c>
      <c r="W29" s="25">
        <f>$W$17*$A$28</f>
        <v>294000</v>
      </c>
      <c r="X29" s="25">
        <f>S29+T29+U29+V29+W29</f>
        <v>1895900</v>
      </c>
      <c r="Y29" s="25"/>
      <c r="Z29" s="25"/>
      <c r="AC29" s="41">
        <f>$AC$20</f>
        <v>1000</v>
      </c>
      <c r="AD29" s="25">
        <f>$AD$17*E29</f>
        <v>1353785</v>
      </c>
      <c r="AE29" s="25">
        <f>$AE$17*($A$28*0.5)</f>
        <v>151000</v>
      </c>
      <c r="AF29" s="25">
        <f>$A$28*$AF$17</f>
        <v>194000</v>
      </c>
      <c r="AG29" s="25">
        <f>$A$28*$AG$17</f>
        <v>194000</v>
      </c>
      <c r="AH29" s="25">
        <f>AC29+AD29+AE29+AF29+AG29</f>
        <v>1893785</v>
      </c>
      <c r="AI29" s="25"/>
      <c r="AK29" s="41">
        <f>AH29-X29</f>
        <v>-2115</v>
      </c>
      <c r="AM29" s="190">
        <f>AH29/X29-1</f>
        <v>-1.1155651669392253E-3</v>
      </c>
    </row>
    <row r="30" spans="1:39" x14ac:dyDescent="0.2">
      <c r="C30" s="189">
        <v>0.7</v>
      </c>
      <c r="E30" s="85">
        <f>C30*($A$28*730)</f>
        <v>51100000</v>
      </c>
      <c r="F30" s="85"/>
      <c r="G30" s="93">
        <f t="shared" si="0"/>
        <v>2422960</v>
      </c>
      <c r="H30" s="93">
        <f>+AH30</f>
        <v>2435299</v>
      </c>
      <c r="I30" s="93">
        <f>+H30-G30</f>
        <v>12339</v>
      </c>
      <c r="J30" s="94">
        <f>ROUND(+I30/G30,4)</f>
        <v>5.1000000000000004E-3</v>
      </c>
      <c r="K30" s="93">
        <f>ROUND($T$10*$E30,2)</f>
        <v>0</v>
      </c>
      <c r="L30" s="93">
        <f>ROUND($T$11*$E30,2)</f>
        <v>0</v>
      </c>
      <c r="M30" s="93">
        <f>ROUND($T$12*$E30,2)</f>
        <v>0</v>
      </c>
      <c r="N30" s="93">
        <f>+G30+K30+L30+M30</f>
        <v>2422960</v>
      </c>
      <c r="O30" s="93">
        <f>+H30+K30+L30+M30</f>
        <v>2435299</v>
      </c>
      <c r="P30" s="94">
        <f>(O30-N30)/N30</f>
        <v>5.0925314491365933E-3</v>
      </c>
      <c r="Q30" s="85"/>
      <c r="S30" s="41">
        <f>$S$20</f>
        <v>750</v>
      </c>
      <c r="T30" s="25">
        <f>$T$17*E30</f>
        <v>1844710</v>
      </c>
      <c r="U30" s="25">
        <f>$U$17*($A$28*0.5)</f>
        <v>94500</v>
      </c>
      <c r="V30" s="25">
        <f>$V$17*$A$28</f>
        <v>189000</v>
      </c>
      <c r="W30" s="25">
        <f>$W$17*$A$28</f>
        <v>294000</v>
      </c>
      <c r="X30" s="25">
        <f>S30+T30+U30+V30+W30</f>
        <v>2422960</v>
      </c>
      <c r="Y30" s="25"/>
      <c r="Z30" s="25"/>
      <c r="AC30" s="41">
        <f>$AC$20</f>
        <v>1000</v>
      </c>
      <c r="AD30" s="25">
        <f>$AD$17*E30</f>
        <v>1895299</v>
      </c>
      <c r="AE30" s="25">
        <f>$AE$17*($A$28*0.5)</f>
        <v>151000</v>
      </c>
      <c r="AF30" s="25">
        <f>$A$28*$AF$17</f>
        <v>194000</v>
      </c>
      <c r="AG30" s="25">
        <f>$A$28*$AG$17</f>
        <v>194000</v>
      </c>
      <c r="AH30" s="25">
        <f>AC30+AD30+AE30+AF30+AG30</f>
        <v>2435299</v>
      </c>
      <c r="AI30" s="25"/>
      <c r="AK30" s="41">
        <f>AH30-X30</f>
        <v>12339</v>
      </c>
      <c r="AM30" s="190">
        <f>AH30/X30-1</f>
        <v>5.0925314491365725E-3</v>
      </c>
    </row>
    <row r="31" spans="1:39" x14ac:dyDescent="0.2">
      <c r="C31" s="189"/>
      <c r="E31" s="85"/>
      <c r="F31" s="85"/>
      <c r="G31" s="93"/>
      <c r="H31" s="93"/>
      <c r="J31" s="38"/>
      <c r="K31" s="85"/>
      <c r="L31" s="85"/>
      <c r="M31" s="85"/>
      <c r="P31" s="94"/>
      <c r="Q31" s="85"/>
      <c r="S31" s="41"/>
      <c r="T31" s="25"/>
      <c r="U31" s="25"/>
      <c r="V31" s="25"/>
      <c r="W31" s="25"/>
      <c r="X31" s="25"/>
      <c r="Y31" s="25"/>
      <c r="AC31" s="41"/>
      <c r="AD31" s="25"/>
      <c r="AE31" s="25"/>
      <c r="AF31" s="25"/>
      <c r="AG31" s="25"/>
      <c r="AH31" s="25"/>
      <c r="AK31" s="87"/>
      <c r="AM31" s="87"/>
    </row>
    <row r="32" spans="1:39" x14ac:dyDescent="0.2">
      <c r="A32" s="85">
        <v>150000</v>
      </c>
      <c r="B32" s="85"/>
      <c r="C32" s="189">
        <v>0.3</v>
      </c>
      <c r="E32" s="85">
        <f>C32*($A$32*730)</f>
        <v>32850000</v>
      </c>
      <c r="F32" s="85"/>
      <c r="G32" s="93">
        <f t="shared" si="0"/>
        <v>2052885</v>
      </c>
      <c r="H32" s="93">
        <f>+AH32</f>
        <v>2027906.5</v>
      </c>
      <c r="I32" s="93">
        <f>+H32-G32</f>
        <v>-24978.5</v>
      </c>
      <c r="J32" s="94">
        <f>ROUND(+I32/G32,4)</f>
        <v>-1.2200000000000001E-2</v>
      </c>
      <c r="K32" s="93">
        <f>ROUND($T$10*$E32,2)</f>
        <v>0</v>
      </c>
      <c r="L32" s="93">
        <f>ROUND($T$11*$E32,2)</f>
        <v>0</v>
      </c>
      <c r="M32" s="93">
        <f>ROUND($T$12*$E32,2)</f>
        <v>0</v>
      </c>
      <c r="N32" s="93">
        <f>+G32+K32+L32+M32</f>
        <v>2052885</v>
      </c>
      <c r="O32" s="93">
        <f>+H32+K32+L32+M32</f>
        <v>2027906.5</v>
      </c>
      <c r="P32" s="94">
        <f>(O32-N32)/N32</f>
        <v>-1.2167510600934782E-2</v>
      </c>
      <c r="Q32" s="85"/>
      <c r="S32" s="41">
        <f>$S$20</f>
        <v>750</v>
      </c>
      <c r="T32" s="25">
        <f>$T$17*E32</f>
        <v>1185885</v>
      </c>
      <c r="U32" s="25">
        <f>$U$17*($A$32*0.5)</f>
        <v>141750</v>
      </c>
      <c r="V32" s="25">
        <f>$V$17*$A$32</f>
        <v>283500</v>
      </c>
      <c r="W32" s="25">
        <f>$W$17*$A$32</f>
        <v>441000</v>
      </c>
      <c r="X32" s="25">
        <f>S32+T32+U32+V32+W32</f>
        <v>2052885</v>
      </c>
      <c r="Y32" s="25"/>
      <c r="Z32" s="25"/>
      <c r="AC32" s="41">
        <f>$AC$20</f>
        <v>1000</v>
      </c>
      <c r="AD32" s="25">
        <f>$AD$17*E32</f>
        <v>1218406.5</v>
      </c>
      <c r="AE32" s="25">
        <f>$AE$17*($A$32*0.5)</f>
        <v>226500</v>
      </c>
      <c r="AF32" s="25">
        <f>$A$32*$AF$17</f>
        <v>291000</v>
      </c>
      <c r="AG32" s="25">
        <f>$A$32*$AG$17</f>
        <v>291000</v>
      </c>
      <c r="AH32" s="25">
        <f>AC32+AD32+AE32+AF32+AG32</f>
        <v>2027906.5</v>
      </c>
      <c r="AI32" s="25"/>
      <c r="AK32" s="41">
        <f>AH32-X32</f>
        <v>-24978.5</v>
      </c>
      <c r="AM32" s="190">
        <f>AH32/X32-1</f>
        <v>-1.2167510600934794E-2</v>
      </c>
    </row>
    <row r="33" spans="1:39" x14ac:dyDescent="0.2">
      <c r="C33" s="189">
        <v>0.5</v>
      </c>
      <c r="E33" s="85">
        <f>C33*($A$32*730)</f>
        <v>54750000</v>
      </c>
      <c r="F33" s="85"/>
      <c r="G33" s="93">
        <f t="shared" si="0"/>
        <v>2843475</v>
      </c>
      <c r="H33" s="93">
        <f>+AH33</f>
        <v>2840177.5</v>
      </c>
      <c r="I33" s="93">
        <f>+H33-G33</f>
        <v>-3297.5</v>
      </c>
      <c r="J33" s="94">
        <f>ROUND(+I33/G33,4)</f>
        <v>-1.1999999999999999E-3</v>
      </c>
      <c r="K33" s="93">
        <f>ROUND($T$10*$E33,2)</f>
        <v>0</v>
      </c>
      <c r="L33" s="93">
        <f>ROUND($T$11*$E33,2)</f>
        <v>0</v>
      </c>
      <c r="M33" s="93">
        <f>ROUND($T$12*$E33,2)</f>
        <v>0</v>
      </c>
      <c r="N33" s="93">
        <f>+G33+K33+L33+M33</f>
        <v>2843475</v>
      </c>
      <c r="O33" s="93">
        <f>+H33+K33+L33+M33</f>
        <v>2840177.5</v>
      </c>
      <c r="P33" s="94">
        <f>(O33-N33)/N33</f>
        <v>-1.1596725837223819E-3</v>
      </c>
      <c r="Q33" s="85"/>
      <c r="S33" s="41">
        <f>$S$20</f>
        <v>750</v>
      </c>
      <c r="T33" s="25">
        <f>$T$17*E33</f>
        <v>1976475</v>
      </c>
      <c r="U33" s="25">
        <f>$U$17*($A$32*0.5)</f>
        <v>141750</v>
      </c>
      <c r="V33" s="25">
        <f>$V$17*$A$32</f>
        <v>283500</v>
      </c>
      <c r="W33" s="25">
        <f>$W$17*$A$32</f>
        <v>441000</v>
      </c>
      <c r="X33" s="25">
        <f>S33+T33+U33+V33+W33</f>
        <v>2843475</v>
      </c>
      <c r="Y33" s="25"/>
      <c r="Z33" s="25"/>
      <c r="AC33" s="41">
        <f>$AC$20</f>
        <v>1000</v>
      </c>
      <c r="AD33" s="25">
        <f>$AD$17*E33</f>
        <v>2030677.5</v>
      </c>
      <c r="AE33" s="25">
        <f>$AE$17*($A$32*0.5)</f>
        <v>226500</v>
      </c>
      <c r="AF33" s="25">
        <f>$A$32*$AF$17</f>
        <v>291000</v>
      </c>
      <c r="AG33" s="25">
        <f>$A$32*$AG$17</f>
        <v>291000</v>
      </c>
      <c r="AH33" s="25">
        <f>AC33+AD33+AE33+AF33+AG33</f>
        <v>2840177.5</v>
      </c>
      <c r="AI33" s="25"/>
      <c r="AK33" s="41">
        <f>AH33-X33</f>
        <v>-3297.5</v>
      </c>
      <c r="AM33" s="190">
        <f>AH33/X33-1</f>
        <v>-1.1596725837224042E-3</v>
      </c>
    </row>
    <row r="34" spans="1:39" x14ac:dyDescent="0.2">
      <c r="C34" s="189">
        <v>0.7</v>
      </c>
      <c r="E34" s="85">
        <f>C34*($A$32*730)</f>
        <v>76650000</v>
      </c>
      <c r="F34" s="85"/>
      <c r="G34" s="93">
        <f t="shared" si="0"/>
        <v>3634065</v>
      </c>
      <c r="H34" s="93">
        <f>+AH34</f>
        <v>3652448.5</v>
      </c>
      <c r="I34" s="93">
        <f>+H34-G34</f>
        <v>18383.5</v>
      </c>
      <c r="J34" s="94">
        <f>ROUND(+I34/G34,4)</f>
        <v>5.1000000000000004E-3</v>
      </c>
      <c r="K34" s="93">
        <f>ROUND($T$10*$E34,2)</f>
        <v>0</v>
      </c>
      <c r="L34" s="93">
        <f>ROUND($T$11*$E34,2)</f>
        <v>0</v>
      </c>
      <c r="M34" s="93">
        <f>ROUND($T$12*$E34,2)</f>
        <v>0</v>
      </c>
      <c r="N34" s="93">
        <f>+G34+K34+L34+M34</f>
        <v>3634065</v>
      </c>
      <c r="O34" s="93">
        <f>+H34+K34+L34+M34</f>
        <v>3652448.5</v>
      </c>
      <c r="P34" s="94">
        <f>(O34-N34)/N34</f>
        <v>5.0586602055824534E-3</v>
      </c>
      <c r="Q34" s="85"/>
      <c r="S34" s="41">
        <f>$S$20</f>
        <v>750</v>
      </c>
      <c r="T34" s="25">
        <f>$T$17*E34</f>
        <v>2767065</v>
      </c>
      <c r="U34" s="25">
        <f>$U$17*($A$32*0.5)</f>
        <v>141750</v>
      </c>
      <c r="V34" s="25">
        <f>$V$17*$A$32</f>
        <v>283500</v>
      </c>
      <c r="W34" s="25">
        <f>$W$17*$A$32</f>
        <v>441000</v>
      </c>
      <c r="X34" s="25">
        <f>S34+T34+U34+V34+W34</f>
        <v>3634065</v>
      </c>
      <c r="Y34" s="25"/>
      <c r="Z34" s="25"/>
      <c r="AC34" s="41">
        <f>$AC$20</f>
        <v>1000</v>
      </c>
      <c r="AD34" s="25">
        <f>$AD$17*E34</f>
        <v>2842948.5</v>
      </c>
      <c r="AE34" s="25">
        <f>$AE$17*($A$32*0.5)</f>
        <v>226500</v>
      </c>
      <c r="AF34" s="25">
        <f>$A$32*$AF$17</f>
        <v>291000</v>
      </c>
      <c r="AG34" s="25">
        <f>$A$32*$AG$17</f>
        <v>291000</v>
      </c>
      <c r="AH34" s="25">
        <f>AC34+AD34+AE34+AF34+AG34</f>
        <v>3652448.5</v>
      </c>
      <c r="AI34" s="25"/>
      <c r="AK34" s="41">
        <f>AH34-X34</f>
        <v>18383.5</v>
      </c>
      <c r="AM34" s="190">
        <f>AH34/X34-1</f>
        <v>5.0586602055824326E-3</v>
      </c>
    </row>
    <row r="35" spans="1:39" x14ac:dyDescent="0.2">
      <c r="C35" s="189"/>
      <c r="E35" s="85"/>
      <c r="F35" s="85"/>
      <c r="G35" s="93"/>
      <c r="H35" s="93"/>
      <c r="J35" s="38"/>
      <c r="K35" s="85"/>
      <c r="L35" s="85"/>
      <c r="M35" s="85"/>
      <c r="P35" s="94"/>
      <c r="Q35" s="85"/>
      <c r="S35" s="41"/>
      <c r="T35" s="25"/>
      <c r="U35" s="25"/>
      <c r="V35" s="25"/>
      <c r="W35" s="25"/>
      <c r="X35" s="25"/>
      <c r="Y35" s="25"/>
      <c r="AC35" s="41"/>
      <c r="AD35" s="25"/>
      <c r="AE35" s="25"/>
      <c r="AF35" s="25"/>
      <c r="AG35" s="25"/>
      <c r="AH35" s="25"/>
      <c r="AK35" s="87"/>
      <c r="AM35" s="87"/>
    </row>
    <row r="36" spans="1:39" x14ac:dyDescent="0.2">
      <c r="A36" s="85">
        <v>200000</v>
      </c>
      <c r="B36" s="85"/>
      <c r="C36" s="189">
        <v>0.3</v>
      </c>
      <c r="E36" s="85">
        <f>C36*($A$36*730)</f>
        <v>43800000</v>
      </c>
      <c r="F36" s="85"/>
      <c r="G36" s="93">
        <f t="shared" si="0"/>
        <v>2736930</v>
      </c>
      <c r="H36" s="93">
        <f>+AH36</f>
        <v>2703542</v>
      </c>
      <c r="I36" s="93">
        <f>+H36-G36</f>
        <v>-33388</v>
      </c>
      <c r="J36" s="94">
        <f>ROUND(+I36/G36,4)</f>
        <v>-1.2200000000000001E-2</v>
      </c>
      <c r="K36" s="93">
        <f>ROUND($T$10*$E36,2)</f>
        <v>0</v>
      </c>
      <c r="L36" s="93">
        <f>ROUND($T$11*$E36,2)</f>
        <v>0</v>
      </c>
      <c r="M36" s="93">
        <f>ROUND($T$12*$E36,2)</f>
        <v>0</v>
      </c>
      <c r="N36" s="93">
        <f>+G36+K36+L36+M36</f>
        <v>2736930</v>
      </c>
      <c r="O36" s="93">
        <f>+H36+K36+L36+M36</f>
        <v>2703542</v>
      </c>
      <c r="P36" s="94">
        <f>(O36-N36)/N36</f>
        <v>-1.2199069760644226E-2</v>
      </c>
      <c r="Q36" s="85"/>
      <c r="S36" s="41">
        <f>$S$20</f>
        <v>750</v>
      </c>
      <c r="T36" s="25">
        <f>$T$17*E36</f>
        <v>1581180</v>
      </c>
      <c r="U36" s="25">
        <f>$U$17*($A$36*0.5)</f>
        <v>189000</v>
      </c>
      <c r="V36" s="25">
        <f>$V$17*$A$36</f>
        <v>378000</v>
      </c>
      <c r="W36" s="25">
        <f>$W$17*$A$36</f>
        <v>588000</v>
      </c>
      <c r="X36" s="25">
        <f>S36+T36+U36+V36+W36</f>
        <v>2736930</v>
      </c>
      <c r="Y36" s="25"/>
      <c r="Z36" s="25"/>
      <c r="AC36" s="41">
        <f>$AC$20</f>
        <v>1000</v>
      </c>
      <c r="AD36" s="25">
        <f>$AD$17*E36</f>
        <v>1624542</v>
      </c>
      <c r="AE36" s="25">
        <f>$AE$17*($A$36*0.5)</f>
        <v>302000</v>
      </c>
      <c r="AF36" s="25">
        <f>$A$36*$AF$17</f>
        <v>388000</v>
      </c>
      <c r="AG36" s="25">
        <f>$A$36*$AG$17</f>
        <v>388000</v>
      </c>
      <c r="AH36" s="25">
        <f>AC36+AD36+AE36+AF36+AG36</f>
        <v>2703542</v>
      </c>
      <c r="AI36" s="25"/>
      <c r="AK36" s="41">
        <f>AH36-X36</f>
        <v>-33388</v>
      </c>
      <c r="AM36" s="190">
        <f>AH36/X36-1</f>
        <v>-1.2199069760644221E-2</v>
      </c>
    </row>
    <row r="37" spans="1:39" x14ac:dyDescent="0.2">
      <c r="C37" s="189">
        <v>0.5</v>
      </c>
      <c r="E37" s="85">
        <f>C37*($A$36*730)</f>
        <v>73000000</v>
      </c>
      <c r="F37" s="85"/>
      <c r="G37" s="93">
        <f t="shared" si="0"/>
        <v>3791050</v>
      </c>
      <c r="H37" s="93">
        <f>+AH37</f>
        <v>3786570</v>
      </c>
      <c r="I37" s="93">
        <f>+H37-G37</f>
        <v>-4480</v>
      </c>
      <c r="J37" s="94">
        <f>ROUND(+I37/G37,4)</f>
        <v>-1.1999999999999999E-3</v>
      </c>
      <c r="K37" s="93">
        <f>ROUND($T$10*$E37,2)</f>
        <v>0</v>
      </c>
      <c r="L37" s="93">
        <f>ROUND($T$11*$E37,2)</f>
        <v>0</v>
      </c>
      <c r="M37" s="93">
        <f>ROUND($T$12*$E37,2)</f>
        <v>0</v>
      </c>
      <c r="N37" s="93">
        <f>+G37+K37+L37+M37</f>
        <v>3791050</v>
      </c>
      <c r="O37" s="93">
        <f>+H37+K37+L37+M37</f>
        <v>3786570</v>
      </c>
      <c r="P37" s="94">
        <f>(O37-N37)/N37</f>
        <v>-1.181730655095554E-3</v>
      </c>
      <c r="Q37" s="85"/>
      <c r="S37" s="41">
        <f>$S$20</f>
        <v>750</v>
      </c>
      <c r="T37" s="25">
        <f>$T$17*E37</f>
        <v>2635300</v>
      </c>
      <c r="U37" s="25">
        <f>$U$17*($A$36*0.5)</f>
        <v>189000</v>
      </c>
      <c r="V37" s="25">
        <f>$V$17*$A$36</f>
        <v>378000</v>
      </c>
      <c r="W37" s="25">
        <f>$W$17*$A$36</f>
        <v>588000</v>
      </c>
      <c r="X37" s="25">
        <f>S37+T37+U37+V37+W37</f>
        <v>3791050</v>
      </c>
      <c r="Y37" s="25"/>
      <c r="Z37" s="25"/>
      <c r="AC37" s="41">
        <f>$AC$20</f>
        <v>1000</v>
      </c>
      <c r="AD37" s="25">
        <f>$AD$17*E37</f>
        <v>2707570</v>
      </c>
      <c r="AE37" s="25">
        <f>$AE$17*($A$36*0.5)</f>
        <v>302000</v>
      </c>
      <c r="AF37" s="25">
        <f>$A$36*$AF$17</f>
        <v>388000</v>
      </c>
      <c r="AG37" s="25">
        <f>$A$36*$AG$17</f>
        <v>388000</v>
      </c>
      <c r="AH37" s="25">
        <f>AC37+AD37+AE37+AF37+AG37</f>
        <v>3786570</v>
      </c>
      <c r="AI37" s="25"/>
      <c r="AK37" s="41">
        <f>AH37-X37</f>
        <v>-4480</v>
      </c>
      <c r="AM37" s="190">
        <f>AH37/X37-1</f>
        <v>-1.1817306550955253E-3</v>
      </c>
    </row>
    <row r="38" spans="1:39" x14ac:dyDescent="0.2">
      <c r="C38" s="189">
        <v>0.7</v>
      </c>
      <c r="E38" s="85">
        <f>C38*($A$36*730)</f>
        <v>102200000</v>
      </c>
      <c r="F38" s="85"/>
      <c r="G38" s="93">
        <f t="shared" si="0"/>
        <v>4845170</v>
      </c>
      <c r="H38" s="93">
        <f>+AH38</f>
        <v>4869598</v>
      </c>
      <c r="I38" s="93">
        <f>+H38-G38</f>
        <v>24428</v>
      </c>
      <c r="J38" s="94">
        <f>ROUND(+I38/G38,4)</f>
        <v>5.0000000000000001E-3</v>
      </c>
      <c r="K38" s="93">
        <f>ROUND($T$10*$E38,2)</f>
        <v>0</v>
      </c>
      <c r="L38" s="93">
        <f>ROUND($T$11*$E38,2)</f>
        <v>0</v>
      </c>
      <c r="M38" s="93">
        <f>ROUND($T$12*$E38,2)</f>
        <v>0</v>
      </c>
      <c r="N38" s="93">
        <f>+G38+K38+L38+M38</f>
        <v>4845170</v>
      </c>
      <c r="O38" s="93">
        <f>+H38+K38+L38+M38</f>
        <v>4869598</v>
      </c>
      <c r="P38" s="94">
        <f>(O38-N38)/N38</f>
        <v>5.0417219622840891E-3</v>
      </c>
      <c r="Q38" s="85"/>
      <c r="S38" s="41">
        <f>$S$20</f>
        <v>750</v>
      </c>
      <c r="T38" s="25">
        <f>$T$17*E38</f>
        <v>3689420</v>
      </c>
      <c r="U38" s="25">
        <f>$U$17*($A$36*0.5)</f>
        <v>189000</v>
      </c>
      <c r="V38" s="25">
        <f>$V$17*$A$36</f>
        <v>378000</v>
      </c>
      <c r="W38" s="25">
        <f>$W$17*$A$36</f>
        <v>588000</v>
      </c>
      <c r="X38" s="25">
        <f>S38+T38+U38+V38+W38</f>
        <v>4845170</v>
      </c>
      <c r="Y38" s="25"/>
      <c r="Z38" s="25"/>
      <c r="AC38" s="41">
        <f>$AC$20</f>
        <v>1000</v>
      </c>
      <c r="AD38" s="25">
        <f>$AD$17*E38</f>
        <v>3790598</v>
      </c>
      <c r="AE38" s="25">
        <f>$AE$17*($A$36*0.5)</f>
        <v>302000</v>
      </c>
      <c r="AF38" s="25">
        <f>$A$36*$AF$17</f>
        <v>388000</v>
      </c>
      <c r="AG38" s="25">
        <f>$A$36*$AG$17</f>
        <v>388000</v>
      </c>
      <c r="AH38" s="25">
        <f>AC38+AD38+AE38+AF38+AG38</f>
        <v>4869598</v>
      </c>
      <c r="AI38" s="25"/>
      <c r="AK38" s="41">
        <f>AH38-X38</f>
        <v>24428</v>
      </c>
      <c r="AM38" s="190">
        <f>AH38/X38-1</f>
        <v>5.0417219622840292E-3</v>
      </c>
    </row>
    <row r="39" spans="1:39" x14ac:dyDescent="0.2">
      <c r="T39" s="25"/>
      <c r="U39" s="25"/>
      <c r="V39" s="25"/>
      <c r="W39" s="25"/>
      <c r="X39" s="25"/>
      <c r="Y39" s="25"/>
      <c r="AE39" s="25"/>
    </row>
    <row r="40" spans="1:39" x14ac:dyDescent="0.2">
      <c r="A40" s="17" t="s">
        <v>373</v>
      </c>
      <c r="T40" s="25"/>
      <c r="U40" s="25"/>
      <c r="V40" s="25"/>
      <c r="W40" s="25"/>
      <c r="X40" s="25"/>
      <c r="Y40" s="25"/>
    </row>
    <row r="41" spans="1:39" x14ac:dyDescent="0.2">
      <c r="A41" s="228" t="str">
        <f>("Average usage = "&amp;INPUT!M19&amp;" kWh per month")</f>
        <v>Average usage = 0 kWh per month</v>
      </c>
      <c r="G41" s="91" t="s">
        <v>377</v>
      </c>
      <c r="T41" s="25"/>
      <c r="U41" s="25"/>
      <c r="V41" s="25"/>
      <c r="W41" s="25"/>
      <c r="X41" s="25"/>
      <c r="Y41" s="25"/>
    </row>
    <row r="42" spans="1:39" x14ac:dyDescent="0.2">
      <c r="A42" s="230" t="s">
        <v>375</v>
      </c>
      <c r="C42" s="189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AE42" s="191"/>
      <c r="AF42" s="25"/>
      <c r="AG42" s="25"/>
      <c r="AH42" s="25"/>
      <c r="AI42" s="25"/>
      <c r="AJ42" s="25"/>
      <c r="AK42" s="87"/>
    </row>
    <row r="43" spans="1:39" x14ac:dyDescent="0.2">
      <c r="A43" s="229" t="s">
        <v>378</v>
      </c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T43" s="192"/>
      <c r="AE43" s="193"/>
    </row>
    <row r="44" spans="1:39" x14ac:dyDescent="0.2">
      <c r="A44" s="233" t="s">
        <v>137</v>
      </c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AA44" s="89"/>
      <c r="AB44" s="86"/>
      <c r="AC44" s="89"/>
      <c r="AE44" s="89"/>
    </row>
    <row r="45" spans="1:39" x14ac:dyDescent="0.2">
      <c r="A45" s="233" t="str">
        <f>+'Rate Case Constants'!C26</f>
        <v>Calculations may vary from other schedules due to rounding</v>
      </c>
      <c r="AE45" s="193"/>
    </row>
    <row r="46" spans="1:39" x14ac:dyDescent="0.2">
      <c r="A46" s="185" t="s">
        <v>138</v>
      </c>
      <c r="S46" s="89"/>
      <c r="W46" s="89"/>
      <c r="AA46" s="89"/>
      <c r="AE46" s="193"/>
    </row>
    <row r="47" spans="1:39" x14ac:dyDescent="0.2"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AA47" s="89"/>
      <c r="AB47" s="86"/>
      <c r="AC47" s="89"/>
      <c r="AE47" s="89"/>
    </row>
    <row r="48" spans="1:39" x14ac:dyDescent="0.2"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AA48" s="89"/>
      <c r="AB48" s="86"/>
      <c r="AC48" s="89"/>
      <c r="AE48" s="89"/>
    </row>
    <row r="49" spans="5:31" x14ac:dyDescent="0.2"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T49" s="89"/>
      <c r="U49" s="89"/>
      <c r="V49" s="89"/>
      <c r="W49" s="89"/>
      <c r="X49" s="89"/>
      <c r="Y49" s="89"/>
    </row>
    <row r="50" spans="5:31" x14ac:dyDescent="0.2"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S50" s="41"/>
      <c r="T50" s="192"/>
      <c r="W50" s="192"/>
      <c r="X50" s="192"/>
      <c r="Y50" s="192"/>
      <c r="AA50" s="87"/>
      <c r="AC50" s="87"/>
      <c r="AE50" s="193"/>
    </row>
    <row r="51" spans="5:31" x14ac:dyDescent="0.2"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S51" s="41"/>
      <c r="T51" s="192"/>
      <c r="W51" s="192"/>
      <c r="X51" s="192"/>
      <c r="Y51" s="192"/>
      <c r="AA51" s="87"/>
      <c r="AC51" s="87"/>
      <c r="AE51" s="193"/>
    </row>
    <row r="52" spans="5:31" x14ac:dyDescent="0.2"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S52" s="41"/>
      <c r="T52" s="192"/>
      <c r="W52" s="192"/>
      <c r="X52" s="192"/>
      <c r="Y52" s="192"/>
      <c r="AA52" s="87"/>
      <c r="AC52" s="87"/>
      <c r="AE52" s="193"/>
    </row>
    <row r="53" spans="5:31" x14ac:dyDescent="0.2"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S53" s="41"/>
      <c r="T53" s="192"/>
      <c r="W53" s="192"/>
      <c r="X53" s="192"/>
      <c r="Y53" s="192"/>
      <c r="AA53" s="87"/>
      <c r="AB53" s="123"/>
      <c r="AC53" s="87"/>
      <c r="AD53" s="123"/>
      <c r="AE53" s="193"/>
    </row>
    <row r="54" spans="5:31" ht="6.75" customHeight="1" x14ac:dyDescent="0.2"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S54" s="41"/>
      <c r="T54" s="192"/>
      <c r="W54" s="192"/>
      <c r="X54" s="192"/>
      <c r="Y54" s="192"/>
      <c r="AA54" s="87"/>
      <c r="AB54" s="123"/>
      <c r="AC54" s="87"/>
      <c r="AD54" s="123"/>
      <c r="AE54" s="193"/>
    </row>
    <row r="55" spans="5:31" x14ac:dyDescent="0.2"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S55" s="41"/>
      <c r="T55" s="192"/>
      <c r="W55" s="192"/>
      <c r="X55" s="192"/>
      <c r="Y55" s="192"/>
      <c r="AA55" s="87"/>
      <c r="AC55" s="87"/>
      <c r="AE55" s="193"/>
    </row>
    <row r="56" spans="5:31" x14ac:dyDescent="0.2"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S56" s="41"/>
      <c r="T56" s="192"/>
      <c r="W56" s="192"/>
      <c r="X56" s="192"/>
      <c r="Y56" s="192"/>
      <c r="AA56" s="87"/>
      <c r="AC56" s="87"/>
      <c r="AE56" s="193"/>
    </row>
    <row r="57" spans="5:31" x14ac:dyDescent="0.2"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S57" s="41"/>
      <c r="T57" s="192"/>
      <c r="W57" s="192"/>
      <c r="X57" s="192"/>
      <c r="Y57" s="192"/>
      <c r="AA57" s="87"/>
      <c r="AC57" s="87"/>
      <c r="AE57" s="193"/>
    </row>
    <row r="58" spans="5:31" x14ac:dyDescent="0.2"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S58" s="41"/>
      <c r="T58" s="192"/>
      <c r="W58" s="192"/>
      <c r="X58" s="192"/>
      <c r="Y58" s="192"/>
      <c r="AA58" s="87"/>
      <c r="AC58" s="87"/>
      <c r="AE58" s="193"/>
    </row>
    <row r="59" spans="5:31" x14ac:dyDescent="0.2"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S59" s="41"/>
      <c r="T59" s="192"/>
      <c r="W59" s="192"/>
      <c r="X59" s="192"/>
      <c r="Y59" s="192"/>
      <c r="AA59" s="87"/>
      <c r="AC59" s="87"/>
      <c r="AE59" s="193"/>
    </row>
    <row r="60" spans="5:31" ht="6.75" customHeight="1" x14ac:dyDescent="0.2"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S60" s="41"/>
      <c r="T60" s="192"/>
      <c r="W60" s="192"/>
      <c r="X60" s="192"/>
      <c r="Y60" s="192"/>
      <c r="AA60" s="87"/>
      <c r="AC60" s="87"/>
      <c r="AE60" s="193"/>
    </row>
    <row r="61" spans="5:31" x14ac:dyDescent="0.2"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S61" s="41"/>
      <c r="T61" s="192"/>
      <c r="W61" s="192"/>
      <c r="X61" s="192"/>
      <c r="Y61" s="192"/>
      <c r="AA61" s="87"/>
      <c r="AC61" s="87"/>
      <c r="AE61" s="193"/>
    </row>
    <row r="62" spans="5:31" x14ac:dyDescent="0.2"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S62" s="41"/>
      <c r="T62" s="192"/>
      <c r="W62" s="192"/>
      <c r="X62" s="192"/>
      <c r="Y62" s="192"/>
      <c r="AA62" s="87"/>
      <c r="AC62" s="87"/>
      <c r="AE62" s="193"/>
    </row>
    <row r="63" spans="5:31" x14ac:dyDescent="0.2"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S63" s="41"/>
      <c r="T63" s="192"/>
      <c r="W63" s="192"/>
      <c r="X63" s="192"/>
      <c r="Y63" s="192"/>
      <c r="AA63" s="87"/>
      <c r="AC63" s="87"/>
      <c r="AE63" s="193"/>
    </row>
    <row r="64" spans="5:31" x14ac:dyDescent="0.2"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S64" s="41"/>
      <c r="T64" s="192"/>
      <c r="W64" s="192"/>
      <c r="X64" s="192"/>
      <c r="Y64" s="192"/>
      <c r="AA64" s="87"/>
      <c r="AC64" s="87"/>
      <c r="AE64" s="193"/>
    </row>
    <row r="65" spans="5:35" x14ac:dyDescent="0.2"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T65" s="89"/>
      <c r="U65" s="89"/>
      <c r="V65" s="89"/>
      <c r="W65" s="89"/>
      <c r="X65" s="89"/>
      <c r="Y65" s="89"/>
    </row>
    <row r="66" spans="5:35" x14ac:dyDescent="0.2"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T66" s="89"/>
      <c r="U66" s="89"/>
      <c r="V66" s="89"/>
      <c r="W66" s="89"/>
      <c r="X66" s="89"/>
      <c r="Y66" s="89"/>
    </row>
    <row r="67" spans="5:35" x14ac:dyDescent="0.2"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AE67" s="193"/>
    </row>
    <row r="68" spans="5:35" x14ac:dyDescent="0.2">
      <c r="AH68" s="194"/>
      <c r="AI68" s="194"/>
    </row>
  </sheetData>
  <mergeCells count="5">
    <mergeCell ref="K15:M15"/>
    <mergeCell ref="A1:P1"/>
    <mergeCell ref="A2:P2"/>
    <mergeCell ref="A3:P3"/>
    <mergeCell ref="A4:P4"/>
  </mergeCells>
  <printOptions horizontalCentered="1"/>
  <pageMargins left="0.25" right="0.25" top="1" bottom="0.5" header="1" footer="0.5"/>
  <pageSetup scale="8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0"/>
  <sheetViews>
    <sheetView view="pageBreakPreview" zoomScaleNormal="100" zoomScaleSheetLayoutView="100" workbookViewId="0">
      <selection activeCell="A21" sqref="A21"/>
    </sheetView>
  </sheetViews>
  <sheetFormatPr defaultRowHeight="12.75" x14ac:dyDescent="0.2"/>
  <cols>
    <col min="1" max="1" width="50.28515625" style="234" bestFit="1" customWidth="1"/>
    <col min="2" max="2" width="8.7109375" style="91" customWidth="1"/>
    <col min="3" max="3" width="10.140625" style="235" bestFit="1" customWidth="1"/>
    <col min="4" max="4" width="10.140625" style="91" bestFit="1" customWidth="1"/>
    <col min="5" max="6" width="9.140625" style="91"/>
    <col min="7" max="8" width="7.5703125" style="91" customWidth="1"/>
    <col min="9" max="10" width="11.7109375" style="91" bestFit="1" customWidth="1"/>
    <col min="11" max="11" width="11.5703125" style="91" customWidth="1"/>
    <col min="12" max="12" width="5.28515625" style="91" customWidth="1"/>
    <col min="13" max="14" width="9.140625" style="91"/>
    <col min="15" max="15" width="47.85546875" style="234" bestFit="1" customWidth="1"/>
    <col min="16" max="16" width="23.42578125" style="234" bestFit="1" customWidth="1"/>
    <col min="17" max="17" width="13.85546875" style="234" customWidth="1"/>
    <col min="18" max="18" width="11.85546875" style="91" customWidth="1"/>
    <col min="19" max="19" width="12.140625" style="91" customWidth="1"/>
    <col min="20" max="20" width="10.85546875" style="91" customWidth="1"/>
    <col min="21" max="16384" width="9.140625" style="91"/>
  </cols>
  <sheetData>
    <row r="1" spans="1:22" x14ac:dyDescent="0.2">
      <c r="A1" s="384" t="str">
        <f>+'Rate Case Constants'!C9</f>
        <v>LOUISVILLE GAS AND ELECTRIC COMPANY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</row>
    <row r="2" spans="1:22" x14ac:dyDescent="0.2">
      <c r="A2" s="384" t="str">
        <f>+'Rate Case Constants'!C10</f>
        <v>CASE NO. 2014-00372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</row>
    <row r="3" spans="1:22" x14ac:dyDescent="0.2">
      <c r="A3" s="385" t="str">
        <f>+'Rate Case Constants'!C24</f>
        <v>Typical Electric Bill Comparison under Present &amp; Proposed Rates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22" x14ac:dyDescent="0.2">
      <c r="A4" s="384" t="str">
        <f>+'Rate Case Constants'!C21</f>
        <v>FORECAST PERIOD FOR THE 12 MONTHS ENDED JUNE 30, 2016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</row>
    <row r="6" spans="1:22" x14ac:dyDescent="0.2">
      <c r="A6" s="234" t="str">
        <f>+'Rate Case Constants'!C33</f>
        <v>DATA: ____BASE PERIOD__X___FORECASTED PERIOD</v>
      </c>
      <c r="K6" s="236" t="str">
        <f>+'Rate Case Constants'!C25</f>
        <v>SCHEDULE N (Electric)</v>
      </c>
    </row>
    <row r="7" spans="1:22" x14ac:dyDescent="0.2">
      <c r="A7" s="234" t="str">
        <f>+'Rate Case Constants'!C29</f>
        <v>TYPE OF FILING: __X__ ORIGINAL  _____ UPDATED  _____ REVISED</v>
      </c>
      <c r="K7" s="117" t="str">
        <f>+'Rate Case Constants'!L21</f>
        <v>PAGE 14 of 22</v>
      </c>
      <c r="M7" s="91" t="s">
        <v>72</v>
      </c>
      <c r="N7" s="91">
        <f>+INPUT!G59</f>
        <v>-8.2351445508473846E-4</v>
      </c>
    </row>
    <row r="8" spans="1:22" x14ac:dyDescent="0.2">
      <c r="A8" s="234" t="str">
        <f>+'Rate Case Constants'!C34</f>
        <v>WORKPAPER REFERENCE NO(S):________</v>
      </c>
      <c r="K8" s="117" t="str">
        <f>+'Rate Case Constants'!C37</f>
        <v>WITNESS:   R. M. CONROY</v>
      </c>
      <c r="L8" s="117"/>
      <c r="M8" s="91" t="s">
        <v>73</v>
      </c>
      <c r="N8" s="91">
        <f>+INPUT!I59</f>
        <v>8.7747075449365695E-3</v>
      </c>
    </row>
    <row r="9" spans="1:22" x14ac:dyDescent="0.2">
      <c r="A9" s="341"/>
      <c r="B9" s="237"/>
      <c r="C9" s="238"/>
      <c r="D9" s="237"/>
      <c r="E9" s="237"/>
      <c r="F9" s="237"/>
      <c r="G9" s="237"/>
      <c r="H9" s="237"/>
      <c r="I9" s="237"/>
      <c r="J9" s="237"/>
      <c r="K9" s="237"/>
    </row>
    <row r="10" spans="1:22" x14ac:dyDescent="0.2">
      <c r="A10" s="88" t="s">
        <v>401</v>
      </c>
      <c r="B10" s="3" t="s">
        <v>362</v>
      </c>
      <c r="C10" s="26" t="s">
        <v>363</v>
      </c>
      <c r="D10" s="26" t="s">
        <v>364</v>
      </c>
      <c r="E10" s="3" t="s">
        <v>365</v>
      </c>
      <c r="F10" s="3" t="s">
        <v>366</v>
      </c>
      <c r="G10" s="26" t="s">
        <v>367</v>
      </c>
      <c r="H10" s="3" t="s">
        <v>368</v>
      </c>
      <c r="I10" s="3" t="s">
        <v>369</v>
      </c>
      <c r="J10" s="3" t="s">
        <v>370</v>
      </c>
      <c r="K10" s="3" t="s">
        <v>371</v>
      </c>
    </row>
    <row r="11" spans="1:22" x14ac:dyDescent="0.2">
      <c r="B11" s="42"/>
      <c r="C11" s="351" t="s">
        <v>406</v>
      </c>
      <c r="D11" s="351" t="s">
        <v>406</v>
      </c>
      <c r="E11"/>
      <c r="F11"/>
      <c r="G11" s="30"/>
      <c r="H11" s="30"/>
      <c r="I11" s="3" t="s">
        <v>5</v>
      </c>
      <c r="J11" s="3" t="s">
        <v>5</v>
      </c>
      <c r="K11"/>
    </row>
    <row r="12" spans="1:22" x14ac:dyDescent="0.2">
      <c r="A12" s="88"/>
      <c r="B12" s="3" t="s">
        <v>388</v>
      </c>
      <c r="C12" s="3" t="s">
        <v>1</v>
      </c>
      <c r="D12" s="3" t="s">
        <v>75</v>
      </c>
      <c r="E12" s="3"/>
      <c r="F12" s="3"/>
      <c r="G12" s="381" t="s">
        <v>136</v>
      </c>
      <c r="H12" s="381"/>
      <c r="I12" s="3" t="s">
        <v>1</v>
      </c>
      <c r="J12" s="3" t="s">
        <v>75</v>
      </c>
      <c r="K12" s="3"/>
    </row>
    <row r="13" spans="1:22" ht="13.5" thickBot="1" x14ac:dyDescent="0.25">
      <c r="A13" s="88"/>
      <c r="B13" s="3" t="s">
        <v>20</v>
      </c>
      <c r="C13" s="3" t="s">
        <v>4</v>
      </c>
      <c r="D13" s="3" t="s">
        <v>4</v>
      </c>
      <c r="E13" s="3" t="s">
        <v>76</v>
      </c>
      <c r="F13" s="3" t="s">
        <v>76</v>
      </c>
      <c r="G13" s="51" t="s">
        <v>72</v>
      </c>
      <c r="H13" s="53" t="s">
        <v>73</v>
      </c>
      <c r="I13" s="3" t="s">
        <v>4</v>
      </c>
      <c r="J13" s="3" t="s">
        <v>4</v>
      </c>
      <c r="K13" s="3" t="s">
        <v>76</v>
      </c>
      <c r="O13" s="239" t="s">
        <v>105</v>
      </c>
    </row>
    <row r="14" spans="1:22" x14ac:dyDescent="0.2">
      <c r="A14" s="88"/>
      <c r="B14" s="42"/>
      <c r="C14" s="3"/>
      <c r="D14" s="3"/>
      <c r="E14" s="3" t="s">
        <v>70</v>
      </c>
      <c r="F14" s="26" t="s">
        <v>71</v>
      </c>
      <c r="G14" s="52"/>
      <c r="H14" s="55"/>
      <c r="I14" s="3" t="s">
        <v>70</v>
      </c>
      <c r="J14" s="3" t="s">
        <v>70</v>
      </c>
      <c r="K14" s="26" t="s">
        <v>71</v>
      </c>
      <c r="S14" s="240" t="s">
        <v>141</v>
      </c>
    </row>
    <row r="15" spans="1:22" ht="13.5" thickBot="1" x14ac:dyDescent="0.25">
      <c r="A15" s="88"/>
      <c r="B15" s="88"/>
      <c r="C15" s="222"/>
      <c r="D15" s="222"/>
      <c r="E15" s="222" t="str">
        <f>("[ "&amp;D10&amp;" - "&amp;C10&amp;" ]")</f>
        <v>[ C - B ]</v>
      </c>
      <c r="F15" s="222" t="str">
        <f>("[ "&amp;E10&amp;" / "&amp;C10&amp;" ]")</f>
        <v>[ D / B ]</v>
      </c>
      <c r="G15" s="224"/>
      <c r="H15" s="224"/>
      <c r="I15" s="222" t="str">
        <f>("["&amp;C10&amp;"+"&amp;$G$10&amp;"+"&amp;$H$10&amp;"]")</f>
        <v>[B+F+G]</v>
      </c>
      <c r="J15" s="222" t="str">
        <f>("["&amp;D10&amp;"+"&amp;$G$10&amp;"+"&amp;$H$10&amp;"]")</f>
        <v>[C+F+G]</v>
      </c>
      <c r="K15" s="222" t="str">
        <f>("[("&amp;J10&amp;" - "&amp;I10&amp;")"&amp;I10&amp;"]")</f>
        <v>[(I - H)H]</v>
      </c>
      <c r="O15" s="241" t="s">
        <v>98</v>
      </c>
      <c r="S15" s="242" t="s">
        <v>104</v>
      </c>
    </row>
    <row r="16" spans="1:22" ht="13.5" thickBot="1" x14ac:dyDescent="0.25">
      <c r="A16" s="243"/>
      <c r="B16" s="243"/>
      <c r="C16" s="89"/>
      <c r="D16" s="89"/>
      <c r="E16" s="222"/>
      <c r="F16" s="222"/>
      <c r="G16" s="89"/>
      <c r="H16" s="89"/>
      <c r="I16" s="222"/>
      <c r="J16" s="89"/>
      <c r="K16" s="222"/>
      <c r="O16" s="244"/>
      <c r="P16" s="245" t="s">
        <v>88</v>
      </c>
      <c r="Q16" s="246"/>
      <c r="S16" s="247" t="str">
        <f>+INPUT!$O$55</f>
        <v>Oct</v>
      </c>
      <c r="T16" s="235"/>
      <c r="U16" s="235" t="s">
        <v>5</v>
      </c>
      <c r="V16" s="235" t="s">
        <v>5</v>
      </c>
    </row>
    <row r="17" spans="1:22" ht="13.5" thickBot="1" x14ac:dyDescent="0.25">
      <c r="A17" s="251" t="s">
        <v>89</v>
      </c>
      <c r="B17" s="251"/>
      <c r="O17" s="252" t="s">
        <v>89</v>
      </c>
      <c r="P17" s="248" t="s">
        <v>1</v>
      </c>
      <c r="Q17" s="248" t="s">
        <v>9</v>
      </c>
      <c r="R17" s="249" t="s">
        <v>20</v>
      </c>
      <c r="S17" s="250" t="s">
        <v>72</v>
      </c>
      <c r="T17" s="250" t="s">
        <v>73</v>
      </c>
      <c r="U17" s="235" t="s">
        <v>1</v>
      </c>
      <c r="V17" s="235" t="s">
        <v>9</v>
      </c>
    </row>
    <row r="18" spans="1:22" ht="13.5" thickBot="1" x14ac:dyDescent="0.25">
      <c r="A18" s="255" t="s">
        <v>93</v>
      </c>
      <c r="B18" s="255"/>
      <c r="O18" s="256" t="s">
        <v>93</v>
      </c>
      <c r="P18" s="248"/>
      <c r="Q18" s="248"/>
      <c r="S18" s="253"/>
      <c r="T18" s="254"/>
      <c r="U18" s="235" t="s">
        <v>4</v>
      </c>
      <c r="V18" s="235" t="s">
        <v>4</v>
      </c>
    </row>
    <row r="19" spans="1:22" ht="13.5" thickBot="1" x14ac:dyDescent="0.25">
      <c r="A19" s="251" t="s">
        <v>146</v>
      </c>
      <c r="B19" s="250">
        <f>+R19</f>
        <v>0.18099999999999999</v>
      </c>
      <c r="C19" s="311">
        <f t="shared" ref="C19:D24" si="0">+U19</f>
        <v>13.349613069328852</v>
      </c>
      <c r="D19" s="311">
        <f t="shared" si="0"/>
        <v>13.729613069328851</v>
      </c>
      <c r="E19" s="312">
        <f t="shared" ref="E19:E24" si="1">+D19-C19</f>
        <v>0.37999999999999901</v>
      </c>
      <c r="F19" s="259">
        <f t="shared" ref="F19:F24" si="2">+E19/D19</f>
        <v>2.7677400526959984E-2</v>
      </c>
      <c r="G19" s="312">
        <f t="shared" ref="G19:H24" si="3">+S19</f>
        <v>-5.4852650824284262E-2</v>
      </c>
      <c r="H19" s="312">
        <f t="shared" si="3"/>
        <v>0.58446572015313503</v>
      </c>
      <c r="I19" s="312">
        <f t="shared" ref="I19:I24" si="4">+C19+G19+H19</f>
        <v>13.879226138657703</v>
      </c>
      <c r="J19" s="312">
        <f t="shared" ref="J19:J24" si="5">+D19+G19+H19</f>
        <v>14.259226138657702</v>
      </c>
      <c r="K19" s="259">
        <f t="shared" ref="K19:K24" si="6">(J19-I19)/I19</f>
        <v>2.737904809703964E-2</v>
      </c>
      <c r="N19" s="91">
        <v>452</v>
      </c>
      <c r="O19" s="262" t="s">
        <v>146</v>
      </c>
      <c r="P19" s="263">
        <f>+INPUT!AA9</f>
        <v>12.82</v>
      </c>
      <c r="Q19" s="264">
        <f>+INPUT!AB9</f>
        <v>13.2</v>
      </c>
      <c r="R19" s="265">
        <f>+INPUT!AC9</f>
        <v>0.18099999999999999</v>
      </c>
      <c r="S19" s="260">
        <f>($R19*INPUT!$P$55)*INPUT!$G$59</f>
        <v>-5.4852650824284262E-2</v>
      </c>
      <c r="T19" s="260">
        <f>($R19*INPUT!$P$55)*INPUT!$I$59</f>
        <v>0.58446572015313503</v>
      </c>
      <c r="U19" s="261">
        <f>+P19+S19+T19</f>
        <v>13.349613069328852</v>
      </c>
      <c r="V19" s="261">
        <f>+Q19+S19+T19</f>
        <v>13.729613069328851</v>
      </c>
    </row>
    <row r="20" spans="1:22" ht="13.5" thickBot="1" x14ac:dyDescent="0.25">
      <c r="A20" s="251" t="s">
        <v>147</v>
      </c>
      <c r="B20" s="250">
        <f t="shared" ref="B20:B24" si="7">+R20</f>
        <v>0.29399999999999998</v>
      </c>
      <c r="C20" s="311">
        <f t="shared" si="0"/>
        <v>15.94025548277725</v>
      </c>
      <c r="D20" s="311">
        <f t="shared" si="0"/>
        <v>16.380255482777248</v>
      </c>
      <c r="E20" s="312">
        <f t="shared" si="1"/>
        <v>0.43999999999999773</v>
      </c>
      <c r="F20" s="259">
        <f t="shared" si="2"/>
        <v>2.6861607895104479E-2</v>
      </c>
      <c r="G20" s="312">
        <f t="shared" si="3"/>
        <v>-8.9097675924528025E-2</v>
      </c>
      <c r="H20" s="312">
        <f t="shared" si="3"/>
        <v>0.94935315870177728</v>
      </c>
      <c r="I20" s="312">
        <f t="shared" si="4"/>
        <v>16.800510965554498</v>
      </c>
      <c r="J20" s="312">
        <f t="shared" si="5"/>
        <v>17.240510965554495</v>
      </c>
      <c r="K20" s="259">
        <f t="shared" si="6"/>
        <v>2.6189679641417715E-2</v>
      </c>
      <c r="N20" s="91">
        <v>453</v>
      </c>
      <c r="O20" s="266" t="s">
        <v>147</v>
      </c>
      <c r="P20" s="263">
        <f>+INPUT!AA10</f>
        <v>15.08</v>
      </c>
      <c r="Q20" s="264">
        <f>+INPUT!AB10</f>
        <v>15.52</v>
      </c>
      <c r="R20" s="265">
        <f>+INPUT!AC10</f>
        <v>0.29399999999999998</v>
      </c>
      <c r="S20" s="260">
        <f>($R20*INPUT!$P$55)*INPUT!$G$59</f>
        <v>-8.9097675924528025E-2</v>
      </c>
      <c r="T20" s="260">
        <f>($R20*INPUT!$P$55)*INPUT!$I$59</f>
        <v>0.94935315870177728</v>
      </c>
      <c r="U20" s="261">
        <f t="shared" ref="U20:U29" si="8">+P20+S20+T20</f>
        <v>15.94025548277725</v>
      </c>
      <c r="V20" s="261">
        <f t="shared" ref="V20:V29" si="9">+Q20+S20+T20</f>
        <v>16.380255482777248</v>
      </c>
    </row>
    <row r="21" spans="1:22" ht="13.5" thickBot="1" x14ac:dyDescent="0.25">
      <c r="A21" s="267" t="s">
        <v>148</v>
      </c>
      <c r="B21" s="250">
        <f t="shared" si="7"/>
        <v>0.47099999999999997</v>
      </c>
      <c r="C21" s="311">
        <f t="shared" si="0"/>
        <v>18.758164395877838</v>
      </c>
      <c r="D21" s="311">
        <f t="shared" si="0"/>
        <v>19.268164395877839</v>
      </c>
      <c r="E21" s="312">
        <f t="shared" si="1"/>
        <v>0.51000000000000156</v>
      </c>
      <c r="F21" s="259">
        <f t="shared" si="2"/>
        <v>2.6468530656148497E-2</v>
      </c>
      <c r="G21" s="312">
        <f t="shared" si="3"/>
        <v>-0.14273811347092755</v>
      </c>
      <c r="H21" s="312">
        <f t="shared" si="3"/>
        <v>1.5209025093487658</v>
      </c>
      <c r="I21" s="312">
        <f t="shared" si="4"/>
        <v>20.136328791755677</v>
      </c>
      <c r="J21" s="312">
        <f t="shared" si="5"/>
        <v>20.646328791755678</v>
      </c>
      <c r="K21" s="259">
        <f t="shared" si="6"/>
        <v>2.5327357597021781E-2</v>
      </c>
      <c r="N21" s="91">
        <v>454</v>
      </c>
      <c r="O21" s="268" t="s">
        <v>148</v>
      </c>
      <c r="P21" s="263">
        <f>+INPUT!AA11</f>
        <v>17.38</v>
      </c>
      <c r="Q21" s="264">
        <f>+INPUT!AB11</f>
        <v>17.89</v>
      </c>
      <c r="R21" s="265">
        <f>+INPUT!AC11</f>
        <v>0.47099999999999997</v>
      </c>
      <c r="S21" s="260">
        <f>($R21*INPUT!$P$55)*INPUT!$G$59</f>
        <v>-0.14273811347092755</v>
      </c>
      <c r="T21" s="260">
        <f>($R21*INPUT!$P$55)*INPUT!$I$59</f>
        <v>1.5209025093487658</v>
      </c>
      <c r="U21" s="261">
        <f t="shared" si="8"/>
        <v>18.758164395877838</v>
      </c>
      <c r="V21" s="261">
        <f t="shared" si="9"/>
        <v>19.268164395877839</v>
      </c>
    </row>
    <row r="22" spans="1:22" ht="13.5" thickBot="1" x14ac:dyDescent="0.25">
      <c r="A22" s="267" t="s">
        <v>149</v>
      </c>
      <c r="B22" s="250">
        <f t="shared" si="7"/>
        <v>0.18099999999999999</v>
      </c>
      <c r="C22" s="311">
        <f t="shared" si="0"/>
        <v>14.299613069328851</v>
      </c>
      <c r="D22" s="311">
        <f t="shared" si="0"/>
        <v>14.709613069328851</v>
      </c>
      <c r="E22" s="312">
        <f t="shared" si="1"/>
        <v>0.41000000000000014</v>
      </c>
      <c r="F22" s="259">
        <f t="shared" si="2"/>
        <v>2.7872928952488552E-2</v>
      </c>
      <c r="G22" s="312">
        <f t="shared" si="3"/>
        <v>-5.4852650824284262E-2</v>
      </c>
      <c r="H22" s="312">
        <f t="shared" si="3"/>
        <v>0.58446572015313503</v>
      </c>
      <c r="I22" s="312">
        <f t="shared" si="4"/>
        <v>14.829226138657702</v>
      </c>
      <c r="J22" s="312">
        <f t="shared" si="5"/>
        <v>15.239226138657703</v>
      </c>
      <c r="K22" s="259">
        <f t="shared" si="6"/>
        <v>2.7648104908939781E-2</v>
      </c>
      <c r="N22" s="91">
        <v>455</v>
      </c>
      <c r="O22" s="268" t="s">
        <v>149</v>
      </c>
      <c r="P22" s="263">
        <f>+INPUT!AA12</f>
        <v>13.77</v>
      </c>
      <c r="Q22" s="264">
        <f>+INPUT!AB12</f>
        <v>14.18</v>
      </c>
      <c r="R22" s="265">
        <f>+INPUT!AC12</f>
        <v>0.18099999999999999</v>
      </c>
      <c r="S22" s="260">
        <f>($R22*INPUT!$P$55)*INPUT!$G$59</f>
        <v>-5.4852650824284262E-2</v>
      </c>
      <c r="T22" s="260">
        <f>($R22*INPUT!$P$55)*INPUT!$I$59</f>
        <v>0.58446572015313503</v>
      </c>
      <c r="U22" s="261">
        <f t="shared" si="8"/>
        <v>14.299613069328851</v>
      </c>
      <c r="V22" s="261">
        <f t="shared" si="9"/>
        <v>14.709613069328851</v>
      </c>
    </row>
    <row r="23" spans="1:22" ht="13.5" thickBot="1" x14ac:dyDescent="0.25">
      <c r="A23" s="267" t="s">
        <v>150</v>
      </c>
      <c r="B23" s="250">
        <f t="shared" si="7"/>
        <v>0.47099999999999997</v>
      </c>
      <c r="C23" s="311">
        <f t="shared" si="0"/>
        <v>19.58816439587784</v>
      </c>
      <c r="D23" s="311">
        <f t="shared" si="0"/>
        <v>20.128164395877839</v>
      </c>
      <c r="E23" s="312">
        <f t="shared" si="1"/>
        <v>0.53999999999999915</v>
      </c>
      <c r="F23" s="259">
        <f t="shared" si="2"/>
        <v>2.6828079768197285E-2</v>
      </c>
      <c r="G23" s="312">
        <f t="shared" si="3"/>
        <v>-0.14273811347092755</v>
      </c>
      <c r="H23" s="312">
        <f t="shared" si="3"/>
        <v>1.5209025093487658</v>
      </c>
      <c r="I23" s="312">
        <f t="shared" si="4"/>
        <v>20.966328791755679</v>
      </c>
      <c r="J23" s="312">
        <f t="shared" si="5"/>
        <v>21.506328791755678</v>
      </c>
      <c r="K23" s="259">
        <f t="shared" si="6"/>
        <v>2.5755581979251249E-2</v>
      </c>
      <c r="N23" s="91">
        <v>456</v>
      </c>
      <c r="O23" s="268" t="s">
        <v>150</v>
      </c>
      <c r="P23" s="263">
        <f>+INPUT!AA13</f>
        <v>18.21</v>
      </c>
      <c r="Q23" s="264">
        <f>+INPUT!AB13</f>
        <v>18.75</v>
      </c>
      <c r="R23" s="265">
        <f>+INPUT!AC13</f>
        <v>0.47099999999999997</v>
      </c>
      <c r="S23" s="260">
        <f>($R23*INPUT!$P$55)*INPUT!$G$59</f>
        <v>-0.14273811347092755</v>
      </c>
      <c r="T23" s="260">
        <f>($R23*INPUT!$P$55)*INPUT!$I$59</f>
        <v>1.5209025093487658</v>
      </c>
      <c r="U23" s="261">
        <f t="shared" si="8"/>
        <v>19.58816439587784</v>
      </c>
      <c r="V23" s="261">
        <f t="shared" si="9"/>
        <v>20.128164395877839</v>
      </c>
    </row>
    <row r="24" spans="1:22" ht="13.5" thickBot="1" x14ac:dyDescent="0.25">
      <c r="A24" s="267" t="s">
        <v>151</v>
      </c>
      <c r="B24" s="250">
        <f t="shared" si="7"/>
        <v>0.11700000000000001</v>
      </c>
      <c r="C24" s="311">
        <f t="shared" si="0"/>
        <v>11.20234656967666</v>
      </c>
      <c r="D24" s="311">
        <f t="shared" si="0"/>
        <v>11.52234656967666</v>
      </c>
      <c r="E24" s="312">
        <f t="shared" si="1"/>
        <v>0.32000000000000028</v>
      </c>
      <c r="F24" s="259">
        <f t="shared" si="2"/>
        <v>2.7772120727746874E-2</v>
      </c>
      <c r="G24" s="312">
        <f t="shared" si="3"/>
        <v>-3.5457238378128503E-2</v>
      </c>
      <c r="H24" s="312">
        <f t="shared" si="3"/>
        <v>0.37780380805478897</v>
      </c>
      <c r="I24" s="312">
        <f t="shared" si="4"/>
        <v>11.544693139353321</v>
      </c>
      <c r="J24" s="312">
        <f t="shared" si="5"/>
        <v>11.864693139353321</v>
      </c>
      <c r="K24" s="259">
        <f t="shared" si="6"/>
        <v>2.7718363419222521E-2</v>
      </c>
      <c r="N24" s="91">
        <v>457</v>
      </c>
      <c r="O24" s="268" t="s">
        <v>151</v>
      </c>
      <c r="P24" s="263">
        <f>+INPUT!AA14</f>
        <v>10.86</v>
      </c>
      <c r="Q24" s="264">
        <f>+INPUT!AB14</f>
        <v>11.18</v>
      </c>
      <c r="R24" s="265">
        <f>+INPUT!AC14</f>
        <v>0.11700000000000001</v>
      </c>
      <c r="S24" s="260">
        <f>($R24*INPUT!$P$55)*INPUT!$G$59</f>
        <v>-3.5457238378128503E-2</v>
      </c>
      <c r="T24" s="260">
        <f>($R24*INPUT!$P$55)*INPUT!$I$59</f>
        <v>0.37780380805478897</v>
      </c>
      <c r="U24" s="261">
        <f t="shared" si="8"/>
        <v>11.20234656967666</v>
      </c>
      <c r="V24" s="261">
        <f t="shared" si="9"/>
        <v>11.52234656967666</v>
      </c>
    </row>
    <row r="25" spans="1:22" ht="13.5" thickBot="1" x14ac:dyDescent="0.25">
      <c r="A25" s="267"/>
      <c r="B25" s="267"/>
      <c r="C25" s="311"/>
      <c r="D25" s="312"/>
      <c r="E25" s="312"/>
      <c r="F25" s="258"/>
      <c r="G25" s="313"/>
      <c r="H25" s="312"/>
      <c r="I25" s="312"/>
      <c r="J25" s="312"/>
      <c r="K25" s="259"/>
      <c r="O25" s="269"/>
      <c r="P25" s="263"/>
      <c r="Q25" s="264"/>
      <c r="R25" s="265"/>
      <c r="S25" s="260"/>
      <c r="T25" s="260"/>
      <c r="U25" s="261"/>
      <c r="V25" s="261"/>
    </row>
    <row r="26" spans="1:22" ht="13.5" thickBot="1" x14ac:dyDescent="0.25">
      <c r="A26" s="270" t="s">
        <v>101</v>
      </c>
      <c r="B26" s="270"/>
      <c r="C26" s="311"/>
      <c r="D26" s="312"/>
      <c r="E26" s="312"/>
      <c r="F26" s="258"/>
      <c r="G26" s="313"/>
      <c r="H26" s="312"/>
      <c r="I26" s="312"/>
      <c r="J26" s="312"/>
      <c r="K26" s="259"/>
      <c r="O26" s="271" t="s">
        <v>101</v>
      </c>
      <c r="P26" s="263"/>
      <c r="Q26" s="264"/>
      <c r="R26" s="265"/>
      <c r="S26" s="260"/>
      <c r="T26" s="260"/>
      <c r="U26" s="261"/>
      <c r="V26" s="261"/>
    </row>
    <row r="27" spans="1:22" ht="13.5" thickBot="1" x14ac:dyDescent="0.25">
      <c r="A27" s="267" t="s">
        <v>152</v>
      </c>
      <c r="B27" s="250">
        <f t="shared" ref="B27:B29" si="10">+R27</f>
        <v>0.15</v>
      </c>
      <c r="C27" s="311">
        <f t="shared" ref="C27:D29" si="11">+U27</f>
        <v>13.22890585855982</v>
      </c>
      <c r="D27" s="311">
        <f t="shared" si="11"/>
        <v>13.608905858559821</v>
      </c>
      <c r="E27" s="312">
        <f>+D27-C27</f>
        <v>0.38000000000000078</v>
      </c>
      <c r="F27" s="259">
        <f>+E27/D27</f>
        <v>2.792289137344468E-2</v>
      </c>
      <c r="G27" s="312">
        <f t="shared" ref="G27:H29" si="12">+S27</f>
        <v>-4.5457997920677562E-2</v>
      </c>
      <c r="H27" s="312">
        <f t="shared" si="12"/>
        <v>0.48436385648049862</v>
      </c>
      <c r="I27" s="312">
        <f>+C27+G27+H27</f>
        <v>13.66781171711964</v>
      </c>
      <c r="J27" s="312">
        <f>+D27+G27+H27</f>
        <v>14.047811717119641</v>
      </c>
      <c r="K27" s="259">
        <f>(J27-I27)/I27</f>
        <v>2.7802548635055539E-2</v>
      </c>
      <c r="N27" s="91">
        <v>470</v>
      </c>
      <c r="O27" s="272" t="s">
        <v>152</v>
      </c>
      <c r="P27" s="263">
        <f>+INPUT!AA17</f>
        <v>12.79</v>
      </c>
      <c r="Q27" s="264">
        <f>+INPUT!AB17</f>
        <v>13.17</v>
      </c>
      <c r="R27" s="265">
        <f>+INPUT!AC17</f>
        <v>0.15</v>
      </c>
      <c r="S27" s="260">
        <f>($R27*INPUT!$P$55)*INPUT!$G$59</f>
        <v>-4.5457997920677562E-2</v>
      </c>
      <c r="T27" s="260">
        <f>($R27*INPUT!$P$55)*INPUT!$I$59</f>
        <v>0.48436385648049862</v>
      </c>
      <c r="U27" s="261">
        <f t="shared" si="8"/>
        <v>13.22890585855982</v>
      </c>
      <c r="V27" s="261">
        <f t="shared" si="9"/>
        <v>13.608905858559821</v>
      </c>
    </row>
    <row r="28" spans="1:22" ht="13.5" thickBot="1" x14ac:dyDescent="0.25">
      <c r="A28" s="267" t="s">
        <v>153</v>
      </c>
      <c r="B28" s="250">
        <f t="shared" si="10"/>
        <v>0.35</v>
      </c>
      <c r="C28" s="311">
        <f t="shared" si="11"/>
        <v>19.704113669972916</v>
      </c>
      <c r="D28" s="311">
        <f t="shared" si="11"/>
        <v>20.254113669972917</v>
      </c>
      <c r="E28" s="312">
        <f>+D28-C28</f>
        <v>0.55000000000000071</v>
      </c>
      <c r="F28" s="259">
        <f>+E28/D28</f>
        <v>2.7154977451093576E-2</v>
      </c>
      <c r="G28" s="312">
        <f t="shared" si="12"/>
        <v>-0.1060686618149143</v>
      </c>
      <c r="H28" s="312">
        <f t="shared" si="12"/>
        <v>1.1301823317878299</v>
      </c>
      <c r="I28" s="312">
        <f>+C28+G28+H28</f>
        <v>20.728227339945832</v>
      </c>
      <c r="J28" s="312">
        <f>+D28+G28+H28</f>
        <v>21.278227339945833</v>
      </c>
      <c r="K28" s="259">
        <f>(J28-I28)/I28</f>
        <v>2.6533865678908461E-2</v>
      </c>
      <c r="N28" s="91">
        <v>473</v>
      </c>
      <c r="O28" s="269" t="s">
        <v>153</v>
      </c>
      <c r="P28" s="263">
        <f>+INPUT!AA18</f>
        <v>18.68</v>
      </c>
      <c r="Q28" s="264">
        <f>+INPUT!AB18</f>
        <v>19.23</v>
      </c>
      <c r="R28" s="265">
        <f>+INPUT!AC18</f>
        <v>0.35</v>
      </c>
      <c r="S28" s="260">
        <f>($R28*INPUT!$P$55)*INPUT!$G$59</f>
        <v>-0.1060686618149143</v>
      </c>
      <c r="T28" s="260">
        <f>($R28*INPUT!$P$55)*INPUT!$I$59</f>
        <v>1.1301823317878299</v>
      </c>
      <c r="U28" s="261">
        <f t="shared" si="8"/>
        <v>19.704113669972916</v>
      </c>
      <c r="V28" s="261">
        <f t="shared" si="9"/>
        <v>20.254113669972917</v>
      </c>
    </row>
    <row r="29" spans="1:22" ht="13.5" thickBot="1" x14ac:dyDescent="0.25">
      <c r="A29" s="267" t="s">
        <v>154</v>
      </c>
      <c r="B29" s="250">
        <f t="shared" si="10"/>
        <v>1.08</v>
      </c>
      <c r="C29" s="311">
        <f t="shared" si="11"/>
        <v>42.760122181630713</v>
      </c>
      <c r="D29" s="311">
        <f t="shared" si="11"/>
        <v>43.930122181630715</v>
      </c>
      <c r="E29" s="312">
        <f>+D29-C29</f>
        <v>1.1700000000000017</v>
      </c>
      <c r="F29" s="259">
        <f>+E29/D29</f>
        <v>2.6633206144125742E-2</v>
      </c>
      <c r="G29" s="312">
        <f t="shared" si="12"/>
        <v>-0.32729758502887851</v>
      </c>
      <c r="H29" s="312">
        <f t="shared" si="12"/>
        <v>3.4874197666595905</v>
      </c>
      <c r="I29" s="312">
        <f>+C29+G29+H29</f>
        <v>45.920244363261425</v>
      </c>
      <c r="J29" s="312">
        <f>+D29+G29+H29</f>
        <v>47.090244363261426</v>
      </c>
      <c r="K29" s="259">
        <f>(J29-I29)/I29</f>
        <v>2.5478958490387789E-2</v>
      </c>
      <c r="N29" s="91">
        <v>476</v>
      </c>
      <c r="O29" s="273" t="s">
        <v>154</v>
      </c>
      <c r="P29" s="263">
        <f>+INPUT!AA19</f>
        <v>39.6</v>
      </c>
      <c r="Q29" s="264">
        <f>+INPUT!AB19</f>
        <v>40.770000000000003</v>
      </c>
      <c r="R29" s="265">
        <f>+INPUT!AC19</f>
        <v>1.08</v>
      </c>
      <c r="S29" s="260">
        <f>($R29*INPUT!$P$55)*INPUT!$G$59</f>
        <v>-0.32729758502887851</v>
      </c>
      <c r="T29" s="260">
        <f>($R29*INPUT!$P$55)*INPUT!$I$59</f>
        <v>3.4874197666595905</v>
      </c>
      <c r="U29" s="261">
        <f t="shared" si="8"/>
        <v>42.760122181630713</v>
      </c>
      <c r="V29" s="261">
        <f t="shared" si="9"/>
        <v>43.930122181630715</v>
      </c>
    </row>
    <row r="30" spans="1:22" x14ac:dyDescent="0.2">
      <c r="A30" s="267"/>
      <c r="B30" s="267"/>
      <c r="D30" s="258"/>
      <c r="E30" s="258"/>
      <c r="F30" s="258"/>
      <c r="G30" s="259"/>
      <c r="H30" s="261"/>
      <c r="I30" s="261"/>
      <c r="J30" s="261"/>
      <c r="K30" s="259"/>
      <c r="O30" s="272"/>
      <c r="P30" s="263"/>
      <c r="Q30" s="264"/>
      <c r="R30" s="265"/>
      <c r="S30" s="260"/>
      <c r="T30" s="260"/>
      <c r="U30" s="261"/>
      <c r="V30" s="261"/>
    </row>
    <row r="31" spans="1:22" x14ac:dyDescent="0.2">
      <c r="A31" s="342"/>
      <c r="B31" s="230"/>
      <c r="D31" s="258"/>
      <c r="E31" s="258"/>
      <c r="F31" s="258"/>
      <c r="G31" s="259"/>
      <c r="H31" s="261"/>
      <c r="I31" s="261"/>
      <c r="J31" s="261"/>
      <c r="K31" s="259"/>
      <c r="O31" s="272"/>
      <c r="P31" s="263"/>
      <c r="Q31" s="264"/>
      <c r="R31" s="265"/>
      <c r="S31" s="260"/>
      <c r="T31" s="260"/>
      <c r="U31" s="261"/>
      <c r="V31" s="261"/>
    </row>
    <row r="32" spans="1:22" x14ac:dyDescent="0.2">
      <c r="A32" s="234" t="s">
        <v>373</v>
      </c>
      <c r="D32" s="258"/>
      <c r="E32" s="258"/>
      <c r="F32" s="258"/>
      <c r="G32" s="259"/>
      <c r="H32" s="261"/>
      <c r="I32" s="261"/>
      <c r="J32" s="261"/>
      <c r="K32" s="259"/>
      <c r="O32" s="272"/>
      <c r="P32" s="263"/>
      <c r="Q32" s="264"/>
      <c r="R32" s="265"/>
      <c r="S32" s="260"/>
      <c r="T32" s="260"/>
      <c r="U32" s="261"/>
      <c r="V32" s="261"/>
    </row>
    <row r="33" spans="1:22" ht="13.5" thickBot="1" x14ac:dyDescent="0.25">
      <c r="A33" s="230" t="s">
        <v>389</v>
      </c>
      <c r="B33" s="230"/>
      <c r="D33" s="258"/>
      <c r="E33" s="258"/>
      <c r="F33" s="258"/>
      <c r="G33" s="259"/>
      <c r="H33" s="261"/>
      <c r="I33" s="261"/>
      <c r="J33" s="261"/>
      <c r="K33" s="259"/>
      <c r="O33" s="272"/>
      <c r="P33" s="263"/>
      <c r="Q33" s="264"/>
      <c r="R33" s="265"/>
      <c r="S33" s="260"/>
      <c r="T33" s="260"/>
      <c r="U33" s="261"/>
      <c r="V33" s="261"/>
    </row>
    <row r="34" spans="1:22" ht="13.5" thickBot="1" x14ac:dyDescent="0.25">
      <c r="A34" s="230" t="str">
        <f>+'Rate Case Constants'!$C$26</f>
        <v>Calculations may vary from other schedules due to rounding</v>
      </c>
      <c r="B34" s="267"/>
      <c r="D34" s="258"/>
      <c r="E34" s="258"/>
      <c r="F34" s="258"/>
      <c r="G34" s="259"/>
      <c r="H34" s="261"/>
      <c r="I34" s="261"/>
      <c r="J34" s="261"/>
      <c r="K34" s="259"/>
      <c r="N34" s="91" t="s">
        <v>155</v>
      </c>
      <c r="O34" s="269"/>
      <c r="P34" s="263"/>
      <c r="Q34" s="264"/>
      <c r="R34" s="265"/>
      <c r="S34" s="260"/>
      <c r="T34" s="260"/>
      <c r="U34" s="261"/>
      <c r="V34" s="261"/>
    </row>
    <row r="35" spans="1:22" ht="13.5" thickBot="1" x14ac:dyDescent="0.25">
      <c r="A35" s="384" t="str">
        <f>+A1</f>
        <v>LOUISVILLE GAS AND ELECTRIC COMPANY</v>
      </c>
      <c r="B35" s="384"/>
      <c r="C35" s="384"/>
      <c r="D35" s="384"/>
      <c r="E35" s="384"/>
      <c r="F35" s="384"/>
      <c r="G35" s="384"/>
      <c r="H35" s="384"/>
      <c r="I35" s="384"/>
      <c r="J35" s="384"/>
      <c r="K35" s="384"/>
      <c r="O35" s="274"/>
      <c r="P35" s="263"/>
      <c r="Q35" s="264"/>
      <c r="R35" s="265"/>
      <c r="S35" s="260"/>
      <c r="T35" s="260"/>
      <c r="U35" s="261"/>
      <c r="V35" s="261"/>
    </row>
    <row r="36" spans="1:22" ht="13.5" thickBot="1" x14ac:dyDescent="0.25">
      <c r="A36" s="384" t="str">
        <f>+A2</f>
        <v>CASE NO. 2014-00372</v>
      </c>
      <c r="B36" s="384"/>
      <c r="C36" s="384"/>
      <c r="D36" s="384"/>
      <c r="E36" s="384"/>
      <c r="F36" s="384"/>
      <c r="G36" s="384"/>
      <c r="H36" s="384"/>
      <c r="I36" s="384"/>
      <c r="J36" s="384"/>
      <c r="K36" s="384"/>
      <c r="O36" s="274"/>
      <c r="P36" s="263"/>
      <c r="Q36" s="264"/>
      <c r="R36" s="265"/>
      <c r="S36" s="260"/>
      <c r="T36" s="260"/>
      <c r="U36" s="261"/>
      <c r="V36" s="261"/>
    </row>
    <row r="37" spans="1:22" ht="13.5" thickBot="1" x14ac:dyDescent="0.25">
      <c r="A37" s="385" t="str">
        <f>+A3</f>
        <v>Typical Electric Bill Comparison under Present &amp; Proposed Rates</v>
      </c>
      <c r="B37" s="385"/>
      <c r="C37" s="385"/>
      <c r="D37" s="385"/>
      <c r="E37" s="385"/>
      <c r="F37" s="385"/>
      <c r="G37" s="385"/>
      <c r="H37" s="385"/>
      <c r="I37" s="385"/>
      <c r="J37" s="385"/>
      <c r="K37" s="385"/>
      <c r="O37" s="274"/>
      <c r="P37" s="263"/>
      <c r="Q37" s="264"/>
      <c r="R37" s="265"/>
      <c r="S37" s="260"/>
      <c r="T37" s="260"/>
      <c r="U37" s="261"/>
      <c r="V37" s="261"/>
    </row>
    <row r="38" spans="1:22" ht="13.5" thickBot="1" x14ac:dyDescent="0.25">
      <c r="A38" s="384" t="str">
        <f>+A4</f>
        <v>FORECAST PERIOD FOR THE 12 MONTHS ENDED JUNE 30, 2016</v>
      </c>
      <c r="B38" s="384"/>
      <c r="C38" s="384"/>
      <c r="D38" s="384"/>
      <c r="E38" s="384"/>
      <c r="F38" s="384"/>
      <c r="G38" s="384"/>
      <c r="H38" s="384"/>
      <c r="I38" s="384"/>
      <c r="J38" s="384"/>
      <c r="K38" s="384"/>
      <c r="O38" s="274"/>
      <c r="P38" s="263"/>
      <c r="Q38" s="264"/>
      <c r="R38" s="265"/>
      <c r="S38" s="260"/>
      <c r="T38" s="260"/>
      <c r="U38" s="261"/>
      <c r="V38" s="261"/>
    </row>
    <row r="39" spans="1:22" ht="13.5" thickBot="1" x14ac:dyDescent="0.25">
      <c r="D39" s="258"/>
      <c r="E39" s="258"/>
      <c r="F39" s="258"/>
      <c r="G39" s="259"/>
      <c r="H39" s="261"/>
      <c r="I39" s="261"/>
      <c r="J39" s="261"/>
      <c r="K39" s="259"/>
      <c r="O39" s="274"/>
      <c r="P39" s="263"/>
      <c r="Q39" s="264"/>
      <c r="R39" s="265"/>
      <c r="S39" s="260"/>
      <c r="T39" s="260"/>
      <c r="U39" s="261"/>
      <c r="V39" s="261"/>
    </row>
    <row r="40" spans="1:22" ht="13.5" thickBot="1" x14ac:dyDescent="0.25">
      <c r="A40" s="234" t="str">
        <f>+A6</f>
        <v>DATA: ____BASE PERIOD__X___FORECASTED PERIOD</v>
      </c>
      <c r="D40" s="258"/>
      <c r="E40" s="258"/>
      <c r="F40" s="258"/>
      <c r="G40" s="259"/>
      <c r="H40" s="261"/>
      <c r="I40" s="261"/>
      <c r="J40" s="261"/>
      <c r="K40" s="275" t="str">
        <f>+K6</f>
        <v>SCHEDULE N (Electric)</v>
      </c>
      <c r="O40" s="274"/>
      <c r="P40" s="263"/>
      <c r="Q40" s="264"/>
      <c r="R40" s="265"/>
      <c r="S40" s="260"/>
      <c r="T40" s="260"/>
      <c r="U40" s="261"/>
      <c r="V40" s="261"/>
    </row>
    <row r="41" spans="1:22" ht="13.5" thickBot="1" x14ac:dyDescent="0.25">
      <c r="A41" s="234" t="str">
        <f>+A7</f>
        <v>TYPE OF FILING: __X__ ORIGINAL  _____ UPDATED  _____ REVISED</v>
      </c>
      <c r="D41" s="258"/>
      <c r="E41" s="258"/>
      <c r="F41" s="258"/>
      <c r="G41" s="259"/>
      <c r="H41" s="261"/>
      <c r="I41" s="261"/>
      <c r="J41" s="261"/>
      <c r="K41" s="275" t="str">
        <f>+'Rate Case Constants'!L22</f>
        <v>PAGE 15 of 22</v>
      </c>
      <c r="O41" s="274"/>
      <c r="P41" s="263"/>
      <c r="Q41" s="264"/>
      <c r="R41" s="265"/>
      <c r="S41" s="260"/>
      <c r="T41" s="260"/>
      <c r="U41" s="261"/>
      <c r="V41" s="261"/>
    </row>
    <row r="42" spans="1:22" ht="13.5" thickBot="1" x14ac:dyDescent="0.25">
      <c r="A42" s="234" t="str">
        <f>+A8</f>
        <v>WORKPAPER REFERENCE NO(S):________</v>
      </c>
      <c r="D42" s="258"/>
      <c r="E42" s="258"/>
      <c r="F42" s="258"/>
      <c r="G42" s="259"/>
      <c r="H42" s="261"/>
      <c r="I42" s="261"/>
      <c r="J42" s="261"/>
      <c r="K42" s="275" t="str">
        <f>+K8</f>
        <v>WITNESS:   R. M. CONROY</v>
      </c>
      <c r="O42" s="274"/>
      <c r="P42" s="263"/>
      <c r="Q42" s="264"/>
      <c r="R42" s="265"/>
      <c r="S42" s="260"/>
      <c r="T42" s="260"/>
      <c r="U42" s="261"/>
      <c r="V42" s="261"/>
    </row>
    <row r="43" spans="1:22" ht="13.5" thickBot="1" x14ac:dyDescent="0.25">
      <c r="A43" s="281"/>
      <c r="B43" s="281"/>
      <c r="C43" s="238"/>
      <c r="D43" s="282"/>
      <c r="E43" s="282"/>
      <c r="F43" s="282"/>
      <c r="G43" s="283"/>
      <c r="H43" s="284"/>
      <c r="I43" s="284"/>
      <c r="J43" s="284"/>
      <c r="K43" s="335"/>
      <c r="O43" s="274"/>
      <c r="P43" s="263"/>
      <c r="Q43" s="264"/>
      <c r="R43" s="265"/>
      <c r="S43" s="260"/>
      <c r="T43" s="260"/>
      <c r="U43" s="261"/>
      <c r="V43" s="261"/>
    </row>
    <row r="44" spans="1:22" ht="13.5" thickBot="1" x14ac:dyDescent="0.25">
      <c r="A44" s="88" t="s">
        <v>401</v>
      </c>
      <c r="B44" s="3" t="s">
        <v>362</v>
      </c>
      <c r="C44" s="26" t="s">
        <v>363</v>
      </c>
      <c r="D44" s="26" t="s">
        <v>364</v>
      </c>
      <c r="E44" s="3" t="s">
        <v>365</v>
      </c>
      <c r="F44" s="3" t="s">
        <v>366</v>
      </c>
      <c r="G44" s="26" t="s">
        <v>367</v>
      </c>
      <c r="H44" s="3" t="s">
        <v>368</v>
      </c>
      <c r="I44" s="3" t="s">
        <v>369</v>
      </c>
      <c r="J44" s="3" t="s">
        <v>370</v>
      </c>
      <c r="K44" s="3" t="s">
        <v>371</v>
      </c>
      <c r="O44" s="274"/>
      <c r="P44" s="263"/>
      <c r="Q44" s="264"/>
      <c r="R44" s="265"/>
      <c r="S44" s="260"/>
      <c r="T44" s="260"/>
      <c r="U44" s="261"/>
      <c r="V44" s="261"/>
    </row>
    <row r="45" spans="1:22" ht="13.5" thickBot="1" x14ac:dyDescent="0.25">
      <c r="A45" s="267"/>
      <c r="B45" s="42"/>
      <c r="C45" s="351" t="s">
        <v>406</v>
      </c>
      <c r="D45" s="351" t="s">
        <v>406</v>
      </c>
      <c r="E45"/>
      <c r="F45"/>
      <c r="G45" s="30"/>
      <c r="H45" s="30"/>
      <c r="I45" s="3" t="s">
        <v>5</v>
      </c>
      <c r="J45" s="3" t="s">
        <v>5</v>
      </c>
      <c r="K45"/>
      <c r="O45" s="274"/>
      <c r="P45" s="263"/>
      <c r="Q45" s="264"/>
      <c r="R45" s="265"/>
      <c r="S45" s="260"/>
      <c r="T45" s="260"/>
      <c r="U45" s="261"/>
      <c r="V45" s="261"/>
    </row>
    <row r="46" spans="1:22" ht="13.5" thickBot="1" x14ac:dyDescent="0.25">
      <c r="A46" s="267"/>
      <c r="B46" s="3" t="s">
        <v>388</v>
      </c>
      <c r="C46" s="3" t="s">
        <v>1</v>
      </c>
      <c r="D46" s="3" t="s">
        <v>75</v>
      </c>
      <c r="E46" s="3"/>
      <c r="F46" s="3"/>
      <c r="G46" s="381" t="s">
        <v>136</v>
      </c>
      <c r="H46" s="381"/>
      <c r="I46" s="3" t="s">
        <v>1</v>
      </c>
      <c r="J46" s="3" t="s">
        <v>75</v>
      </c>
      <c r="K46" s="3"/>
      <c r="O46" s="274"/>
      <c r="P46" s="263"/>
      <c r="Q46" s="264"/>
      <c r="R46" s="265"/>
      <c r="S46" s="260"/>
      <c r="T46" s="260"/>
      <c r="U46" s="261"/>
      <c r="V46" s="261"/>
    </row>
    <row r="47" spans="1:22" ht="13.5" thickBot="1" x14ac:dyDescent="0.25">
      <c r="A47" s="267"/>
      <c r="B47" s="3" t="s">
        <v>20</v>
      </c>
      <c r="C47" s="3" t="s">
        <v>4</v>
      </c>
      <c r="D47" s="3" t="s">
        <v>4</v>
      </c>
      <c r="E47" s="3" t="s">
        <v>76</v>
      </c>
      <c r="F47" s="3" t="s">
        <v>76</v>
      </c>
      <c r="G47" s="51" t="s">
        <v>72</v>
      </c>
      <c r="H47" s="53" t="s">
        <v>73</v>
      </c>
      <c r="I47" s="3" t="s">
        <v>4</v>
      </c>
      <c r="J47" s="3" t="s">
        <v>4</v>
      </c>
      <c r="K47" s="3" t="s">
        <v>76</v>
      </c>
      <c r="O47" s="274"/>
      <c r="P47" s="263"/>
      <c r="Q47" s="264"/>
      <c r="R47" s="265"/>
      <c r="S47" s="260"/>
      <c r="T47" s="260"/>
      <c r="U47" s="261"/>
      <c r="V47" s="261"/>
    </row>
    <row r="48" spans="1:22" ht="13.5" thickBot="1" x14ac:dyDescent="0.25">
      <c r="A48" s="267"/>
      <c r="B48" s="42"/>
      <c r="C48" s="3"/>
      <c r="D48" s="3"/>
      <c r="E48" s="3" t="s">
        <v>70</v>
      </c>
      <c r="F48" s="26" t="s">
        <v>71</v>
      </c>
      <c r="G48" s="52"/>
      <c r="H48" s="55"/>
      <c r="I48" s="3" t="s">
        <v>70</v>
      </c>
      <c r="J48" s="3" t="s">
        <v>70</v>
      </c>
      <c r="K48" s="26" t="s">
        <v>71</v>
      </c>
      <c r="O48" s="274"/>
      <c r="P48" s="263"/>
      <c r="Q48" s="264"/>
      <c r="R48" s="265"/>
      <c r="S48" s="260"/>
      <c r="T48" s="260"/>
      <c r="U48" s="261"/>
      <c r="V48" s="261"/>
    </row>
    <row r="49" spans="1:22" ht="13.5" thickBot="1" x14ac:dyDescent="0.25">
      <c r="A49" s="267"/>
      <c r="B49" s="88"/>
      <c r="C49" s="222"/>
      <c r="D49" s="222"/>
      <c r="E49" s="222" t="str">
        <f>("[ "&amp;D44&amp;" - "&amp;C44&amp;" ]")</f>
        <v>[ C - B ]</v>
      </c>
      <c r="F49" s="222" t="str">
        <f>("[ "&amp;E44&amp;" / "&amp;C44&amp;" ]")</f>
        <v>[ D / B ]</v>
      </c>
      <c r="G49" s="224"/>
      <c r="H49" s="224"/>
      <c r="I49" s="222" t="str">
        <f>("["&amp;C44&amp;"+"&amp;$G$10&amp;"+"&amp;$H$10&amp;"]")</f>
        <v>[B+F+G]</v>
      </c>
      <c r="J49" s="222" t="str">
        <f>("["&amp;D44&amp;"+"&amp;$G$10&amp;"+"&amp;$H$10&amp;"]")</f>
        <v>[C+F+G]</v>
      </c>
      <c r="K49" s="222" t="str">
        <f>("[("&amp;J44&amp;" - "&amp;I44&amp;")"&amp;I44&amp;"]")</f>
        <v>[(I - H)H]</v>
      </c>
      <c r="O49" s="274"/>
      <c r="P49" s="263"/>
      <c r="Q49" s="264"/>
      <c r="R49" s="265"/>
      <c r="S49" s="260"/>
      <c r="T49" s="260"/>
      <c r="U49" s="261"/>
      <c r="V49" s="261"/>
    </row>
    <row r="50" spans="1:22" ht="13.5" thickBot="1" x14ac:dyDescent="0.25">
      <c r="A50" s="251" t="s">
        <v>92</v>
      </c>
      <c r="B50" s="251"/>
      <c r="C50" s="336"/>
      <c r="D50" s="257"/>
      <c r="E50" s="257"/>
      <c r="F50" s="257"/>
      <c r="G50" s="337"/>
      <c r="H50" s="257"/>
      <c r="I50" s="257"/>
      <c r="J50" s="257"/>
      <c r="K50" s="337"/>
      <c r="O50" s="276" t="s">
        <v>92</v>
      </c>
      <c r="P50" s="263"/>
      <c r="Q50" s="264"/>
      <c r="R50" s="265"/>
      <c r="S50" s="260"/>
      <c r="T50" s="260"/>
    </row>
    <row r="51" spans="1:22" ht="13.5" thickBot="1" x14ac:dyDescent="0.25">
      <c r="A51" s="270" t="s">
        <v>100</v>
      </c>
      <c r="B51" s="270"/>
      <c r="G51" s="259"/>
      <c r="K51" s="259"/>
      <c r="O51" s="271" t="s">
        <v>100</v>
      </c>
      <c r="P51" s="263"/>
      <c r="Q51" s="264"/>
      <c r="R51" s="265"/>
      <c r="S51" s="260"/>
      <c r="T51" s="260"/>
    </row>
    <row r="52" spans="1:22" ht="13.5" thickBot="1" x14ac:dyDescent="0.25">
      <c r="A52" s="267" t="s">
        <v>156</v>
      </c>
      <c r="B52" s="250">
        <f t="shared" ref="B52:B72" si="13">+R52</f>
        <v>8.3000000000000004E-2</v>
      </c>
      <c r="C52" s="311">
        <f t="shared" ref="C52:C72" si="14">+U52</f>
        <v>20.032861241736434</v>
      </c>
      <c r="D52" s="311">
        <f t="shared" ref="D52:D72" si="15">+V52</f>
        <v>20.612861241736436</v>
      </c>
      <c r="E52" s="312">
        <f t="shared" ref="E52:E72" si="16">+D52-C52</f>
        <v>0.58000000000000185</v>
      </c>
      <c r="F52" s="259">
        <f t="shared" ref="F52:F72" si="17">+E52/D52</f>
        <v>2.8137772490586195E-2</v>
      </c>
      <c r="G52" s="312">
        <f t="shared" ref="G52:G72" si="18">+S52</f>
        <v>-2.5153425516108253E-2</v>
      </c>
      <c r="H52" s="312">
        <f t="shared" ref="H52:H72" si="19">+T52</f>
        <v>0.26801466725254258</v>
      </c>
      <c r="I52" s="312">
        <f t="shared" ref="I52:I72" si="20">+C52+G52+H52</f>
        <v>20.275722483472869</v>
      </c>
      <c r="J52" s="312">
        <f t="shared" ref="J52:J72" si="21">+D52+G52+H52</f>
        <v>20.855722483472871</v>
      </c>
      <c r="K52" s="259">
        <f t="shared" ref="K52:K72" si="22">(J52-I52)/I52</f>
        <v>2.8605639107201777E-2</v>
      </c>
      <c r="N52" s="91">
        <v>412</v>
      </c>
      <c r="O52" s="272" t="s">
        <v>156</v>
      </c>
      <c r="P52" s="263">
        <f>+INPUT!AA23</f>
        <v>19.79</v>
      </c>
      <c r="Q52" s="264">
        <f>+INPUT!AB23</f>
        <v>20.37</v>
      </c>
      <c r="R52" s="265">
        <f>+INPUT!AC23</f>
        <v>8.3000000000000004E-2</v>
      </c>
      <c r="S52" s="260">
        <f>($R52*INPUT!$P$55)*INPUT!$G$59</f>
        <v>-2.5153425516108253E-2</v>
      </c>
      <c r="T52" s="260">
        <f>($R52*INPUT!$P$55)*INPUT!$I$59</f>
        <v>0.26801466725254258</v>
      </c>
      <c r="U52" s="261">
        <f t="shared" ref="U52:U53" si="23">+P52+S52+T52</f>
        <v>20.032861241736434</v>
      </c>
      <c r="V52" s="261">
        <f t="shared" ref="V52:V53" si="24">+Q52+S52+T52</f>
        <v>20.612861241736436</v>
      </c>
    </row>
    <row r="53" spans="1:22" ht="13.5" thickBot="1" x14ac:dyDescent="0.25">
      <c r="A53" s="267" t="s">
        <v>157</v>
      </c>
      <c r="B53" s="250">
        <f t="shared" si="13"/>
        <v>0.11700000000000001</v>
      </c>
      <c r="C53" s="311">
        <f t="shared" si="14"/>
        <v>20.832346569676659</v>
      </c>
      <c r="D53" s="311">
        <f t="shared" si="15"/>
        <v>21.43234656967666</v>
      </c>
      <c r="E53" s="312">
        <f t="shared" si="16"/>
        <v>0.60000000000000142</v>
      </c>
      <c r="F53" s="259">
        <f t="shared" si="17"/>
        <v>2.7995068017839232E-2</v>
      </c>
      <c r="G53" s="312">
        <f t="shared" si="18"/>
        <v>-3.5457238378128503E-2</v>
      </c>
      <c r="H53" s="312">
        <f t="shared" si="19"/>
        <v>0.37780380805478897</v>
      </c>
      <c r="I53" s="312">
        <f t="shared" si="20"/>
        <v>21.17469313935332</v>
      </c>
      <c r="J53" s="312">
        <f t="shared" si="21"/>
        <v>21.774693139353321</v>
      </c>
      <c r="K53" s="259">
        <f t="shared" si="22"/>
        <v>2.8335711693733927E-2</v>
      </c>
      <c r="N53" s="91">
        <v>413</v>
      </c>
      <c r="O53" s="268" t="s">
        <v>157</v>
      </c>
      <c r="P53" s="263">
        <f>+INPUT!AA24</f>
        <v>20.49</v>
      </c>
      <c r="Q53" s="264">
        <f>+INPUT!AB24</f>
        <v>21.09</v>
      </c>
      <c r="R53" s="265">
        <f>+INPUT!AC24</f>
        <v>0.11700000000000001</v>
      </c>
      <c r="S53" s="260">
        <f>($R53*INPUT!$P$55)*INPUT!$G$59</f>
        <v>-3.5457238378128503E-2</v>
      </c>
      <c r="T53" s="260">
        <f>($R53*INPUT!$P$55)*INPUT!$I$59</f>
        <v>0.37780380805478897</v>
      </c>
      <c r="U53" s="261">
        <f t="shared" si="23"/>
        <v>20.832346569676659</v>
      </c>
      <c r="V53" s="261">
        <f t="shared" si="24"/>
        <v>21.43234656967666</v>
      </c>
    </row>
    <row r="54" spans="1:22" ht="13.5" thickBot="1" x14ac:dyDescent="0.25">
      <c r="A54" s="267" t="s">
        <v>158</v>
      </c>
      <c r="B54" s="250">
        <f t="shared" si="13"/>
        <v>0.18099999999999999</v>
      </c>
      <c r="C54" s="311">
        <f t="shared" si="14"/>
        <v>21.25961306932885</v>
      </c>
      <c r="D54" s="311">
        <f t="shared" si="15"/>
        <v>21.86961306932885</v>
      </c>
      <c r="E54" s="312">
        <f t="shared" si="16"/>
        <v>0.60999999999999943</v>
      </c>
      <c r="F54" s="259">
        <f t="shared" si="17"/>
        <v>2.7892583104522185E-2</v>
      </c>
      <c r="G54" s="312">
        <f t="shared" si="18"/>
        <v>-5.4852650824284262E-2</v>
      </c>
      <c r="H54" s="312">
        <f t="shared" si="19"/>
        <v>0.58446572015313503</v>
      </c>
      <c r="I54" s="312">
        <f t="shared" si="20"/>
        <v>21.7892261386577</v>
      </c>
      <c r="J54" s="312">
        <f t="shared" si="21"/>
        <v>22.399226138657699</v>
      </c>
      <c r="K54" s="259">
        <f t="shared" si="22"/>
        <v>2.7995487132870603E-2</v>
      </c>
      <c r="N54" s="91">
        <v>444</v>
      </c>
      <c r="O54" s="268" t="s">
        <v>158</v>
      </c>
      <c r="P54" s="264">
        <v>20.73</v>
      </c>
      <c r="Q54" s="264">
        <v>21.34</v>
      </c>
      <c r="R54" s="265">
        <f>+INPUT!AC25</f>
        <v>0.18099999999999999</v>
      </c>
      <c r="S54" s="260">
        <f>($R54*INPUT!$P$55)*INPUT!$G$59</f>
        <v>-5.4852650824284262E-2</v>
      </c>
      <c r="T54" s="260">
        <f>($R54*INPUT!$P$55)*INPUT!$I$59</f>
        <v>0.58446572015313503</v>
      </c>
      <c r="U54" s="261">
        <f t="shared" ref="U54" si="25">+P54+S54+T54</f>
        <v>21.25961306932885</v>
      </c>
      <c r="V54" s="261">
        <f t="shared" ref="V54" si="26">+Q54+S54+T54</f>
        <v>21.86961306932885</v>
      </c>
    </row>
    <row r="55" spans="1:22" ht="13.5" thickBot="1" x14ac:dyDescent="0.25">
      <c r="A55" s="267" t="s">
        <v>159</v>
      </c>
      <c r="B55" s="250">
        <f t="shared" si="13"/>
        <v>8.3000000000000004E-2</v>
      </c>
      <c r="C55" s="311">
        <f t="shared" si="14"/>
        <v>20.422861241736435</v>
      </c>
      <c r="D55" s="311">
        <f t="shared" si="15"/>
        <v>21.022861241736436</v>
      </c>
      <c r="E55" s="312">
        <f t="shared" si="16"/>
        <v>0.60000000000000142</v>
      </c>
      <c r="F55" s="259">
        <f t="shared" si="17"/>
        <v>2.8540358664824773E-2</v>
      </c>
      <c r="G55" s="312">
        <f t="shared" si="18"/>
        <v>-2.5153425516108253E-2</v>
      </c>
      <c r="H55" s="312">
        <f t="shared" si="19"/>
        <v>0.26801466725254258</v>
      </c>
      <c r="I55" s="312">
        <f t="shared" si="20"/>
        <v>20.665722483472869</v>
      </c>
      <c r="J55" s="312">
        <f t="shared" si="21"/>
        <v>21.265722483472871</v>
      </c>
      <c r="K55" s="259">
        <f t="shared" si="22"/>
        <v>2.9033584501090792E-2</v>
      </c>
      <c r="N55" s="91">
        <v>415</v>
      </c>
      <c r="O55" s="268" t="s">
        <v>159</v>
      </c>
      <c r="P55" s="263">
        <f>+INPUT!AA26</f>
        <v>20.18</v>
      </c>
      <c r="Q55" s="264">
        <f>+INPUT!AB26</f>
        <v>20.78</v>
      </c>
      <c r="R55" s="265">
        <f>+INPUT!AC26</f>
        <v>8.3000000000000004E-2</v>
      </c>
      <c r="S55" s="260">
        <f>($R55*INPUT!$P$55)*INPUT!$G$59</f>
        <v>-2.5153425516108253E-2</v>
      </c>
      <c r="T55" s="260">
        <f>($R55*INPUT!$P$55)*INPUT!$I$59</f>
        <v>0.26801466725254258</v>
      </c>
      <c r="U55" s="261">
        <f t="shared" ref="U55:U58" si="27">+P55+S55+T55</f>
        <v>20.422861241736435</v>
      </c>
      <c r="V55" s="261">
        <f t="shared" ref="V55:V58" si="28">+Q55+S55+T55</f>
        <v>21.022861241736436</v>
      </c>
    </row>
    <row r="56" spans="1:22" ht="13.5" thickBot="1" x14ac:dyDescent="0.25">
      <c r="A56" s="267" t="s">
        <v>160</v>
      </c>
      <c r="B56" s="250">
        <f t="shared" si="13"/>
        <v>0.11700000000000001</v>
      </c>
      <c r="C56" s="311">
        <f t="shared" si="14"/>
        <v>22.902346569676659</v>
      </c>
      <c r="D56" s="311">
        <f t="shared" si="15"/>
        <v>23.572346569676661</v>
      </c>
      <c r="E56" s="312">
        <f t="shared" si="16"/>
        <v>0.67000000000000171</v>
      </c>
      <c r="F56" s="259">
        <f t="shared" si="17"/>
        <v>2.8423135474424346E-2</v>
      </c>
      <c r="G56" s="312">
        <f t="shared" si="18"/>
        <v>-3.5457238378128503E-2</v>
      </c>
      <c r="H56" s="312">
        <f t="shared" si="19"/>
        <v>0.37780380805478897</v>
      </c>
      <c r="I56" s="312">
        <f t="shared" si="20"/>
        <v>23.24469313935332</v>
      </c>
      <c r="J56" s="312">
        <f t="shared" si="21"/>
        <v>23.914693139353322</v>
      </c>
      <c r="K56" s="259">
        <f t="shared" si="22"/>
        <v>2.8823783389322965E-2</v>
      </c>
      <c r="N56" s="91">
        <v>416</v>
      </c>
      <c r="O56" s="268" t="s">
        <v>160</v>
      </c>
      <c r="P56" s="263">
        <f>+INPUT!AA27</f>
        <v>22.56</v>
      </c>
      <c r="Q56" s="264">
        <f>+INPUT!AB27</f>
        <v>23.23</v>
      </c>
      <c r="R56" s="265">
        <f>+INPUT!AC27</f>
        <v>0.11700000000000001</v>
      </c>
      <c r="S56" s="260">
        <f>($R56*INPUT!$P$55)*INPUT!$G$59</f>
        <v>-3.5457238378128503E-2</v>
      </c>
      <c r="T56" s="260">
        <f>($R56*INPUT!$P$55)*INPUT!$I$59</f>
        <v>0.37780380805478897</v>
      </c>
      <c r="U56" s="261">
        <f t="shared" si="27"/>
        <v>22.902346569676659</v>
      </c>
      <c r="V56" s="261">
        <f t="shared" si="28"/>
        <v>23.572346569676661</v>
      </c>
    </row>
    <row r="57" spans="1:22" ht="13.5" thickBot="1" x14ac:dyDescent="0.25">
      <c r="A57" s="267" t="s">
        <v>161</v>
      </c>
      <c r="B57" s="250">
        <f t="shared" si="13"/>
        <v>0.18099999999999999</v>
      </c>
      <c r="C57" s="311">
        <f t="shared" si="14"/>
        <v>23.199613069328851</v>
      </c>
      <c r="D57" s="311">
        <f t="shared" si="15"/>
        <v>23.86961306932885</v>
      </c>
      <c r="E57" s="312">
        <f t="shared" si="16"/>
        <v>0.66999999999999815</v>
      </c>
      <c r="F57" s="259">
        <f t="shared" si="17"/>
        <v>2.8069160486765981E-2</v>
      </c>
      <c r="G57" s="312">
        <f t="shared" si="18"/>
        <v>-5.4852650824284262E-2</v>
      </c>
      <c r="H57" s="312">
        <f t="shared" si="19"/>
        <v>0.58446572015313503</v>
      </c>
      <c r="I57" s="312">
        <f t="shared" si="20"/>
        <v>23.729226138657701</v>
      </c>
      <c r="J57" s="312">
        <f t="shared" si="21"/>
        <v>24.399226138657699</v>
      </c>
      <c r="K57" s="259">
        <f t="shared" si="22"/>
        <v>2.8235223352205713E-2</v>
      </c>
      <c r="N57" s="91">
        <v>445</v>
      </c>
      <c r="O57" s="268" t="s">
        <v>161</v>
      </c>
      <c r="P57" s="263">
        <v>22.67</v>
      </c>
      <c r="Q57" s="264">
        <v>23.34</v>
      </c>
      <c r="R57" s="265">
        <f>+INPUT!AC28</f>
        <v>0.18099999999999999</v>
      </c>
      <c r="S57" s="260">
        <f>($R57*INPUT!$P$55)*INPUT!$G$59</f>
        <v>-5.4852650824284262E-2</v>
      </c>
      <c r="T57" s="260">
        <f>($R57*INPUT!$P$55)*INPUT!$I$59</f>
        <v>0.58446572015313503</v>
      </c>
      <c r="U57" s="261">
        <f t="shared" si="27"/>
        <v>23.199613069328851</v>
      </c>
      <c r="V57" s="261">
        <f t="shared" si="28"/>
        <v>23.86961306932885</v>
      </c>
    </row>
    <row r="58" spans="1:22" ht="13.5" thickBot="1" x14ac:dyDescent="0.25">
      <c r="A58" s="267" t="s">
        <v>162</v>
      </c>
      <c r="B58" s="250">
        <f t="shared" si="13"/>
        <v>8.3000000000000004E-2</v>
      </c>
      <c r="C58" s="311">
        <f t="shared" si="14"/>
        <v>35.442861241736438</v>
      </c>
      <c r="D58" s="311">
        <f t="shared" si="15"/>
        <v>36.482861241736437</v>
      </c>
      <c r="E58" s="312">
        <f t="shared" si="16"/>
        <v>1.0399999999999991</v>
      </c>
      <c r="F58" s="259">
        <f t="shared" si="17"/>
        <v>2.8506536072073149E-2</v>
      </c>
      <c r="G58" s="313">
        <f t="shared" si="18"/>
        <v>-2.5153425516108253E-2</v>
      </c>
      <c r="H58" s="312">
        <f t="shared" si="19"/>
        <v>0.26801466725254258</v>
      </c>
      <c r="I58" s="312">
        <f t="shared" si="20"/>
        <v>35.685722483472873</v>
      </c>
      <c r="J58" s="312">
        <f t="shared" si="21"/>
        <v>36.725722483472872</v>
      </c>
      <c r="K58" s="259">
        <f t="shared" si="22"/>
        <v>2.9143307956891004E-2</v>
      </c>
      <c r="N58" s="91">
        <v>427</v>
      </c>
      <c r="O58" s="268" t="s">
        <v>162</v>
      </c>
      <c r="P58" s="263">
        <f>+INPUT!AA29</f>
        <v>35.200000000000003</v>
      </c>
      <c r="Q58" s="264">
        <f>+INPUT!AB29</f>
        <v>36.24</v>
      </c>
      <c r="R58" s="265">
        <f>+INPUT!AC29</f>
        <v>8.3000000000000004E-2</v>
      </c>
      <c r="S58" s="260">
        <f>($R58*INPUT!$P$55)*INPUT!$G$59</f>
        <v>-2.5153425516108253E-2</v>
      </c>
      <c r="T58" s="260">
        <f>($R58*INPUT!$P$55)*INPUT!$I$59</f>
        <v>0.26801466725254258</v>
      </c>
      <c r="U58" s="261">
        <f t="shared" si="27"/>
        <v>35.442861241736438</v>
      </c>
      <c r="V58" s="261">
        <f t="shared" si="28"/>
        <v>36.482861241736437</v>
      </c>
    </row>
    <row r="59" spans="1:22" ht="13.5" thickBot="1" x14ac:dyDescent="0.25">
      <c r="A59" s="267" t="s">
        <v>163</v>
      </c>
      <c r="B59" s="250">
        <f t="shared" si="13"/>
        <v>0.11700000000000001</v>
      </c>
      <c r="C59" s="311">
        <f t="shared" si="14"/>
        <v>36.412346569676657</v>
      </c>
      <c r="D59" s="311">
        <f t="shared" si="15"/>
        <v>37.47234656967666</v>
      </c>
      <c r="E59" s="312">
        <f t="shared" si="16"/>
        <v>1.0600000000000023</v>
      </c>
      <c r="F59" s="259">
        <f t="shared" si="17"/>
        <v>2.8287526590549165E-2</v>
      </c>
      <c r="G59" s="313">
        <f t="shared" si="18"/>
        <v>-3.5457238378128503E-2</v>
      </c>
      <c r="H59" s="312">
        <f t="shared" si="19"/>
        <v>0.37780380805478897</v>
      </c>
      <c r="I59" s="312">
        <f t="shared" si="20"/>
        <v>36.754693139353314</v>
      </c>
      <c r="J59" s="312">
        <f t="shared" si="21"/>
        <v>37.814693139353317</v>
      </c>
      <c r="K59" s="259">
        <f t="shared" si="22"/>
        <v>2.8839854436576929E-2</v>
      </c>
      <c r="N59" s="91">
        <v>429</v>
      </c>
      <c r="O59" s="268" t="s">
        <v>163</v>
      </c>
      <c r="P59" s="263">
        <f>+INPUT!AA30</f>
        <v>36.07</v>
      </c>
      <c r="Q59" s="264">
        <f>+INPUT!AB30</f>
        <v>37.130000000000003</v>
      </c>
      <c r="R59" s="265">
        <f>+INPUT!AC30</f>
        <v>0.11700000000000001</v>
      </c>
      <c r="S59" s="260">
        <f>($R59*INPUT!$P$55)*INPUT!$G$59</f>
        <v>-3.5457238378128503E-2</v>
      </c>
      <c r="T59" s="260">
        <f>($R59*INPUT!$P$55)*INPUT!$I$59</f>
        <v>0.37780380805478897</v>
      </c>
      <c r="U59" s="261">
        <f t="shared" ref="U59" si="29">+P59+S59+T59</f>
        <v>36.412346569676657</v>
      </c>
      <c r="V59" s="261">
        <f t="shared" ref="V59" si="30">+Q59+S59+T59</f>
        <v>37.47234656967666</v>
      </c>
    </row>
    <row r="60" spans="1:22" ht="13.5" thickBot="1" x14ac:dyDescent="0.25">
      <c r="A60" s="267" t="s">
        <v>164</v>
      </c>
      <c r="B60" s="250">
        <f t="shared" si="13"/>
        <v>8.3000000000000004E-2</v>
      </c>
      <c r="C60" s="311">
        <f t="shared" si="14"/>
        <v>33.172861241736435</v>
      </c>
      <c r="D60" s="311">
        <f t="shared" si="15"/>
        <v>34.142861241736433</v>
      </c>
      <c r="E60" s="312">
        <f t="shared" si="16"/>
        <v>0.96999999999999886</v>
      </c>
      <c r="F60" s="259">
        <f t="shared" si="17"/>
        <v>2.8410038430354664E-2</v>
      </c>
      <c r="G60" s="312">
        <f t="shared" si="18"/>
        <v>-2.5153425516108253E-2</v>
      </c>
      <c r="H60" s="312">
        <f t="shared" si="19"/>
        <v>0.26801466725254258</v>
      </c>
      <c r="I60" s="312">
        <f t="shared" si="20"/>
        <v>33.415722483472869</v>
      </c>
      <c r="J60" s="312">
        <f t="shared" si="21"/>
        <v>34.385722483472868</v>
      </c>
      <c r="K60" s="259">
        <f t="shared" si="22"/>
        <v>2.9028251610592963E-2</v>
      </c>
      <c r="N60" s="91">
        <v>431</v>
      </c>
      <c r="O60" s="268" t="s">
        <v>164</v>
      </c>
      <c r="P60" s="263">
        <f>+INPUT!AA31</f>
        <v>32.93</v>
      </c>
      <c r="Q60" s="264">
        <f>+INPUT!AB31</f>
        <v>33.9</v>
      </c>
      <c r="R60" s="265">
        <f>+INPUT!AC31</f>
        <v>8.3000000000000004E-2</v>
      </c>
      <c r="S60" s="260">
        <f>($R60*INPUT!$P$55)*INPUT!$G$59</f>
        <v>-2.5153425516108253E-2</v>
      </c>
      <c r="T60" s="260">
        <f>($R60*INPUT!$P$55)*INPUT!$I$59</f>
        <v>0.26801466725254258</v>
      </c>
      <c r="U60" s="261">
        <f t="shared" ref="U60:U92" si="31">+P60+S60+T60</f>
        <v>33.172861241736435</v>
      </c>
      <c r="V60" s="261">
        <f t="shared" ref="V60:V92" si="32">+Q60+S60+T60</f>
        <v>34.142861241736433</v>
      </c>
    </row>
    <row r="61" spans="1:22" ht="13.5" thickBot="1" x14ac:dyDescent="0.25">
      <c r="A61" s="267" t="s">
        <v>165</v>
      </c>
      <c r="B61" s="250">
        <f t="shared" si="13"/>
        <v>0.11700000000000001</v>
      </c>
      <c r="C61" s="311">
        <f t="shared" si="14"/>
        <v>35.332346569676659</v>
      </c>
      <c r="D61" s="311">
        <f t="shared" si="15"/>
        <v>36.36234656967666</v>
      </c>
      <c r="E61" s="312">
        <f t="shared" si="16"/>
        <v>1.0300000000000011</v>
      </c>
      <c r="F61" s="259">
        <f t="shared" si="17"/>
        <v>2.832600470451872E-2</v>
      </c>
      <c r="G61" s="312">
        <f t="shared" si="18"/>
        <v>-3.5457238378128503E-2</v>
      </c>
      <c r="H61" s="312">
        <f t="shared" si="19"/>
        <v>0.37780380805478897</v>
      </c>
      <c r="I61" s="312">
        <f t="shared" si="20"/>
        <v>35.674693139353316</v>
      </c>
      <c r="J61" s="312">
        <f t="shared" si="21"/>
        <v>36.704693139353317</v>
      </c>
      <c r="K61" s="259">
        <f t="shared" si="22"/>
        <v>2.8872007279126165E-2</v>
      </c>
      <c r="N61" s="91">
        <v>433</v>
      </c>
      <c r="O61" s="268" t="s">
        <v>165</v>
      </c>
      <c r="P61" s="263">
        <f>+INPUT!AA32</f>
        <v>34.99</v>
      </c>
      <c r="Q61" s="264">
        <f>+INPUT!AB32</f>
        <v>36.020000000000003</v>
      </c>
      <c r="R61" s="265">
        <f>+INPUT!AC32</f>
        <v>0.11700000000000001</v>
      </c>
      <c r="S61" s="260">
        <f>($R61*INPUT!$P$55)*INPUT!$G$59</f>
        <v>-3.5457238378128503E-2</v>
      </c>
      <c r="T61" s="260">
        <f>($R61*INPUT!$P$55)*INPUT!$I$59</f>
        <v>0.37780380805478897</v>
      </c>
      <c r="U61" s="261">
        <f t="shared" si="31"/>
        <v>35.332346569676659</v>
      </c>
      <c r="V61" s="261">
        <f t="shared" si="32"/>
        <v>36.36234656967666</v>
      </c>
    </row>
    <row r="62" spans="1:22" ht="13.5" thickBot="1" x14ac:dyDescent="0.25">
      <c r="A62" s="267" t="s">
        <v>166</v>
      </c>
      <c r="B62" s="250">
        <f t="shared" si="13"/>
        <v>0.06</v>
      </c>
      <c r="C62" s="311">
        <f t="shared" si="14"/>
        <v>24.065562343423931</v>
      </c>
      <c r="D62" s="311">
        <f t="shared" si="15"/>
        <v>24.76556234342393</v>
      </c>
      <c r="E62" s="312">
        <f t="shared" si="16"/>
        <v>0.69999999999999929</v>
      </c>
      <c r="F62" s="259">
        <f t="shared" si="17"/>
        <v>2.8265055737200825E-2</v>
      </c>
      <c r="G62" s="312">
        <f t="shared" si="18"/>
        <v>-1.8183199168271023E-2</v>
      </c>
      <c r="H62" s="312">
        <f t="shared" si="19"/>
        <v>0.19374554259219945</v>
      </c>
      <c r="I62" s="312">
        <f t="shared" si="20"/>
        <v>24.241124686847861</v>
      </c>
      <c r="J62" s="312">
        <f t="shared" si="21"/>
        <v>24.941124686847861</v>
      </c>
      <c r="K62" s="259">
        <f t="shared" si="22"/>
        <v>2.8876547975506584E-2</v>
      </c>
      <c r="N62" s="91">
        <v>400</v>
      </c>
      <c r="O62" s="268" t="s">
        <v>166</v>
      </c>
      <c r="P62" s="263">
        <f>+INPUT!AA33</f>
        <v>23.89</v>
      </c>
      <c r="Q62" s="264">
        <f>+INPUT!AB33</f>
        <v>24.59</v>
      </c>
      <c r="R62" s="265">
        <f>+INPUT!AC33</f>
        <v>0.06</v>
      </c>
      <c r="S62" s="260">
        <f>($R62*INPUT!$P$55)*INPUT!$G$59</f>
        <v>-1.8183199168271023E-2</v>
      </c>
      <c r="T62" s="260">
        <f>($R62*INPUT!$P$55)*INPUT!$I$59</f>
        <v>0.19374554259219945</v>
      </c>
      <c r="U62" s="261">
        <f t="shared" si="31"/>
        <v>24.065562343423931</v>
      </c>
      <c r="V62" s="261">
        <f t="shared" si="32"/>
        <v>24.76556234342393</v>
      </c>
    </row>
    <row r="63" spans="1:22" ht="13.5" thickBot="1" x14ac:dyDescent="0.25">
      <c r="A63" s="267" t="s">
        <v>167</v>
      </c>
      <c r="B63" s="250">
        <f t="shared" si="13"/>
        <v>0.11700000000000001</v>
      </c>
      <c r="C63" s="311">
        <f t="shared" si="14"/>
        <v>25.242346569676659</v>
      </c>
      <c r="D63" s="311">
        <f t="shared" si="15"/>
        <v>25.97234656967666</v>
      </c>
      <c r="E63" s="312">
        <f t="shared" si="16"/>
        <v>0.73000000000000043</v>
      </c>
      <c r="F63" s="259">
        <f t="shared" si="17"/>
        <v>2.810681730438223E-2</v>
      </c>
      <c r="G63" s="312">
        <f t="shared" si="18"/>
        <v>-3.5457238378128503E-2</v>
      </c>
      <c r="H63" s="312">
        <f t="shared" si="19"/>
        <v>0.37780380805478897</v>
      </c>
      <c r="I63" s="312">
        <f t="shared" si="20"/>
        <v>25.58469313935332</v>
      </c>
      <c r="J63" s="312">
        <f t="shared" si="21"/>
        <v>26.31469313935332</v>
      </c>
      <c r="K63" s="259">
        <f t="shared" si="22"/>
        <v>2.853268538433805E-2</v>
      </c>
      <c r="N63" s="91">
        <v>401</v>
      </c>
      <c r="O63" s="268" t="s">
        <v>167</v>
      </c>
      <c r="P63" s="263">
        <f>+INPUT!AA34</f>
        <v>24.9</v>
      </c>
      <c r="Q63" s="264">
        <f>+INPUT!AB34</f>
        <v>25.63</v>
      </c>
      <c r="R63" s="265">
        <f>+INPUT!AC34</f>
        <v>0.11700000000000001</v>
      </c>
      <c r="S63" s="260">
        <f>($R63*INPUT!$P$55)*INPUT!$G$59</f>
        <v>-3.5457238378128503E-2</v>
      </c>
      <c r="T63" s="260">
        <f>($R63*INPUT!$P$55)*INPUT!$I$59</f>
        <v>0.37780380805478897</v>
      </c>
      <c r="U63" s="261">
        <f t="shared" si="31"/>
        <v>25.242346569676659</v>
      </c>
      <c r="V63" s="261">
        <f t="shared" si="32"/>
        <v>25.97234656967666</v>
      </c>
    </row>
    <row r="64" spans="1:22" ht="13.5" thickBot="1" x14ac:dyDescent="0.25">
      <c r="A64" s="267" t="s">
        <v>168</v>
      </c>
      <c r="B64" s="250">
        <f t="shared" si="13"/>
        <v>0.18099999999999999</v>
      </c>
      <c r="C64" s="311">
        <f t="shared" si="14"/>
        <v>26.879613069328851</v>
      </c>
      <c r="D64" s="311">
        <f t="shared" si="15"/>
        <v>27.659613069328849</v>
      </c>
      <c r="E64" s="312">
        <f t="shared" si="16"/>
        <v>0.77999999999999758</v>
      </c>
      <c r="F64" s="259">
        <f t="shared" si="17"/>
        <v>2.8199960644602177E-2</v>
      </c>
      <c r="G64" s="312">
        <f t="shared" si="18"/>
        <v>-5.4852650824284262E-2</v>
      </c>
      <c r="H64" s="312">
        <f t="shared" si="19"/>
        <v>0.58446572015313503</v>
      </c>
      <c r="I64" s="312">
        <f t="shared" si="20"/>
        <v>27.409226138657701</v>
      </c>
      <c r="J64" s="312">
        <f t="shared" si="21"/>
        <v>28.189226138657698</v>
      </c>
      <c r="K64" s="259">
        <f t="shared" si="22"/>
        <v>2.8457571040281699E-2</v>
      </c>
      <c r="N64" s="91">
        <v>423</v>
      </c>
      <c r="O64" s="268" t="s">
        <v>168</v>
      </c>
      <c r="P64" s="263">
        <f>+INPUT!AA35</f>
        <v>26.35</v>
      </c>
      <c r="Q64" s="264">
        <f>+INPUT!AB35</f>
        <v>27.13</v>
      </c>
      <c r="R64" s="265">
        <f>+INPUT!AC35</f>
        <v>0.18099999999999999</v>
      </c>
      <c r="S64" s="260">
        <f>($R64*INPUT!$P$55)*INPUT!$G$59</f>
        <v>-5.4852650824284262E-2</v>
      </c>
      <c r="T64" s="260">
        <f>($R64*INPUT!$P$55)*INPUT!$I$59</f>
        <v>0.58446572015313503</v>
      </c>
      <c r="U64" s="261">
        <f t="shared" si="31"/>
        <v>26.879613069328851</v>
      </c>
      <c r="V64" s="261">
        <f t="shared" si="32"/>
        <v>27.659613069328849</v>
      </c>
    </row>
    <row r="65" spans="1:22" ht="13.5" thickBot="1" x14ac:dyDescent="0.25">
      <c r="A65" s="267" t="s">
        <v>169</v>
      </c>
      <c r="B65" s="250">
        <f t="shared" si="13"/>
        <v>0.29399999999999998</v>
      </c>
      <c r="C65" s="311">
        <f t="shared" si="14"/>
        <v>29.310255482777247</v>
      </c>
      <c r="D65" s="311">
        <f t="shared" si="15"/>
        <v>30.150255482777247</v>
      </c>
      <c r="E65" s="312">
        <f t="shared" si="16"/>
        <v>0.83999999999999986</v>
      </c>
      <c r="F65" s="259">
        <f t="shared" si="17"/>
        <v>2.7860460435561937E-2</v>
      </c>
      <c r="G65" s="312">
        <f t="shared" si="18"/>
        <v>-8.9097675924528025E-2</v>
      </c>
      <c r="H65" s="312">
        <f t="shared" si="19"/>
        <v>0.94935315870177728</v>
      </c>
      <c r="I65" s="312">
        <f t="shared" si="20"/>
        <v>30.170510965554495</v>
      </c>
      <c r="J65" s="312">
        <f t="shared" si="21"/>
        <v>31.010510965554495</v>
      </c>
      <c r="K65" s="259">
        <f t="shared" si="22"/>
        <v>2.7841755844275333E-2</v>
      </c>
      <c r="N65" s="91">
        <v>424</v>
      </c>
      <c r="O65" s="268" t="s">
        <v>169</v>
      </c>
      <c r="P65" s="263">
        <f>+INPUT!AA36</f>
        <v>28.45</v>
      </c>
      <c r="Q65" s="264">
        <f>+INPUT!AB36</f>
        <v>29.29</v>
      </c>
      <c r="R65" s="265">
        <f>+INPUT!AC36</f>
        <v>0.29399999999999998</v>
      </c>
      <c r="S65" s="260">
        <f>($R65*INPUT!$P$55)*INPUT!$G$59</f>
        <v>-8.9097675924528025E-2</v>
      </c>
      <c r="T65" s="260">
        <f>($R65*INPUT!$P$55)*INPUT!$I$59</f>
        <v>0.94935315870177728</v>
      </c>
      <c r="U65" s="261">
        <f t="shared" si="31"/>
        <v>29.310255482777247</v>
      </c>
      <c r="V65" s="261">
        <f t="shared" si="32"/>
        <v>30.150255482777247</v>
      </c>
    </row>
    <row r="66" spans="1:22" ht="13.5" thickBot="1" x14ac:dyDescent="0.25">
      <c r="A66" s="267" t="s">
        <v>170</v>
      </c>
      <c r="B66" s="250">
        <f t="shared" si="13"/>
        <v>0.47099999999999997</v>
      </c>
      <c r="C66" s="311">
        <f t="shared" si="14"/>
        <v>35.40816439587784</v>
      </c>
      <c r="D66" s="311">
        <f t="shared" si="15"/>
        <v>36.40816439587784</v>
      </c>
      <c r="E66" s="312">
        <f t="shared" si="16"/>
        <v>1</v>
      </c>
      <c r="F66" s="259">
        <f t="shared" si="17"/>
        <v>2.7466366860099675E-2</v>
      </c>
      <c r="G66" s="312">
        <f t="shared" si="18"/>
        <v>-0.14273811347092755</v>
      </c>
      <c r="H66" s="312">
        <f t="shared" si="19"/>
        <v>1.5209025093487658</v>
      </c>
      <c r="I66" s="312">
        <f t="shared" si="20"/>
        <v>36.786328791755679</v>
      </c>
      <c r="J66" s="312">
        <f t="shared" si="21"/>
        <v>37.786328791755679</v>
      </c>
      <c r="K66" s="259">
        <f t="shared" si="22"/>
        <v>2.718401190999287E-2</v>
      </c>
      <c r="N66" s="91">
        <v>425</v>
      </c>
      <c r="O66" s="268" t="s">
        <v>170</v>
      </c>
      <c r="P66" s="263">
        <f>+INPUT!AA37</f>
        <v>34.03</v>
      </c>
      <c r="Q66" s="264">
        <f>+INPUT!AB37</f>
        <v>35.03</v>
      </c>
      <c r="R66" s="265">
        <f>+INPUT!AC37</f>
        <v>0.47099999999999997</v>
      </c>
      <c r="S66" s="260">
        <f>($R66*INPUT!$P$55)*INPUT!$G$59</f>
        <v>-0.14273811347092755</v>
      </c>
      <c r="T66" s="260">
        <f>($R66*INPUT!$P$55)*INPUT!$I$59</f>
        <v>1.5209025093487658</v>
      </c>
      <c r="U66" s="261">
        <f t="shared" si="31"/>
        <v>35.40816439587784</v>
      </c>
      <c r="V66" s="261">
        <f t="shared" si="32"/>
        <v>36.40816439587784</v>
      </c>
    </row>
    <row r="67" spans="1:22" ht="13.5" thickBot="1" x14ac:dyDescent="0.25">
      <c r="A67" s="267" t="s">
        <v>171</v>
      </c>
      <c r="B67" s="250">
        <f t="shared" si="13"/>
        <v>0.18099999999999999</v>
      </c>
      <c r="C67" s="311">
        <f t="shared" si="14"/>
        <v>16.989613069328851</v>
      </c>
      <c r="D67" s="311">
        <f t="shared" si="15"/>
        <v>17.479613069328849</v>
      </c>
      <c r="E67" s="312">
        <f t="shared" si="16"/>
        <v>0.48999999999999844</v>
      </c>
      <c r="F67" s="259">
        <f t="shared" si="17"/>
        <v>2.8032657133571927E-2</v>
      </c>
      <c r="G67" s="312">
        <f t="shared" si="18"/>
        <v>-5.4852650824284262E-2</v>
      </c>
      <c r="H67" s="312">
        <f t="shared" si="19"/>
        <v>0.58446572015313503</v>
      </c>
      <c r="I67" s="312">
        <f t="shared" si="20"/>
        <v>17.5192261386577</v>
      </c>
      <c r="J67" s="312">
        <f t="shared" si="21"/>
        <v>18.009226138657699</v>
      </c>
      <c r="K67" s="259">
        <f t="shared" si="22"/>
        <v>2.7969271937118883E-2</v>
      </c>
      <c r="N67" s="91">
        <v>439</v>
      </c>
      <c r="O67" s="268" t="s">
        <v>171</v>
      </c>
      <c r="P67" s="263">
        <f>+INPUT!AA38</f>
        <v>16.46</v>
      </c>
      <c r="Q67" s="264">
        <f>+INPUT!AB38</f>
        <v>16.95</v>
      </c>
      <c r="R67" s="265">
        <f>+INPUT!AC38</f>
        <v>0.18099999999999999</v>
      </c>
      <c r="S67" s="260">
        <f>($R67*INPUT!$P$55)*INPUT!$G$59</f>
        <v>-5.4852650824284262E-2</v>
      </c>
      <c r="T67" s="260">
        <f>($R67*INPUT!$P$55)*INPUT!$I$59</f>
        <v>0.58446572015313503</v>
      </c>
      <c r="U67" s="261">
        <f t="shared" si="31"/>
        <v>16.989613069328851</v>
      </c>
      <c r="V67" s="261">
        <f t="shared" si="32"/>
        <v>17.479613069328849</v>
      </c>
    </row>
    <row r="68" spans="1:22" ht="13.5" thickBot="1" x14ac:dyDescent="0.25">
      <c r="A68" s="267" t="s">
        <v>172</v>
      </c>
      <c r="B68" s="250">
        <f t="shared" si="13"/>
        <v>0.18099999999999999</v>
      </c>
      <c r="C68" s="311">
        <f t="shared" si="14"/>
        <v>30.41961306932885</v>
      </c>
      <c r="D68" s="311">
        <f t="shared" si="15"/>
        <v>31.299613069328849</v>
      </c>
      <c r="E68" s="312">
        <f t="shared" si="16"/>
        <v>0.87999999999999901</v>
      </c>
      <c r="F68" s="259">
        <f t="shared" si="17"/>
        <v>2.8115363536628815E-2</v>
      </c>
      <c r="G68" s="312">
        <f t="shared" si="18"/>
        <v>-5.4852650824284262E-2</v>
      </c>
      <c r="H68" s="312">
        <f t="shared" si="19"/>
        <v>0.58446572015313503</v>
      </c>
      <c r="I68" s="312">
        <f t="shared" si="20"/>
        <v>30.9492261386577</v>
      </c>
      <c r="J68" s="312">
        <f t="shared" si="21"/>
        <v>31.829226138657699</v>
      </c>
      <c r="K68" s="259">
        <f t="shared" si="22"/>
        <v>2.8433667325233017E-2</v>
      </c>
      <c r="N68" s="91">
        <v>420</v>
      </c>
      <c r="O68" s="268" t="s">
        <v>172</v>
      </c>
      <c r="P68" s="263">
        <f>+INPUT!AA39</f>
        <v>29.89</v>
      </c>
      <c r="Q68" s="264">
        <f>+INPUT!AB39</f>
        <v>30.77</v>
      </c>
      <c r="R68" s="265">
        <f>+INPUT!AC39</f>
        <v>0.18099999999999999</v>
      </c>
      <c r="S68" s="260">
        <f>($R68*INPUT!$P$55)*INPUT!$G$59</f>
        <v>-5.4852650824284262E-2</v>
      </c>
      <c r="T68" s="260">
        <f>($R68*INPUT!$P$55)*INPUT!$I$59</f>
        <v>0.58446572015313503</v>
      </c>
      <c r="U68" s="261">
        <f t="shared" si="31"/>
        <v>30.41961306932885</v>
      </c>
      <c r="V68" s="261">
        <f t="shared" si="32"/>
        <v>31.299613069328849</v>
      </c>
    </row>
    <row r="69" spans="1:22" ht="13.5" thickBot="1" x14ac:dyDescent="0.25">
      <c r="A69" s="267" t="s">
        <v>173</v>
      </c>
      <c r="B69" s="250">
        <f t="shared" si="13"/>
        <v>0.29399999999999998</v>
      </c>
      <c r="C69" s="311">
        <f t="shared" si="14"/>
        <v>19.140255482777249</v>
      </c>
      <c r="D69" s="311">
        <f t="shared" si="15"/>
        <v>19.680255482777248</v>
      </c>
      <c r="E69" s="312">
        <f t="shared" si="16"/>
        <v>0.53999999999999915</v>
      </c>
      <c r="F69" s="259">
        <f t="shared" si="17"/>
        <v>2.743866818561215E-2</v>
      </c>
      <c r="G69" s="313">
        <f t="shared" si="18"/>
        <v>-8.9097675924528025E-2</v>
      </c>
      <c r="H69" s="312">
        <f t="shared" si="19"/>
        <v>0.94935315870177728</v>
      </c>
      <c r="I69" s="312">
        <f t="shared" si="20"/>
        <v>20.000510965554497</v>
      </c>
      <c r="J69" s="312">
        <f t="shared" si="21"/>
        <v>20.540510965554496</v>
      </c>
      <c r="K69" s="259">
        <f t="shared" si="22"/>
        <v>2.6999310214124227E-2</v>
      </c>
      <c r="N69" s="91">
        <v>440</v>
      </c>
      <c r="O69" s="268" t="s">
        <v>173</v>
      </c>
      <c r="P69" s="263">
        <f>+INPUT!AA40</f>
        <v>18.28</v>
      </c>
      <c r="Q69" s="264">
        <f>+INPUT!AB40</f>
        <v>18.82</v>
      </c>
      <c r="R69" s="265">
        <f>+INPUT!AC40</f>
        <v>0.29399999999999998</v>
      </c>
      <c r="S69" s="260">
        <f>($R69*INPUT!$P$55)*INPUT!$G$59</f>
        <v>-8.9097675924528025E-2</v>
      </c>
      <c r="T69" s="260">
        <f>($R69*INPUT!$P$55)*INPUT!$I$59</f>
        <v>0.94935315870177728</v>
      </c>
      <c r="U69" s="261">
        <f t="shared" si="31"/>
        <v>19.140255482777249</v>
      </c>
      <c r="V69" s="261">
        <f t="shared" si="32"/>
        <v>19.680255482777248</v>
      </c>
    </row>
    <row r="70" spans="1:22" ht="13.5" thickBot="1" x14ac:dyDescent="0.25">
      <c r="A70" s="267" t="s">
        <v>174</v>
      </c>
      <c r="B70" s="250">
        <f t="shared" si="13"/>
        <v>0.29399999999999998</v>
      </c>
      <c r="C70" s="311">
        <f t="shared" si="14"/>
        <v>33.720255482777247</v>
      </c>
      <c r="D70" s="311">
        <f t="shared" si="15"/>
        <v>34.690255482777246</v>
      </c>
      <c r="E70" s="312">
        <f t="shared" si="16"/>
        <v>0.96999999999999886</v>
      </c>
      <c r="F70" s="259">
        <f t="shared" si="17"/>
        <v>2.7961742757460436E-2</v>
      </c>
      <c r="G70" s="313">
        <f t="shared" si="18"/>
        <v>-8.9097675924528025E-2</v>
      </c>
      <c r="H70" s="312">
        <f t="shared" si="19"/>
        <v>0.94935315870177728</v>
      </c>
      <c r="I70" s="312">
        <f t="shared" si="20"/>
        <v>34.580510965554495</v>
      </c>
      <c r="J70" s="312">
        <f t="shared" si="21"/>
        <v>35.550510965554494</v>
      </c>
      <c r="K70" s="259">
        <f t="shared" si="22"/>
        <v>2.8050481988719365E-2</v>
      </c>
      <c r="N70" s="91">
        <v>421</v>
      </c>
      <c r="O70" s="268" t="s">
        <v>174</v>
      </c>
      <c r="P70" s="263">
        <f>+INPUT!AA41</f>
        <v>32.86</v>
      </c>
      <c r="Q70" s="264">
        <f>+INPUT!AB41</f>
        <v>33.83</v>
      </c>
      <c r="R70" s="265">
        <f>+INPUT!AC41</f>
        <v>0.29399999999999998</v>
      </c>
      <c r="S70" s="260">
        <f>($R70*INPUT!$P$55)*INPUT!$G$59</f>
        <v>-8.9097675924528025E-2</v>
      </c>
      <c r="T70" s="260">
        <f>($R70*INPUT!$P$55)*INPUT!$I$59</f>
        <v>0.94935315870177728</v>
      </c>
      <c r="U70" s="261">
        <f t="shared" si="31"/>
        <v>33.720255482777247</v>
      </c>
      <c r="V70" s="261">
        <f t="shared" si="32"/>
        <v>34.690255482777246</v>
      </c>
    </row>
    <row r="71" spans="1:22" ht="13.5" thickBot="1" x14ac:dyDescent="0.25">
      <c r="A71" s="267" t="s">
        <v>175</v>
      </c>
      <c r="B71" s="250">
        <f t="shared" si="13"/>
        <v>0.47099999999999997</v>
      </c>
      <c r="C71" s="311">
        <f t="shared" si="14"/>
        <v>23.698164395877839</v>
      </c>
      <c r="D71" s="311">
        <f t="shared" si="15"/>
        <v>24.358164395877839</v>
      </c>
      <c r="E71" s="312">
        <f t="shared" si="16"/>
        <v>0.66000000000000014</v>
      </c>
      <c r="F71" s="259">
        <f t="shared" si="17"/>
        <v>2.7095637802317021E-2</v>
      </c>
      <c r="G71" s="312">
        <f t="shared" si="18"/>
        <v>-0.14273811347092755</v>
      </c>
      <c r="H71" s="312">
        <f t="shared" si="19"/>
        <v>1.5209025093487658</v>
      </c>
      <c r="I71" s="312">
        <f t="shared" si="20"/>
        <v>25.076328791755678</v>
      </c>
      <c r="J71" s="312">
        <f t="shared" si="21"/>
        <v>25.736328791755678</v>
      </c>
      <c r="K71" s="259">
        <f t="shared" si="22"/>
        <v>2.6319642140638536E-2</v>
      </c>
      <c r="N71" s="91">
        <v>441</v>
      </c>
      <c r="O71" s="268" t="s">
        <v>175</v>
      </c>
      <c r="P71" s="263">
        <f>+INPUT!AA42</f>
        <v>22.32</v>
      </c>
      <c r="Q71" s="264">
        <f>+INPUT!AB42</f>
        <v>22.98</v>
      </c>
      <c r="R71" s="265">
        <f>+INPUT!AC42</f>
        <v>0.47099999999999997</v>
      </c>
      <c r="S71" s="260">
        <f>($R71*INPUT!$P$55)*INPUT!$G$59</f>
        <v>-0.14273811347092755</v>
      </c>
      <c r="T71" s="260">
        <f>($R71*INPUT!$P$55)*INPUT!$I$59</f>
        <v>1.5209025093487658</v>
      </c>
      <c r="U71" s="261">
        <f t="shared" si="31"/>
        <v>23.698164395877839</v>
      </c>
      <c r="V71" s="261">
        <f t="shared" si="32"/>
        <v>24.358164395877839</v>
      </c>
    </row>
    <row r="72" spans="1:22" ht="13.5" thickBot="1" x14ac:dyDescent="0.25">
      <c r="A72" s="267" t="s">
        <v>176</v>
      </c>
      <c r="B72" s="250">
        <f t="shared" si="13"/>
        <v>0.47099999999999997</v>
      </c>
      <c r="C72" s="311">
        <f t="shared" si="14"/>
        <v>39.768164395877839</v>
      </c>
      <c r="D72" s="311">
        <f t="shared" si="15"/>
        <v>40.898164395877842</v>
      </c>
      <c r="E72" s="312">
        <f t="shared" si="16"/>
        <v>1.1300000000000026</v>
      </c>
      <c r="F72" s="259">
        <f t="shared" si="17"/>
        <v>2.7629601882912285E-2</v>
      </c>
      <c r="G72" s="312">
        <f t="shared" si="18"/>
        <v>-0.14273811347092755</v>
      </c>
      <c r="H72" s="312">
        <f t="shared" si="19"/>
        <v>1.5209025093487658</v>
      </c>
      <c r="I72" s="312">
        <f t="shared" si="20"/>
        <v>41.146328791755678</v>
      </c>
      <c r="J72" s="312">
        <f t="shared" si="21"/>
        <v>42.276328791755681</v>
      </c>
      <c r="K72" s="259">
        <f t="shared" si="22"/>
        <v>2.746296044342153E-2</v>
      </c>
      <c r="N72" s="91">
        <v>422</v>
      </c>
      <c r="O72" s="268" t="s">
        <v>176</v>
      </c>
      <c r="P72" s="263">
        <f>+INPUT!AA43</f>
        <v>38.39</v>
      </c>
      <c r="Q72" s="264">
        <f>+INPUT!AB43</f>
        <v>39.520000000000003</v>
      </c>
      <c r="R72" s="265">
        <f>+INPUT!AC43</f>
        <v>0.47099999999999997</v>
      </c>
      <c r="S72" s="260">
        <f>($R72*INPUT!$P$55)*INPUT!$G$59</f>
        <v>-0.14273811347092755</v>
      </c>
      <c r="T72" s="260">
        <f>($R72*INPUT!$P$55)*INPUT!$I$59</f>
        <v>1.5209025093487658</v>
      </c>
      <c r="U72" s="261">
        <f t="shared" si="31"/>
        <v>39.768164395877839</v>
      </c>
      <c r="V72" s="261">
        <f t="shared" si="32"/>
        <v>40.898164395877842</v>
      </c>
    </row>
    <row r="73" spans="1:22" ht="13.5" thickBot="1" x14ac:dyDescent="0.25">
      <c r="A73" s="234" t="s">
        <v>373</v>
      </c>
      <c r="B73" s="250"/>
      <c r="C73" s="311"/>
      <c r="D73" s="311"/>
      <c r="E73" s="312"/>
      <c r="F73" s="259"/>
      <c r="G73" s="312"/>
      <c r="H73" s="312"/>
      <c r="I73" s="312"/>
      <c r="J73" s="312"/>
      <c r="K73" s="259"/>
      <c r="O73" s="268"/>
      <c r="P73" s="263"/>
      <c r="Q73" s="264"/>
      <c r="R73" s="265"/>
      <c r="S73" s="260"/>
      <c r="T73" s="260"/>
      <c r="U73" s="261"/>
      <c r="V73" s="261"/>
    </row>
    <row r="74" spans="1:22" ht="13.5" thickBot="1" x14ac:dyDescent="0.25">
      <c r="A74" s="230" t="s">
        <v>389</v>
      </c>
      <c r="B74" s="250"/>
      <c r="C74" s="311"/>
      <c r="D74" s="311"/>
      <c r="E74" s="312"/>
      <c r="F74" s="259"/>
      <c r="G74" s="312"/>
      <c r="H74" s="312"/>
      <c r="I74" s="312"/>
      <c r="J74" s="312"/>
      <c r="K74" s="259"/>
      <c r="O74" s="268"/>
      <c r="P74" s="263"/>
      <c r="Q74" s="264"/>
      <c r="R74" s="265"/>
      <c r="S74" s="260"/>
      <c r="T74" s="260"/>
      <c r="U74" s="261"/>
      <c r="V74" s="261"/>
    </row>
    <row r="75" spans="1:22" ht="13.5" thickBot="1" x14ac:dyDescent="0.25">
      <c r="A75" s="230" t="str">
        <f>+'Rate Case Constants'!$C$26</f>
        <v>Calculations may vary from other schedules due to rounding</v>
      </c>
      <c r="B75" s="250"/>
      <c r="C75" s="311"/>
      <c r="D75" s="311"/>
      <c r="E75" s="312"/>
      <c r="F75" s="259"/>
      <c r="G75" s="312"/>
      <c r="H75" s="312"/>
      <c r="I75" s="312"/>
      <c r="J75" s="312"/>
      <c r="K75" s="259"/>
      <c r="O75" s="268"/>
      <c r="P75" s="263"/>
      <c r="Q75" s="264"/>
      <c r="R75" s="265"/>
      <c r="S75" s="260"/>
      <c r="T75" s="260"/>
      <c r="U75" s="261"/>
      <c r="V75" s="261"/>
    </row>
    <row r="76" spans="1:22" ht="13.5" thickBot="1" x14ac:dyDescent="0.25">
      <c r="A76" s="383" t="str">
        <f>+A1</f>
        <v>LOUISVILLE GAS AND ELECTRIC COMPANY</v>
      </c>
      <c r="B76" s="383"/>
      <c r="C76" s="383"/>
      <c r="D76" s="383"/>
      <c r="E76" s="383"/>
      <c r="F76" s="383"/>
      <c r="G76" s="383"/>
      <c r="H76" s="383"/>
      <c r="I76" s="383"/>
      <c r="J76" s="383"/>
      <c r="K76" s="383"/>
      <c r="N76" s="91" t="s">
        <v>155</v>
      </c>
      <c r="O76" s="278"/>
      <c r="P76" s="263"/>
      <c r="Q76" s="264"/>
      <c r="R76" s="265"/>
      <c r="S76" s="260"/>
      <c r="T76" s="260"/>
      <c r="U76" s="261"/>
      <c r="V76" s="261"/>
    </row>
    <row r="77" spans="1:22" ht="13.5" thickBot="1" x14ac:dyDescent="0.25">
      <c r="A77" s="383" t="str">
        <f>+A2</f>
        <v>CASE NO. 2014-00372</v>
      </c>
      <c r="B77" s="383"/>
      <c r="C77" s="383"/>
      <c r="D77" s="383"/>
      <c r="E77" s="383"/>
      <c r="F77" s="383"/>
      <c r="G77" s="383"/>
      <c r="H77" s="383"/>
      <c r="I77" s="383"/>
      <c r="J77" s="383"/>
      <c r="K77" s="383"/>
      <c r="O77" s="340"/>
      <c r="P77" s="263"/>
      <c r="Q77" s="264"/>
      <c r="R77" s="265"/>
      <c r="S77" s="260"/>
      <c r="T77" s="260"/>
      <c r="U77" s="261"/>
      <c r="V77" s="261"/>
    </row>
    <row r="78" spans="1:22" ht="13.5" thickBot="1" x14ac:dyDescent="0.25">
      <c r="A78" s="386" t="str">
        <f>+A3</f>
        <v>Typical Electric Bill Comparison under Present &amp; Proposed Rates</v>
      </c>
      <c r="B78" s="386"/>
      <c r="C78" s="386"/>
      <c r="D78" s="386"/>
      <c r="E78" s="386"/>
      <c r="F78" s="386"/>
      <c r="G78" s="386"/>
      <c r="H78" s="386"/>
      <c r="I78" s="386"/>
      <c r="J78" s="386"/>
      <c r="K78" s="386"/>
      <c r="O78" s="340"/>
      <c r="P78" s="263"/>
      <c r="Q78" s="264"/>
      <c r="R78" s="265"/>
      <c r="S78" s="260"/>
      <c r="T78" s="260"/>
      <c r="U78" s="261"/>
      <c r="V78" s="261"/>
    </row>
    <row r="79" spans="1:22" ht="13.5" thickBot="1" x14ac:dyDescent="0.25">
      <c r="A79" s="383" t="str">
        <f>+A4</f>
        <v>FORECAST PERIOD FOR THE 12 MONTHS ENDED JUNE 30, 2016</v>
      </c>
      <c r="B79" s="383"/>
      <c r="C79" s="383"/>
      <c r="D79" s="383"/>
      <c r="E79" s="383"/>
      <c r="F79" s="383"/>
      <c r="G79" s="383"/>
      <c r="H79" s="383"/>
      <c r="I79" s="383"/>
      <c r="J79" s="383"/>
      <c r="K79" s="383"/>
      <c r="O79" s="340"/>
      <c r="P79" s="263"/>
      <c r="Q79" s="264"/>
      <c r="R79" s="265"/>
      <c r="S79" s="260"/>
      <c r="T79" s="260"/>
      <c r="U79" s="261"/>
      <c r="V79" s="261"/>
    </row>
    <row r="80" spans="1:22" ht="13.5" thickBot="1" x14ac:dyDescent="0.25">
      <c r="A80" s="277"/>
      <c r="B80" s="277"/>
      <c r="C80" s="311"/>
      <c r="D80" s="312"/>
      <c r="E80" s="312"/>
      <c r="F80" s="258"/>
      <c r="G80" s="312"/>
      <c r="H80" s="312"/>
      <c r="I80" s="312"/>
      <c r="J80" s="312"/>
      <c r="K80" s="259"/>
      <c r="O80" s="340"/>
      <c r="P80" s="263"/>
      <c r="Q80" s="264"/>
      <c r="R80" s="265"/>
      <c r="S80" s="260"/>
      <c r="T80" s="260"/>
      <c r="U80" s="261"/>
      <c r="V80" s="261"/>
    </row>
    <row r="81" spans="1:22" ht="13.5" thickBot="1" x14ac:dyDescent="0.25">
      <c r="A81" s="234" t="str">
        <f>+A40</f>
        <v>DATA: ____BASE PERIOD__X___FORECASTED PERIOD</v>
      </c>
      <c r="B81" s="277"/>
      <c r="C81" s="311"/>
      <c r="D81" s="312"/>
      <c r="E81" s="312"/>
      <c r="F81" s="258"/>
      <c r="G81" s="312"/>
      <c r="H81" s="312"/>
      <c r="I81" s="312"/>
      <c r="J81" s="312"/>
      <c r="K81" s="275" t="str">
        <f>+K40</f>
        <v>SCHEDULE N (Electric)</v>
      </c>
      <c r="O81" s="340"/>
      <c r="P81" s="263"/>
      <c r="Q81" s="264"/>
      <c r="R81" s="265"/>
      <c r="S81" s="260"/>
      <c r="T81" s="260"/>
      <c r="U81" s="261"/>
      <c r="V81" s="261"/>
    </row>
    <row r="82" spans="1:22" ht="13.5" thickBot="1" x14ac:dyDescent="0.25">
      <c r="A82" s="234" t="str">
        <f>+A41</f>
        <v>TYPE OF FILING: __X__ ORIGINAL  _____ UPDATED  _____ REVISED</v>
      </c>
      <c r="B82" s="277"/>
      <c r="C82" s="311"/>
      <c r="D82" s="312"/>
      <c r="E82" s="312"/>
      <c r="F82" s="258"/>
      <c r="G82" s="312"/>
      <c r="H82" s="312"/>
      <c r="I82" s="312"/>
      <c r="J82" s="312"/>
      <c r="K82" s="275" t="str">
        <f>+'Rate Case Constants'!L23</f>
        <v>PAGE 16 of 22</v>
      </c>
      <c r="O82" s="340"/>
      <c r="P82" s="263"/>
      <c r="Q82" s="264"/>
      <c r="R82" s="265"/>
      <c r="S82" s="260"/>
      <c r="T82" s="260"/>
      <c r="U82" s="261"/>
      <c r="V82" s="261"/>
    </row>
    <row r="83" spans="1:22" ht="13.5" thickBot="1" x14ac:dyDescent="0.25">
      <c r="A83" s="234" t="str">
        <f>+A42</f>
        <v>WORKPAPER REFERENCE NO(S):________</v>
      </c>
      <c r="B83" s="277"/>
      <c r="C83" s="311"/>
      <c r="D83" s="312"/>
      <c r="E83" s="312"/>
      <c r="F83" s="258"/>
      <c r="G83" s="312"/>
      <c r="H83" s="312"/>
      <c r="I83" s="312"/>
      <c r="J83" s="312"/>
      <c r="K83" s="275" t="str">
        <f>+K42</f>
        <v>WITNESS:   R. M. CONROY</v>
      </c>
      <c r="O83" s="340"/>
      <c r="P83" s="263"/>
      <c r="Q83" s="264"/>
      <c r="R83" s="265"/>
      <c r="S83" s="260"/>
      <c r="T83" s="260"/>
      <c r="U83" s="261"/>
      <c r="V83" s="261"/>
    </row>
    <row r="84" spans="1:22" ht="13.5" thickBot="1" x14ac:dyDescent="0.25">
      <c r="A84" s="281"/>
      <c r="B84" s="281"/>
      <c r="C84" s="238"/>
      <c r="D84" s="282"/>
      <c r="E84" s="282"/>
      <c r="F84" s="282"/>
      <c r="G84" s="283"/>
      <c r="H84" s="284"/>
      <c r="I84" s="284"/>
      <c r="J84" s="284"/>
      <c r="K84" s="335"/>
      <c r="O84" s="340"/>
      <c r="P84" s="263"/>
      <c r="Q84" s="264"/>
      <c r="R84" s="265"/>
      <c r="S84" s="260"/>
      <c r="T84" s="260"/>
      <c r="U84" s="261"/>
      <c r="V84" s="261"/>
    </row>
    <row r="85" spans="1:22" ht="13.5" thickBot="1" x14ac:dyDescent="0.25">
      <c r="A85" s="88" t="s">
        <v>401</v>
      </c>
      <c r="B85" s="3" t="s">
        <v>362</v>
      </c>
      <c r="C85" s="26" t="s">
        <v>363</v>
      </c>
      <c r="D85" s="26" t="s">
        <v>364</v>
      </c>
      <c r="E85" s="3" t="s">
        <v>365</v>
      </c>
      <c r="F85" s="3" t="s">
        <v>366</v>
      </c>
      <c r="G85" s="26" t="s">
        <v>367</v>
      </c>
      <c r="H85" s="3" t="s">
        <v>368</v>
      </c>
      <c r="I85" s="3" t="s">
        <v>369</v>
      </c>
      <c r="J85" s="3" t="s">
        <v>370</v>
      </c>
      <c r="K85" s="3" t="s">
        <v>371</v>
      </c>
      <c r="O85" s="340"/>
      <c r="P85" s="263"/>
      <c r="Q85" s="264"/>
      <c r="R85" s="265"/>
      <c r="S85" s="260"/>
      <c r="T85" s="260"/>
      <c r="U85" s="261"/>
      <c r="V85" s="261"/>
    </row>
    <row r="86" spans="1:22" ht="13.5" thickBot="1" x14ac:dyDescent="0.25">
      <c r="A86" s="267"/>
      <c r="B86" s="42"/>
      <c r="C86" s="351" t="s">
        <v>406</v>
      </c>
      <c r="D86" s="351" t="s">
        <v>406</v>
      </c>
      <c r="E86"/>
      <c r="F86"/>
      <c r="G86" s="30"/>
      <c r="H86" s="30"/>
      <c r="I86" s="3" t="s">
        <v>5</v>
      </c>
      <c r="J86" s="3" t="s">
        <v>5</v>
      </c>
      <c r="K86"/>
      <c r="O86" s="340"/>
      <c r="P86" s="263"/>
      <c r="Q86" s="264"/>
      <c r="R86" s="265"/>
      <c r="S86" s="260"/>
      <c r="T86" s="260"/>
      <c r="U86" s="261"/>
      <c r="V86" s="261"/>
    </row>
    <row r="87" spans="1:22" ht="13.5" thickBot="1" x14ac:dyDescent="0.25">
      <c r="A87" s="267"/>
      <c r="B87" s="3" t="s">
        <v>388</v>
      </c>
      <c r="C87" s="3" t="s">
        <v>1</v>
      </c>
      <c r="D87" s="3" t="s">
        <v>75</v>
      </c>
      <c r="E87" s="3"/>
      <c r="F87" s="3"/>
      <c r="G87" s="381" t="s">
        <v>136</v>
      </c>
      <c r="H87" s="381"/>
      <c r="I87" s="3" t="s">
        <v>1</v>
      </c>
      <c r="J87" s="3" t="s">
        <v>75</v>
      </c>
      <c r="K87" s="3"/>
      <c r="O87" s="340"/>
      <c r="P87" s="263"/>
      <c r="Q87" s="264"/>
      <c r="R87" s="265"/>
      <c r="S87" s="260"/>
      <c r="T87" s="260"/>
      <c r="U87" s="261"/>
      <c r="V87" s="261"/>
    </row>
    <row r="88" spans="1:22" ht="13.5" thickBot="1" x14ac:dyDescent="0.25">
      <c r="A88" s="267"/>
      <c r="B88" s="3" t="s">
        <v>20</v>
      </c>
      <c r="C88" s="3" t="s">
        <v>4</v>
      </c>
      <c r="D88" s="3" t="s">
        <v>4</v>
      </c>
      <c r="E88" s="3" t="s">
        <v>76</v>
      </c>
      <c r="F88" s="3" t="s">
        <v>76</v>
      </c>
      <c r="G88" s="51" t="s">
        <v>72</v>
      </c>
      <c r="H88" s="53" t="s">
        <v>73</v>
      </c>
      <c r="I88" s="3" t="s">
        <v>4</v>
      </c>
      <c r="J88" s="3" t="s">
        <v>4</v>
      </c>
      <c r="K88" s="3" t="s">
        <v>76</v>
      </c>
      <c r="O88" s="340"/>
      <c r="P88" s="263"/>
      <c r="Q88" s="264"/>
      <c r="R88" s="265"/>
      <c r="S88" s="260"/>
      <c r="T88" s="260"/>
      <c r="U88" s="261"/>
      <c r="V88" s="261"/>
    </row>
    <row r="89" spans="1:22" ht="13.5" thickBot="1" x14ac:dyDescent="0.25">
      <c r="A89" s="267"/>
      <c r="B89" s="42"/>
      <c r="C89" s="3"/>
      <c r="D89" s="3"/>
      <c r="E89" s="3" t="s">
        <v>70</v>
      </c>
      <c r="F89" s="26" t="s">
        <v>71</v>
      </c>
      <c r="G89" s="52"/>
      <c r="H89" s="55"/>
      <c r="I89" s="3" t="s">
        <v>70</v>
      </c>
      <c r="J89" s="3" t="s">
        <v>70</v>
      </c>
      <c r="K89" s="26" t="s">
        <v>71</v>
      </c>
      <c r="O89" s="340"/>
      <c r="P89" s="263"/>
      <c r="Q89" s="264"/>
      <c r="R89" s="265"/>
      <c r="S89" s="260"/>
      <c r="T89" s="260"/>
      <c r="U89" s="261"/>
      <c r="V89" s="261"/>
    </row>
    <row r="90" spans="1:22" ht="13.5" thickBot="1" x14ac:dyDescent="0.25">
      <c r="A90" s="267"/>
      <c r="B90" s="88"/>
      <c r="C90" s="222"/>
      <c r="D90" s="222"/>
      <c r="E90" s="222" t="str">
        <f>("[ "&amp;D85&amp;" - "&amp;C85&amp;" ]")</f>
        <v>[ C - B ]</v>
      </c>
      <c r="F90" s="222" t="str">
        <f>("[ "&amp;E85&amp;" / "&amp;C85&amp;" ]")</f>
        <v>[ D / B ]</v>
      </c>
      <c r="G90" s="224"/>
      <c r="H90" s="224"/>
      <c r="I90" s="222" t="str">
        <f>("["&amp;C85&amp;"+"&amp;$G$10&amp;"+"&amp;$H$10&amp;"]")</f>
        <v>[B+F+G]</v>
      </c>
      <c r="J90" s="222" t="str">
        <f>("["&amp;D85&amp;"+"&amp;$G$10&amp;"+"&amp;$H$10&amp;"]")</f>
        <v>[C+F+G]</v>
      </c>
      <c r="K90" s="222" t="str">
        <f>("[("&amp;J85&amp;" - "&amp;I85&amp;")"&amp;I85&amp;"]")</f>
        <v>[(I - H)H]</v>
      </c>
      <c r="O90" s="340"/>
      <c r="P90" s="263"/>
      <c r="Q90" s="264"/>
      <c r="R90" s="265"/>
      <c r="S90" s="260"/>
      <c r="T90" s="260"/>
      <c r="U90" s="261"/>
      <c r="V90" s="261"/>
    </row>
    <row r="91" spans="1:22" ht="13.5" thickBot="1" x14ac:dyDescent="0.25">
      <c r="A91" s="270" t="s">
        <v>101</v>
      </c>
      <c r="B91" s="270"/>
      <c r="C91" s="311"/>
      <c r="D91" s="312"/>
      <c r="E91" s="312"/>
      <c r="F91" s="258"/>
      <c r="G91" s="312"/>
      <c r="H91" s="312"/>
      <c r="I91" s="312"/>
      <c r="J91" s="312"/>
      <c r="K91" s="259"/>
      <c r="O91" s="271" t="s">
        <v>101</v>
      </c>
      <c r="P91" s="263"/>
      <c r="Q91" s="264"/>
      <c r="R91" s="265"/>
      <c r="S91" s="260"/>
      <c r="T91" s="260"/>
      <c r="U91" s="261"/>
      <c r="V91" s="261"/>
    </row>
    <row r="92" spans="1:22" ht="13.5" thickBot="1" x14ac:dyDescent="0.25">
      <c r="A92" s="267" t="s">
        <v>177</v>
      </c>
      <c r="B92" s="250">
        <f t="shared" ref="B92:B97" si="33">+R92</f>
        <v>0.15</v>
      </c>
      <c r="C92" s="311">
        <f t="shared" ref="C92:C97" si="34">+U92</f>
        <v>14.498905858559821</v>
      </c>
      <c r="D92" s="311">
        <f t="shared" ref="D92:D97" si="35">+V92</f>
        <v>14.908905858559821</v>
      </c>
      <c r="E92" s="312">
        <f t="shared" ref="E92:E97" si="36">+D92-C92</f>
        <v>0.41000000000000014</v>
      </c>
      <c r="F92" s="259">
        <f t="shared" ref="F92:F97" si="37">+E92/D92</f>
        <v>2.7500341332197906E-2</v>
      </c>
      <c r="G92" s="312">
        <f t="shared" ref="G92:G97" si="38">+S92</f>
        <v>-4.5457997920677562E-2</v>
      </c>
      <c r="H92" s="312">
        <f t="shared" ref="H92:H97" si="39">+T92</f>
        <v>0.48436385648049862</v>
      </c>
      <c r="I92" s="312">
        <f t="shared" ref="I92:I97" si="40">+C92+G92+H92</f>
        <v>14.937811717119642</v>
      </c>
      <c r="J92" s="312">
        <f t="shared" ref="J92:J97" si="41">+D92+G92+H92</f>
        <v>15.347811717119642</v>
      </c>
      <c r="K92" s="259">
        <f t="shared" ref="K92:K97" si="42">(J92-I92)/I92</f>
        <v>2.7447125975628355E-2</v>
      </c>
      <c r="N92" s="91">
        <v>479</v>
      </c>
      <c r="O92" s="272" t="s">
        <v>177</v>
      </c>
      <c r="P92" s="263">
        <f>+INPUT!AA46</f>
        <v>14.06</v>
      </c>
      <c r="Q92" s="264">
        <f>+INPUT!AB46</f>
        <v>14.47</v>
      </c>
      <c r="R92" s="265">
        <f>+INPUT!AC46</f>
        <v>0.15</v>
      </c>
      <c r="S92" s="260">
        <f>($R92*INPUT!$P$55)*INPUT!$G$59</f>
        <v>-4.5457997920677562E-2</v>
      </c>
      <c r="T92" s="260">
        <f>($R92*INPUT!$P$55)*INPUT!$I$59</f>
        <v>0.48436385648049862</v>
      </c>
      <c r="U92" s="261">
        <f t="shared" si="31"/>
        <v>14.498905858559821</v>
      </c>
      <c r="V92" s="261">
        <f t="shared" si="32"/>
        <v>14.908905858559821</v>
      </c>
    </row>
    <row r="93" spans="1:22" ht="13.5" thickBot="1" x14ac:dyDescent="0.25">
      <c r="A93" s="267" t="s">
        <v>178</v>
      </c>
      <c r="B93" s="250">
        <f t="shared" si="33"/>
        <v>0.15</v>
      </c>
      <c r="C93" s="311">
        <f t="shared" si="34"/>
        <v>24.268905858559819</v>
      </c>
      <c r="D93" s="311">
        <f t="shared" si="35"/>
        <v>24.968905858559822</v>
      </c>
      <c r="E93" s="312">
        <f t="shared" si="36"/>
        <v>0.70000000000000284</v>
      </c>
      <c r="F93" s="259">
        <f t="shared" si="37"/>
        <v>2.803486880703783E-2</v>
      </c>
      <c r="G93" s="312">
        <f t="shared" si="38"/>
        <v>-4.5457997920677562E-2</v>
      </c>
      <c r="H93" s="312">
        <f t="shared" si="39"/>
        <v>0.48436385648049862</v>
      </c>
      <c r="I93" s="312">
        <f t="shared" si="40"/>
        <v>24.70781171711964</v>
      </c>
      <c r="J93" s="312">
        <f t="shared" si="41"/>
        <v>25.407811717119642</v>
      </c>
      <c r="K93" s="259">
        <f t="shared" si="42"/>
        <v>2.8331120862273053E-2</v>
      </c>
      <c r="N93" s="91">
        <v>480</v>
      </c>
      <c r="O93" s="268" t="s">
        <v>178</v>
      </c>
      <c r="P93" s="263">
        <f>+INPUT!AA47</f>
        <v>23.83</v>
      </c>
      <c r="Q93" s="264">
        <f>+INPUT!AB47</f>
        <v>24.53</v>
      </c>
      <c r="R93" s="265">
        <f>+INPUT!AC47</f>
        <v>0.15</v>
      </c>
      <c r="S93" s="260">
        <f>($R93*INPUT!$P$55)*INPUT!$G$59</f>
        <v>-4.5457997920677562E-2</v>
      </c>
      <c r="T93" s="260">
        <f>($R93*INPUT!$P$55)*INPUT!$I$59</f>
        <v>0.48436385648049862</v>
      </c>
      <c r="U93" s="261">
        <f t="shared" ref="U93:U94" si="43">+P93+S93+T93</f>
        <v>24.268905858559819</v>
      </c>
      <c r="V93" s="261">
        <f t="shared" ref="V93:V94" si="44">+Q93+S93+T93</f>
        <v>24.968905858559822</v>
      </c>
    </row>
    <row r="94" spans="1:22" ht="13.5" thickBot="1" x14ac:dyDescent="0.25">
      <c r="A94" s="267" t="s">
        <v>179</v>
      </c>
      <c r="B94" s="250">
        <f t="shared" si="33"/>
        <v>0.35</v>
      </c>
      <c r="C94" s="311">
        <f t="shared" si="34"/>
        <v>21.484113669972917</v>
      </c>
      <c r="D94" s="311">
        <f t="shared" si="35"/>
        <v>22.084113669972915</v>
      </c>
      <c r="E94" s="312">
        <f t="shared" si="36"/>
        <v>0.59999999999999787</v>
      </c>
      <c r="F94" s="259">
        <f t="shared" si="37"/>
        <v>2.7168851282259033E-2</v>
      </c>
      <c r="G94" s="312">
        <f t="shared" si="38"/>
        <v>-0.1060686618149143</v>
      </c>
      <c r="H94" s="312">
        <f t="shared" si="39"/>
        <v>1.1301823317878299</v>
      </c>
      <c r="I94" s="312">
        <f t="shared" si="40"/>
        <v>22.508227339945833</v>
      </c>
      <c r="J94" s="312">
        <f t="shared" si="41"/>
        <v>23.108227339945831</v>
      </c>
      <c r="K94" s="259">
        <f t="shared" si="42"/>
        <v>2.6656919309463567E-2</v>
      </c>
      <c r="N94" s="91">
        <v>481</v>
      </c>
      <c r="O94" s="268" t="s">
        <v>179</v>
      </c>
      <c r="P94" s="263">
        <f>+INPUT!AA48</f>
        <v>20.46</v>
      </c>
      <c r="Q94" s="264">
        <f>+INPUT!AB48</f>
        <v>21.06</v>
      </c>
      <c r="R94" s="265">
        <f>+INPUT!AC48</f>
        <v>0.35</v>
      </c>
      <c r="S94" s="260">
        <f>($R94*INPUT!$P$55)*INPUT!$G$59</f>
        <v>-0.1060686618149143</v>
      </c>
      <c r="T94" s="260">
        <f>($R94*INPUT!$P$55)*INPUT!$I$59</f>
        <v>1.1301823317878299</v>
      </c>
      <c r="U94" s="261">
        <f t="shared" si="43"/>
        <v>21.484113669972917</v>
      </c>
      <c r="V94" s="261">
        <f t="shared" si="44"/>
        <v>22.084113669972915</v>
      </c>
    </row>
    <row r="95" spans="1:22" ht="13.5" thickBot="1" x14ac:dyDescent="0.25">
      <c r="A95" s="267" t="s">
        <v>180</v>
      </c>
      <c r="B95" s="250">
        <f t="shared" si="33"/>
        <v>0.35</v>
      </c>
      <c r="C95" s="311">
        <f t="shared" si="34"/>
        <v>31.234113669972917</v>
      </c>
      <c r="D95" s="311">
        <f t="shared" si="35"/>
        <v>32.124113669972921</v>
      </c>
      <c r="E95" s="312">
        <f t="shared" si="36"/>
        <v>0.89000000000000412</v>
      </c>
      <c r="F95" s="259">
        <f t="shared" si="37"/>
        <v>2.7705044538922353E-2</v>
      </c>
      <c r="G95" s="312">
        <f t="shared" si="38"/>
        <v>-0.1060686618149143</v>
      </c>
      <c r="H95" s="312">
        <f t="shared" si="39"/>
        <v>1.1301823317878299</v>
      </c>
      <c r="I95" s="312">
        <f t="shared" si="40"/>
        <v>32.258227339945833</v>
      </c>
      <c r="J95" s="312">
        <f t="shared" si="41"/>
        <v>33.148227339945834</v>
      </c>
      <c r="K95" s="259">
        <f t="shared" si="42"/>
        <v>2.7589860739120672E-2</v>
      </c>
      <c r="L95" s="279" t="s">
        <v>54</v>
      </c>
      <c r="N95" s="91">
        <v>482</v>
      </c>
      <c r="O95" s="268" t="s">
        <v>180</v>
      </c>
      <c r="P95" s="263">
        <f>+INPUT!AA49</f>
        <v>30.21</v>
      </c>
      <c r="Q95" s="264">
        <f>+INPUT!AB49</f>
        <v>31.1</v>
      </c>
      <c r="R95" s="265">
        <f>+INPUT!AC49</f>
        <v>0.35</v>
      </c>
      <c r="S95" s="260">
        <f>($R95*INPUT!$P$55)*INPUT!$G$59</f>
        <v>-0.1060686618149143</v>
      </c>
      <c r="T95" s="260">
        <f>($R95*INPUT!$P$55)*INPUT!$I$59</f>
        <v>1.1301823317878299</v>
      </c>
      <c r="U95" s="261">
        <f t="shared" ref="U95" si="45">+P95+S95+T95</f>
        <v>31.234113669972917</v>
      </c>
      <c r="V95" s="261">
        <f t="shared" ref="V95" si="46">+Q95+S95+T95</f>
        <v>32.124113669972921</v>
      </c>
    </row>
    <row r="96" spans="1:22" ht="13.5" thickBot="1" x14ac:dyDescent="0.25">
      <c r="A96" s="267" t="s">
        <v>181</v>
      </c>
      <c r="B96" s="250">
        <f t="shared" si="33"/>
        <v>1.08</v>
      </c>
      <c r="C96" s="311">
        <f t="shared" si="34"/>
        <v>45.720122181630714</v>
      </c>
      <c r="D96" s="311">
        <f t="shared" si="35"/>
        <v>46.980122181630712</v>
      </c>
      <c r="E96" s="312">
        <f t="shared" si="36"/>
        <v>1.259999999999998</v>
      </c>
      <c r="F96" s="259">
        <f t="shared" si="37"/>
        <v>2.6819853620829014E-2</v>
      </c>
      <c r="G96" s="312">
        <f t="shared" si="38"/>
        <v>-0.32729758502887851</v>
      </c>
      <c r="H96" s="312">
        <f t="shared" si="39"/>
        <v>3.4874197666595905</v>
      </c>
      <c r="I96" s="312">
        <f t="shared" si="40"/>
        <v>48.880244363261426</v>
      </c>
      <c r="J96" s="312">
        <f t="shared" si="41"/>
        <v>50.140244363261424</v>
      </c>
      <c r="K96" s="259">
        <f t="shared" si="42"/>
        <v>2.5777285208234735E-2</v>
      </c>
      <c r="N96" s="91">
        <v>483</v>
      </c>
      <c r="O96" s="269" t="s">
        <v>181</v>
      </c>
      <c r="P96" s="263">
        <f>+INPUT!AA50</f>
        <v>42.56</v>
      </c>
      <c r="Q96" s="264">
        <f>+INPUT!AB50</f>
        <v>43.82</v>
      </c>
      <c r="R96" s="265">
        <f>+INPUT!AC50</f>
        <v>1.08</v>
      </c>
      <c r="S96" s="260">
        <f>($R96*INPUT!$P$55)*INPUT!$G$59</f>
        <v>-0.32729758502887851</v>
      </c>
      <c r="T96" s="260">
        <f>($R96*INPUT!$P$55)*INPUT!$I$59</f>
        <v>3.4874197666595905</v>
      </c>
      <c r="U96" s="261">
        <f t="shared" ref="U96:U97" si="47">+P96+S96+T96</f>
        <v>45.720122181630714</v>
      </c>
      <c r="V96" s="261">
        <f t="shared" ref="V96:V97" si="48">+Q96+S96+T96</f>
        <v>46.980122181630712</v>
      </c>
    </row>
    <row r="97" spans="1:22" ht="13.5" thickBot="1" x14ac:dyDescent="0.25">
      <c r="A97" s="267" t="s">
        <v>182</v>
      </c>
      <c r="B97" s="250">
        <f t="shared" si="33"/>
        <v>1.08</v>
      </c>
      <c r="C97" s="311">
        <f t="shared" si="34"/>
        <v>55.470122181630714</v>
      </c>
      <c r="D97" s="311">
        <f t="shared" si="35"/>
        <v>57.010122181630713</v>
      </c>
      <c r="E97" s="312">
        <f t="shared" si="36"/>
        <v>1.5399999999999991</v>
      </c>
      <c r="F97" s="259">
        <f t="shared" si="37"/>
        <v>2.7012746878416691E-2</v>
      </c>
      <c r="G97" s="313">
        <f t="shared" si="38"/>
        <v>-0.32729758502887851</v>
      </c>
      <c r="H97" s="312">
        <f t="shared" si="39"/>
        <v>3.4874197666595905</v>
      </c>
      <c r="I97" s="312">
        <f t="shared" si="40"/>
        <v>58.630244363261426</v>
      </c>
      <c r="J97" s="312">
        <f t="shared" si="41"/>
        <v>60.170244363261425</v>
      </c>
      <c r="K97" s="259">
        <f t="shared" si="42"/>
        <v>2.626630703529842E-2</v>
      </c>
      <c r="N97" s="91">
        <v>484</v>
      </c>
      <c r="O97" s="273" t="s">
        <v>182</v>
      </c>
      <c r="P97" s="263">
        <f>+INPUT!AA51</f>
        <v>52.31</v>
      </c>
      <c r="Q97" s="264">
        <f>+INPUT!AB51</f>
        <v>53.85</v>
      </c>
      <c r="R97" s="265">
        <f>+INPUT!AC51</f>
        <v>1.08</v>
      </c>
      <c r="S97" s="260">
        <f>($R97*INPUT!$P$55)*INPUT!$G$59</f>
        <v>-0.32729758502887851</v>
      </c>
      <c r="T97" s="260">
        <f>($R97*INPUT!$P$55)*INPUT!$I$59</f>
        <v>3.4874197666595905</v>
      </c>
      <c r="U97" s="261">
        <f t="shared" si="47"/>
        <v>55.470122181630714</v>
      </c>
      <c r="V97" s="261">
        <f t="shared" si="48"/>
        <v>57.010122181630713</v>
      </c>
    </row>
    <row r="98" spans="1:22" x14ac:dyDescent="0.2">
      <c r="A98" s="267"/>
      <c r="B98" s="250"/>
      <c r="C98" s="311"/>
      <c r="D98" s="311"/>
      <c r="E98" s="312"/>
      <c r="F98" s="259"/>
      <c r="G98" s="313"/>
      <c r="H98" s="312"/>
      <c r="I98" s="312"/>
      <c r="J98" s="312"/>
      <c r="K98" s="259"/>
      <c r="O98" s="267"/>
      <c r="P98" s="280"/>
      <c r="Q98" s="280"/>
      <c r="R98" s="265"/>
      <c r="S98" s="260"/>
      <c r="T98" s="260"/>
      <c r="U98" s="261"/>
      <c r="V98" s="261"/>
    </row>
    <row r="99" spans="1:22" x14ac:dyDescent="0.2">
      <c r="A99" s="267"/>
      <c r="B99" s="250"/>
      <c r="C99" s="311"/>
      <c r="D99" s="311"/>
      <c r="E99" s="312"/>
      <c r="F99" s="259"/>
      <c r="G99" s="313"/>
      <c r="H99" s="312"/>
      <c r="I99" s="312"/>
      <c r="J99" s="312"/>
      <c r="K99" s="259"/>
      <c r="O99" s="267"/>
      <c r="P99" s="280"/>
      <c r="Q99" s="280"/>
      <c r="R99" s="265"/>
      <c r="S99" s="260"/>
      <c r="T99" s="260"/>
      <c r="U99" s="261"/>
      <c r="V99" s="261"/>
    </row>
    <row r="100" spans="1:22" x14ac:dyDescent="0.2">
      <c r="A100" s="267"/>
      <c r="B100" s="250"/>
      <c r="C100" s="311"/>
      <c r="D100" s="311"/>
      <c r="E100" s="312"/>
      <c r="F100" s="259"/>
      <c r="G100" s="313"/>
      <c r="H100" s="312"/>
      <c r="I100" s="312"/>
      <c r="J100" s="312"/>
      <c r="K100" s="259"/>
      <c r="O100" s="267"/>
      <c r="P100" s="280"/>
      <c r="Q100" s="280"/>
      <c r="R100" s="265"/>
      <c r="S100" s="260"/>
      <c r="T100" s="260"/>
      <c r="U100" s="261"/>
      <c r="V100" s="261"/>
    </row>
    <row r="101" spans="1:22" x14ac:dyDescent="0.2">
      <c r="A101" s="234" t="s">
        <v>373</v>
      </c>
      <c r="B101" s="250"/>
      <c r="C101" s="311"/>
      <c r="D101" s="311"/>
      <c r="E101" s="312"/>
      <c r="F101" s="259"/>
      <c r="G101" s="313"/>
      <c r="H101" s="312"/>
      <c r="I101" s="312"/>
      <c r="J101" s="312"/>
      <c r="K101" s="259"/>
      <c r="O101" s="267"/>
      <c r="P101" s="280"/>
      <c r="Q101" s="280"/>
      <c r="R101" s="265"/>
      <c r="S101" s="260"/>
      <c r="T101" s="260"/>
      <c r="U101" s="261"/>
      <c r="V101" s="261"/>
    </row>
    <row r="102" spans="1:22" x14ac:dyDescent="0.2">
      <c r="A102" s="230" t="s">
        <v>389</v>
      </c>
      <c r="B102" s="250"/>
      <c r="C102" s="311"/>
      <c r="D102" s="311"/>
      <c r="E102" s="312"/>
      <c r="F102" s="259"/>
      <c r="G102" s="313"/>
      <c r="H102" s="312"/>
      <c r="I102" s="312"/>
      <c r="J102" s="312"/>
      <c r="K102" s="259"/>
      <c r="O102" s="267"/>
      <c r="P102" s="280"/>
      <c r="Q102" s="280"/>
      <c r="R102" s="265"/>
      <c r="S102" s="260"/>
      <c r="T102" s="260"/>
      <c r="U102" s="261"/>
      <c r="V102" s="261"/>
    </row>
    <row r="103" spans="1:22" x14ac:dyDescent="0.2">
      <c r="A103" s="230" t="str">
        <f>+'Rate Case Constants'!$C$26</f>
        <v>Calculations may vary from other schedules due to rounding</v>
      </c>
      <c r="B103" s="250"/>
      <c r="C103" s="311"/>
      <c r="D103" s="311"/>
      <c r="E103" s="312"/>
      <c r="F103" s="259"/>
      <c r="G103" s="313"/>
      <c r="H103" s="312"/>
      <c r="I103" s="312"/>
      <c r="J103" s="312"/>
      <c r="K103" s="259"/>
      <c r="O103" s="267"/>
      <c r="P103" s="280"/>
      <c r="Q103" s="280"/>
      <c r="R103" s="265"/>
      <c r="S103" s="260"/>
      <c r="T103" s="260"/>
      <c r="U103" s="261"/>
      <c r="V103" s="261"/>
    </row>
    <row r="104" spans="1:22" x14ac:dyDescent="0.2">
      <c r="A104" s="267"/>
      <c r="B104" s="250"/>
      <c r="C104" s="311"/>
      <c r="D104" s="311"/>
      <c r="E104" s="312"/>
      <c r="F104" s="259"/>
      <c r="G104" s="313"/>
      <c r="H104" s="312"/>
      <c r="I104" s="312"/>
      <c r="J104" s="312"/>
      <c r="K104" s="259"/>
      <c r="O104" s="267"/>
      <c r="P104" s="280"/>
      <c r="Q104" s="280"/>
      <c r="R104" s="265"/>
      <c r="S104" s="260"/>
      <c r="T104" s="260"/>
      <c r="U104" s="261"/>
      <c r="V104" s="261"/>
    </row>
    <row r="105" spans="1:22" x14ac:dyDescent="0.2">
      <c r="A105" s="267"/>
      <c r="B105" s="267"/>
      <c r="D105" s="258"/>
      <c r="E105" s="258"/>
      <c r="F105" s="258"/>
      <c r="G105" s="259"/>
      <c r="H105" s="261"/>
      <c r="I105" s="261"/>
      <c r="J105" s="261"/>
      <c r="K105" s="259"/>
      <c r="O105" s="267"/>
      <c r="P105" s="280"/>
      <c r="Q105" s="280"/>
      <c r="R105" s="265"/>
      <c r="S105" s="260"/>
      <c r="T105" s="260"/>
      <c r="U105" s="261"/>
      <c r="V105" s="261"/>
    </row>
    <row r="106" spans="1:22" x14ac:dyDescent="0.2">
      <c r="A106" s="383" t="str">
        <f>+A1</f>
        <v>LOUISVILLE GAS AND ELECTRIC COMPANY</v>
      </c>
      <c r="B106" s="383"/>
      <c r="C106" s="383"/>
      <c r="D106" s="383"/>
      <c r="E106" s="383"/>
      <c r="F106" s="383"/>
      <c r="G106" s="383"/>
      <c r="H106" s="383"/>
      <c r="I106" s="383"/>
      <c r="J106" s="383"/>
      <c r="K106" s="383"/>
      <c r="O106" s="267"/>
      <c r="P106" s="280"/>
      <c r="Q106" s="280"/>
      <c r="R106" s="265"/>
      <c r="S106" s="260"/>
      <c r="T106" s="260"/>
      <c r="U106" s="261"/>
      <c r="V106" s="261"/>
    </row>
    <row r="107" spans="1:22" x14ac:dyDescent="0.2">
      <c r="A107" s="383" t="str">
        <f>+A2</f>
        <v>CASE NO. 2014-00372</v>
      </c>
      <c r="B107" s="383"/>
      <c r="C107" s="383"/>
      <c r="D107" s="383"/>
      <c r="E107" s="383"/>
      <c r="F107" s="383"/>
      <c r="G107" s="383"/>
      <c r="H107" s="383"/>
      <c r="I107" s="383"/>
      <c r="J107" s="383"/>
      <c r="K107" s="383"/>
      <c r="O107" s="267"/>
      <c r="P107" s="280"/>
      <c r="Q107" s="280"/>
      <c r="R107" s="265"/>
      <c r="S107" s="260"/>
      <c r="T107" s="260"/>
      <c r="U107" s="261"/>
      <c r="V107" s="261"/>
    </row>
    <row r="108" spans="1:22" x14ac:dyDescent="0.2">
      <c r="A108" s="383" t="str">
        <f>+A3</f>
        <v>Typical Electric Bill Comparison under Present &amp; Proposed Rates</v>
      </c>
      <c r="B108" s="383"/>
      <c r="C108" s="383"/>
      <c r="D108" s="383"/>
      <c r="E108" s="383"/>
      <c r="F108" s="383"/>
      <c r="G108" s="383"/>
      <c r="H108" s="383"/>
      <c r="I108" s="383"/>
      <c r="J108" s="383"/>
      <c r="K108" s="383"/>
      <c r="O108" s="267"/>
      <c r="P108" s="280"/>
      <c r="Q108" s="280"/>
      <c r="R108" s="265"/>
      <c r="S108" s="260"/>
      <c r="T108" s="260"/>
      <c r="U108" s="261"/>
      <c r="V108" s="261"/>
    </row>
    <row r="109" spans="1:22" x14ac:dyDescent="0.2">
      <c r="A109" s="383" t="str">
        <f>+A4</f>
        <v>FORECAST PERIOD FOR THE 12 MONTHS ENDED JUNE 30, 2016</v>
      </c>
      <c r="B109" s="383"/>
      <c r="C109" s="383"/>
      <c r="D109" s="383"/>
      <c r="E109" s="383"/>
      <c r="F109" s="383"/>
      <c r="G109" s="383"/>
      <c r="H109" s="383"/>
      <c r="I109" s="383"/>
      <c r="J109" s="383"/>
      <c r="K109" s="383"/>
      <c r="O109" s="267"/>
      <c r="P109" s="280"/>
      <c r="Q109" s="280"/>
      <c r="R109" s="265"/>
      <c r="S109" s="260"/>
      <c r="T109" s="260"/>
      <c r="U109" s="261"/>
      <c r="V109" s="261"/>
    </row>
    <row r="110" spans="1:22" x14ac:dyDescent="0.2">
      <c r="A110" s="310"/>
      <c r="B110" s="310"/>
      <c r="D110" s="258"/>
      <c r="E110" s="258"/>
      <c r="F110" s="258"/>
      <c r="G110" s="259"/>
      <c r="H110" s="261"/>
      <c r="I110" s="261"/>
      <c r="J110" s="261"/>
      <c r="K110" s="259"/>
      <c r="O110" s="267"/>
      <c r="P110" s="280"/>
      <c r="Q110" s="280"/>
      <c r="R110" s="265"/>
      <c r="S110" s="260"/>
      <c r="T110" s="260"/>
      <c r="U110" s="261"/>
      <c r="V110" s="261"/>
    </row>
    <row r="111" spans="1:22" x14ac:dyDescent="0.2">
      <c r="A111" s="310" t="str">
        <f>+A6</f>
        <v>DATA: ____BASE PERIOD__X___FORECASTED PERIOD</v>
      </c>
      <c r="B111" s="310"/>
      <c r="D111" s="258"/>
      <c r="E111" s="258"/>
      <c r="F111" s="258"/>
      <c r="G111" s="259"/>
      <c r="H111" s="261"/>
      <c r="I111" s="261"/>
      <c r="J111" s="261"/>
      <c r="K111" s="275" t="str">
        <f>+K6</f>
        <v>SCHEDULE N (Electric)</v>
      </c>
      <c r="O111" s="267"/>
      <c r="P111" s="280"/>
      <c r="Q111" s="280"/>
      <c r="R111" s="265"/>
      <c r="S111" s="260"/>
      <c r="T111" s="260"/>
      <c r="U111" s="261"/>
      <c r="V111" s="261"/>
    </row>
    <row r="112" spans="1:22" x14ac:dyDescent="0.2">
      <c r="A112" s="310" t="str">
        <f>+A7</f>
        <v>TYPE OF FILING: __X__ ORIGINAL  _____ UPDATED  _____ REVISED</v>
      </c>
      <c r="B112" s="310"/>
      <c r="D112" s="258"/>
      <c r="E112" s="258"/>
      <c r="F112" s="258"/>
      <c r="G112" s="259"/>
      <c r="H112" s="261"/>
      <c r="I112" s="261"/>
      <c r="J112" s="261"/>
      <c r="K112" s="275" t="str">
        <f>+'Rate Case Constants'!L24</f>
        <v>PAGE 17 of 22</v>
      </c>
      <c r="O112" s="267"/>
      <c r="P112" s="280"/>
      <c r="Q112" s="280"/>
      <c r="R112" s="265"/>
      <c r="S112" s="260"/>
      <c r="T112" s="260"/>
      <c r="U112" s="261"/>
      <c r="V112" s="261"/>
    </row>
    <row r="113" spans="1:22" x14ac:dyDescent="0.2">
      <c r="A113" s="310" t="str">
        <f>+A8</f>
        <v>WORKPAPER REFERENCE NO(S):________</v>
      </c>
      <c r="B113" s="310"/>
      <c r="D113" s="258"/>
      <c r="E113" s="258"/>
      <c r="F113" s="258"/>
      <c r="G113" s="259"/>
      <c r="H113" s="261"/>
      <c r="I113" s="261"/>
      <c r="J113" s="261"/>
      <c r="K113" s="275" t="str">
        <f>+K8</f>
        <v>WITNESS:   R. M. CONROY</v>
      </c>
      <c r="O113" s="267"/>
      <c r="P113" s="280"/>
      <c r="Q113" s="280"/>
      <c r="R113" s="265"/>
      <c r="S113" s="260"/>
      <c r="T113" s="260"/>
      <c r="U113" s="261"/>
      <c r="V113" s="261"/>
    </row>
    <row r="114" spans="1:22" ht="13.5" thickBot="1" x14ac:dyDescent="0.25">
      <c r="A114" s="281"/>
      <c r="B114" s="281"/>
      <c r="C114" s="238"/>
      <c r="D114" s="282"/>
      <c r="E114" s="282"/>
      <c r="F114" s="282"/>
      <c r="G114" s="283"/>
      <c r="H114" s="284"/>
      <c r="I114" s="284"/>
      <c r="J114" s="284"/>
      <c r="K114" s="283"/>
      <c r="O114" s="241" t="s">
        <v>97</v>
      </c>
      <c r="R114" s="265"/>
      <c r="S114" s="260"/>
      <c r="T114" s="260"/>
      <c r="U114" s="261"/>
      <c r="V114" s="261"/>
    </row>
    <row r="115" spans="1:22" ht="13.5" thickBot="1" x14ac:dyDescent="0.25">
      <c r="A115" s="350" t="s">
        <v>97</v>
      </c>
      <c r="B115" s="3" t="s">
        <v>362</v>
      </c>
      <c r="C115" s="26" t="s">
        <v>363</v>
      </c>
      <c r="D115" s="26" t="s">
        <v>364</v>
      </c>
      <c r="E115" s="3" t="s">
        <v>365</v>
      </c>
      <c r="F115" s="3" t="s">
        <v>366</v>
      </c>
      <c r="G115" s="26" t="s">
        <v>367</v>
      </c>
      <c r="H115" s="3" t="s">
        <v>368</v>
      </c>
      <c r="I115" s="3" t="s">
        <v>369</v>
      </c>
      <c r="J115" s="3" t="s">
        <v>370</v>
      </c>
      <c r="K115" s="3" t="s">
        <v>371</v>
      </c>
      <c r="O115" s="286"/>
      <c r="P115" s="287" t="s">
        <v>88</v>
      </c>
      <c r="Q115" s="287" t="s">
        <v>88</v>
      </c>
      <c r="R115" s="265"/>
      <c r="S115" s="260"/>
      <c r="T115" s="260"/>
      <c r="U115" s="261"/>
      <c r="V115" s="261"/>
    </row>
    <row r="116" spans="1:22" ht="13.5" thickBot="1" x14ac:dyDescent="0.25">
      <c r="A116" s="285"/>
      <c r="B116" s="42"/>
      <c r="C116" s="351" t="s">
        <v>406</v>
      </c>
      <c r="D116" s="351" t="s">
        <v>406</v>
      </c>
      <c r="E116"/>
      <c r="F116"/>
      <c r="G116" s="30"/>
      <c r="H116" s="30"/>
      <c r="I116" s="3" t="s">
        <v>5</v>
      </c>
      <c r="J116" s="3" t="s">
        <v>5</v>
      </c>
      <c r="K116"/>
      <c r="O116" s="289"/>
      <c r="P116" s="343"/>
      <c r="Q116" s="343"/>
      <c r="R116" s="265"/>
      <c r="S116" s="260"/>
      <c r="T116" s="260"/>
      <c r="U116" s="261"/>
      <c r="V116" s="261"/>
    </row>
    <row r="117" spans="1:22" ht="13.5" thickBot="1" x14ac:dyDescent="0.25">
      <c r="A117" s="285"/>
      <c r="B117" s="3" t="s">
        <v>388</v>
      </c>
      <c r="C117" s="3" t="s">
        <v>1</v>
      </c>
      <c r="D117" s="3" t="s">
        <v>75</v>
      </c>
      <c r="E117" s="3"/>
      <c r="F117" s="3"/>
      <c r="G117" s="381" t="s">
        <v>136</v>
      </c>
      <c r="H117" s="381"/>
      <c r="I117" s="3" t="s">
        <v>1</v>
      </c>
      <c r="J117" s="3" t="s">
        <v>75</v>
      </c>
      <c r="K117" s="3"/>
      <c r="O117" s="289"/>
      <c r="P117" s="343"/>
      <c r="Q117" s="343"/>
      <c r="R117" s="265"/>
      <c r="S117" s="260"/>
      <c r="T117" s="260"/>
      <c r="U117" s="261"/>
      <c r="V117" s="261"/>
    </row>
    <row r="118" spans="1:22" ht="13.5" thickBot="1" x14ac:dyDescent="0.25">
      <c r="A118" s="285"/>
      <c r="B118" s="3" t="s">
        <v>20</v>
      </c>
      <c r="C118" s="3" t="s">
        <v>4</v>
      </c>
      <c r="D118" s="3" t="s">
        <v>4</v>
      </c>
      <c r="E118" s="3" t="s">
        <v>76</v>
      </c>
      <c r="F118" s="3" t="s">
        <v>76</v>
      </c>
      <c r="G118" s="51" t="s">
        <v>72</v>
      </c>
      <c r="H118" s="53" t="s">
        <v>73</v>
      </c>
      <c r="I118" s="3" t="s">
        <v>4</v>
      </c>
      <c r="J118" s="3" t="s">
        <v>4</v>
      </c>
      <c r="K118" s="3" t="s">
        <v>76</v>
      </c>
      <c r="O118" s="289"/>
      <c r="P118" s="343"/>
      <c r="Q118" s="343"/>
      <c r="R118" s="265"/>
      <c r="S118" s="260"/>
      <c r="T118" s="260"/>
      <c r="U118" s="261"/>
      <c r="V118" s="261"/>
    </row>
    <row r="119" spans="1:22" ht="13.5" thickBot="1" x14ac:dyDescent="0.25">
      <c r="A119" s="285"/>
      <c r="B119" s="42"/>
      <c r="C119" s="3"/>
      <c r="D119" s="3"/>
      <c r="E119" s="3" t="s">
        <v>70</v>
      </c>
      <c r="F119" s="26" t="s">
        <v>71</v>
      </c>
      <c r="G119" s="52"/>
      <c r="H119" s="55"/>
      <c r="I119" s="3" t="s">
        <v>70</v>
      </c>
      <c r="J119" s="3" t="s">
        <v>70</v>
      </c>
      <c r="K119" s="26" t="s">
        <v>71</v>
      </c>
      <c r="O119" s="289"/>
      <c r="P119" s="343"/>
      <c r="Q119" s="343"/>
      <c r="R119" s="265"/>
      <c r="S119" s="260"/>
      <c r="T119" s="260"/>
      <c r="U119" s="261"/>
      <c r="V119" s="261"/>
    </row>
    <row r="120" spans="1:22" ht="13.5" thickBot="1" x14ac:dyDescent="0.25">
      <c r="A120" s="285"/>
      <c r="B120" s="88"/>
      <c r="C120" s="222"/>
      <c r="D120" s="222"/>
      <c r="E120" s="222" t="str">
        <f>("[ "&amp;D115&amp;" - "&amp;C115&amp;" ]")</f>
        <v>[ C - B ]</v>
      </c>
      <c r="F120" s="222" t="str">
        <f>("[ "&amp;E115&amp;" / "&amp;C115&amp;" ]")</f>
        <v>[ D / B ]</v>
      </c>
      <c r="G120" s="224"/>
      <c r="H120" s="224"/>
      <c r="I120" s="222" t="str">
        <f>("["&amp;C115&amp;"+"&amp;$G$10&amp;"+"&amp;$H$10&amp;"]")</f>
        <v>[B+F+G]</v>
      </c>
      <c r="J120" s="222" t="str">
        <f>("["&amp;D115&amp;"+"&amp;$G$10&amp;"+"&amp;$H$10&amp;"]")</f>
        <v>[C+F+G]</v>
      </c>
      <c r="K120" s="222" t="str">
        <f>("[("&amp;J115&amp;" - "&amp;I115&amp;")"&amp;I115&amp;"]")</f>
        <v>[(I - H)H]</v>
      </c>
      <c r="O120" s="289"/>
      <c r="P120" s="248" t="s">
        <v>1</v>
      </c>
      <c r="Q120" s="290" t="s">
        <v>1</v>
      </c>
      <c r="R120" s="265"/>
      <c r="S120" s="260"/>
      <c r="T120" s="260"/>
      <c r="U120" s="261"/>
      <c r="V120" s="261"/>
    </row>
    <row r="121" spans="1:22" ht="13.5" thickBot="1" x14ac:dyDescent="0.25">
      <c r="A121" s="251" t="s">
        <v>89</v>
      </c>
      <c r="B121" s="291"/>
      <c r="G121" s="259"/>
      <c r="K121" s="259"/>
      <c r="O121" s="292" t="s">
        <v>89</v>
      </c>
      <c r="P121" s="293"/>
      <c r="Q121" s="294"/>
      <c r="R121" s="265"/>
      <c r="S121" s="260"/>
      <c r="T121" s="260"/>
    </row>
    <row r="122" spans="1:22" ht="13.5" thickBot="1" x14ac:dyDescent="0.25">
      <c r="A122" s="267" t="s">
        <v>102</v>
      </c>
      <c r="B122" s="288"/>
      <c r="G122" s="259"/>
      <c r="K122" s="259"/>
      <c r="O122" s="289" t="s">
        <v>102</v>
      </c>
      <c r="P122" s="295"/>
      <c r="Q122" s="296"/>
      <c r="R122" s="265"/>
      <c r="S122" s="260"/>
      <c r="T122" s="260"/>
    </row>
    <row r="123" spans="1:22" ht="15.75" thickBot="1" x14ac:dyDescent="0.25">
      <c r="A123" s="267" t="s">
        <v>183</v>
      </c>
      <c r="B123" s="250">
        <f t="shared" ref="B123:B130" si="49">+R123</f>
        <v>0.21</v>
      </c>
      <c r="C123" s="311">
        <f t="shared" ref="C123:D130" si="50">+U123</f>
        <v>10.18446820198375</v>
      </c>
      <c r="D123" s="311">
        <f t="shared" si="50"/>
        <v>10.204468201983749</v>
      </c>
      <c r="E123" s="312">
        <f t="shared" ref="E123:E130" si="51">+D123-C123</f>
        <v>1.9999999999999574E-2</v>
      </c>
      <c r="F123" s="259">
        <f t="shared" ref="F123:F130" si="52">+E123/D123</f>
        <v>1.9599257505757695E-3</v>
      </c>
      <c r="G123" s="312">
        <f t="shared" ref="G123:H130" si="53">+S123</f>
        <v>-6.3641197088948595E-2</v>
      </c>
      <c r="H123" s="312">
        <f t="shared" si="53"/>
        <v>0.67810939907269807</v>
      </c>
      <c r="I123" s="312">
        <f t="shared" ref="I123:I130" si="54">+C123+G123+H123</f>
        <v>10.798936403967499</v>
      </c>
      <c r="J123" s="312">
        <f t="shared" ref="J123:J130" si="55">+D123+G123+H123</f>
        <v>10.818936403967498</v>
      </c>
      <c r="K123" s="259">
        <f t="shared" ref="K123:K130" si="56">(J123-I123)/I123</f>
        <v>1.8520342422473782E-3</v>
      </c>
      <c r="N123" s="91">
        <v>252</v>
      </c>
      <c r="O123" s="297" t="s">
        <v>183</v>
      </c>
      <c r="P123" s="263">
        <f>+INPUT!AA58</f>
        <v>9.57</v>
      </c>
      <c r="Q123" s="263">
        <f>+INPUT!AB58</f>
        <v>9.59</v>
      </c>
      <c r="R123" s="265">
        <f>+INPUT!AC58</f>
        <v>0.21</v>
      </c>
      <c r="S123" s="260">
        <f>($R123*INPUT!$P$55)*INPUT!$G$59</f>
        <v>-6.3641197088948595E-2</v>
      </c>
      <c r="T123" s="260">
        <f>($R123*INPUT!$P$55)*INPUT!$I$59</f>
        <v>0.67810939907269807</v>
      </c>
      <c r="U123" s="261">
        <f>+P123+S123+T123</f>
        <v>10.18446820198375</v>
      </c>
      <c r="V123" s="261">
        <f>+Q123+S123+T123</f>
        <v>10.204468201983749</v>
      </c>
    </row>
    <row r="124" spans="1:22" ht="26.25" thickBot="1" x14ac:dyDescent="0.25">
      <c r="A124" s="364" t="s">
        <v>410</v>
      </c>
      <c r="B124" s="250">
        <f t="shared" si="49"/>
        <v>0.21</v>
      </c>
      <c r="C124" s="311">
        <f t="shared" si="50"/>
        <v>11.74446820198375</v>
      </c>
      <c r="D124" s="311">
        <f t="shared" si="50"/>
        <v>10.204468201983749</v>
      </c>
      <c r="E124" s="312">
        <f t="shared" si="51"/>
        <v>-1.5400000000000009</v>
      </c>
      <c r="F124" s="259">
        <f t="shared" si="52"/>
        <v>-0.15091428279433758</v>
      </c>
      <c r="G124" s="312">
        <f t="shared" si="53"/>
        <v>-6.3641197088948595E-2</v>
      </c>
      <c r="H124" s="312">
        <f t="shared" si="53"/>
        <v>0.67810939907269807</v>
      </c>
      <c r="I124" s="312">
        <f t="shared" si="54"/>
        <v>12.358936403967499</v>
      </c>
      <c r="J124" s="312">
        <f t="shared" si="55"/>
        <v>10.818936403967498</v>
      </c>
      <c r="K124" s="259">
        <f t="shared" si="56"/>
        <v>-0.1246061918002609</v>
      </c>
      <c r="N124" s="91">
        <v>458</v>
      </c>
      <c r="O124" s="298" t="s">
        <v>184</v>
      </c>
      <c r="P124" s="263">
        <f>+INPUT!AA59</f>
        <v>11.13</v>
      </c>
      <c r="Q124" s="263">
        <f>+INPUT!AB59</f>
        <v>9.59</v>
      </c>
      <c r="R124" s="265">
        <f>+INPUT!AC59</f>
        <v>0.21</v>
      </c>
      <c r="S124" s="260">
        <f>($R124*INPUT!$P$55)*INPUT!$G$59</f>
        <v>-6.3641197088948595E-2</v>
      </c>
      <c r="T124" s="260">
        <f>($R124*INPUT!$P$55)*INPUT!$I$59</f>
        <v>0.67810939907269807</v>
      </c>
      <c r="U124" s="261">
        <f>+P124+S124+T124</f>
        <v>11.74446820198375</v>
      </c>
      <c r="V124" s="261">
        <f>+Q124+S124+T124</f>
        <v>10.204468201983749</v>
      </c>
    </row>
    <row r="125" spans="1:22" ht="15.75" thickBot="1" x14ac:dyDescent="0.25">
      <c r="A125" s="267" t="s">
        <v>185</v>
      </c>
      <c r="B125" s="250">
        <f t="shared" si="49"/>
        <v>0.29799999999999999</v>
      </c>
      <c r="C125" s="311">
        <f t="shared" si="50"/>
        <v>11.831959639005513</v>
      </c>
      <c r="D125" s="311">
        <f t="shared" si="50"/>
        <v>12.151959639005511</v>
      </c>
      <c r="E125" s="312">
        <f t="shared" si="51"/>
        <v>0.31999999999999851</v>
      </c>
      <c r="F125" s="259">
        <f t="shared" si="52"/>
        <v>2.6333201352385874E-2</v>
      </c>
      <c r="G125" s="312">
        <f t="shared" si="53"/>
        <v>-9.0309889202412758E-2</v>
      </c>
      <c r="H125" s="312">
        <f t="shared" si="53"/>
        <v>0.962269528207924</v>
      </c>
      <c r="I125" s="312">
        <f t="shared" si="54"/>
        <v>12.703919278011025</v>
      </c>
      <c r="J125" s="312">
        <f t="shared" si="55"/>
        <v>13.023919278011023</v>
      </c>
      <c r="K125" s="259">
        <f t="shared" si="56"/>
        <v>2.518907692950163E-2</v>
      </c>
      <c r="N125" s="91">
        <v>203</v>
      </c>
      <c r="O125" s="298" t="s">
        <v>185</v>
      </c>
      <c r="P125" s="263">
        <f>+INPUT!AA60</f>
        <v>10.96</v>
      </c>
      <c r="Q125" s="263">
        <f>+INPUT!AB60</f>
        <v>11.28</v>
      </c>
      <c r="R125" s="265">
        <f>+INPUT!AC60</f>
        <v>0.29799999999999999</v>
      </c>
      <c r="S125" s="260">
        <f>($R125*INPUT!$P$55)*INPUT!$G$59</f>
        <v>-9.0309889202412758E-2</v>
      </c>
      <c r="T125" s="260">
        <f>($R125*INPUT!$P$55)*INPUT!$I$59</f>
        <v>0.962269528207924</v>
      </c>
      <c r="U125" s="261">
        <f>+P125+S125+T125</f>
        <v>11.831959639005513</v>
      </c>
      <c r="V125" s="261">
        <f>+Q125+S125+T125</f>
        <v>12.151959639005511</v>
      </c>
    </row>
    <row r="126" spans="1:22" ht="15.75" thickBot="1" x14ac:dyDescent="0.25">
      <c r="A126" s="267" t="s">
        <v>186</v>
      </c>
      <c r="B126" s="250">
        <f t="shared" si="49"/>
        <v>0.46200000000000002</v>
      </c>
      <c r="C126" s="311">
        <f t="shared" si="50"/>
        <v>14.86183004436425</v>
      </c>
      <c r="D126" s="311">
        <f t="shared" si="50"/>
        <v>15.261830044364249</v>
      </c>
      <c r="E126" s="312">
        <f t="shared" si="51"/>
        <v>0.39999999999999858</v>
      </c>
      <c r="F126" s="259">
        <f t="shared" si="52"/>
        <v>2.6209176673914474E-2</v>
      </c>
      <c r="G126" s="312">
        <f t="shared" si="53"/>
        <v>-0.14001063359568691</v>
      </c>
      <c r="H126" s="312">
        <f t="shared" si="53"/>
        <v>1.491840677959936</v>
      </c>
      <c r="I126" s="312">
        <f t="shared" si="54"/>
        <v>16.213660088728499</v>
      </c>
      <c r="J126" s="312">
        <f t="shared" si="55"/>
        <v>16.613660088728498</v>
      </c>
      <c r="K126" s="259">
        <f t="shared" si="56"/>
        <v>2.4670555433567574E-2</v>
      </c>
      <c r="N126" s="91">
        <v>204</v>
      </c>
      <c r="O126" s="298" t="s">
        <v>186</v>
      </c>
      <c r="P126" s="263">
        <f>+INPUT!AA61</f>
        <v>13.51</v>
      </c>
      <c r="Q126" s="263">
        <f>+INPUT!AB61</f>
        <v>13.91</v>
      </c>
      <c r="R126" s="265">
        <f>+INPUT!AC61</f>
        <v>0.46200000000000002</v>
      </c>
      <c r="S126" s="260">
        <f>($R126*INPUT!$P$55)*INPUT!$G$59</f>
        <v>-0.14001063359568691</v>
      </c>
      <c r="T126" s="260">
        <f>($R126*INPUT!$P$55)*INPUT!$I$59</f>
        <v>1.491840677959936</v>
      </c>
      <c r="U126" s="261">
        <f>+P126+S126+T126</f>
        <v>14.86183004436425</v>
      </c>
      <c r="V126" s="261">
        <f>+Q126+S126+T126</f>
        <v>15.261830044364249</v>
      </c>
    </row>
    <row r="127" spans="1:22" ht="15.75" thickBot="1" x14ac:dyDescent="0.25">
      <c r="A127" s="348" t="s">
        <v>403</v>
      </c>
      <c r="B127" s="250">
        <f t="shared" si="49"/>
        <v>1.18</v>
      </c>
      <c r="C127" s="311">
        <f t="shared" si="50"/>
        <v>31.142726087337262</v>
      </c>
      <c r="D127" s="311">
        <f t="shared" si="50"/>
        <v>31.962726087337263</v>
      </c>
      <c r="E127" s="312">
        <f t="shared" si="51"/>
        <v>0.82000000000000028</v>
      </c>
      <c r="F127" s="259">
        <f t="shared" si="52"/>
        <v>2.565488305845293E-2</v>
      </c>
      <c r="G127" s="312">
        <f t="shared" si="53"/>
        <v>-0.35760291697599678</v>
      </c>
      <c r="H127" s="312">
        <f t="shared" si="53"/>
        <v>3.8103290043132554</v>
      </c>
      <c r="I127" s="312">
        <f t="shared" si="54"/>
        <v>34.59545217467452</v>
      </c>
      <c r="J127" s="312">
        <f t="shared" si="55"/>
        <v>35.41545217467452</v>
      </c>
      <c r="K127" s="259">
        <f t="shared" si="56"/>
        <v>2.3702537427745442E-2</v>
      </c>
      <c r="N127" s="91">
        <v>209</v>
      </c>
      <c r="O127" s="349" t="s">
        <v>404</v>
      </c>
      <c r="P127" s="263">
        <f>+INPUT!AA62</f>
        <v>27.69</v>
      </c>
      <c r="Q127" s="263">
        <f>+INPUT!AB62</f>
        <v>28.51</v>
      </c>
      <c r="R127" s="265">
        <f>+INPUT!AC62</f>
        <v>1.18</v>
      </c>
      <c r="S127" s="260">
        <f>($R127*INPUT!$P$55)*INPUT!$G$59</f>
        <v>-0.35760291697599678</v>
      </c>
      <c r="T127" s="260">
        <f>($R127*INPUT!$P$55)*INPUT!$I$59</f>
        <v>3.8103290043132554</v>
      </c>
      <c r="U127" s="261">
        <f t="shared" ref="U127:U130" si="57">+P127+S127+T127</f>
        <v>31.142726087337262</v>
      </c>
      <c r="V127" s="261">
        <f t="shared" ref="V127:V130" si="58">+Q127+S127+T127</f>
        <v>31.962726087337263</v>
      </c>
    </row>
    <row r="128" spans="1:22" ht="15.75" thickBot="1" x14ac:dyDescent="0.25">
      <c r="A128" s="348" t="s">
        <v>405</v>
      </c>
      <c r="B128" s="250">
        <f t="shared" si="49"/>
        <v>0.46200000000000002</v>
      </c>
      <c r="C128" s="311">
        <f t="shared" si="50"/>
        <v>16.891830044364248</v>
      </c>
      <c r="D128" s="311">
        <f t="shared" si="50"/>
        <v>17.351830044364249</v>
      </c>
      <c r="E128" s="312">
        <f t="shared" si="51"/>
        <v>0.46000000000000085</v>
      </c>
      <c r="F128" s="259">
        <f t="shared" si="52"/>
        <v>2.651017205815738E-2</v>
      </c>
      <c r="G128" s="312">
        <f t="shared" si="53"/>
        <v>-0.14001063359568691</v>
      </c>
      <c r="H128" s="312">
        <f t="shared" si="53"/>
        <v>1.491840677959936</v>
      </c>
      <c r="I128" s="312">
        <f t="shared" si="54"/>
        <v>18.243660088728497</v>
      </c>
      <c r="J128" s="312">
        <f t="shared" si="55"/>
        <v>18.703660088728498</v>
      </c>
      <c r="K128" s="259">
        <f t="shared" si="56"/>
        <v>2.5214238686907087E-2</v>
      </c>
      <c r="N128" s="91">
        <v>207</v>
      </c>
      <c r="O128" s="349" t="s">
        <v>405</v>
      </c>
      <c r="P128" s="263">
        <f>+INPUT!AA63</f>
        <v>15.54</v>
      </c>
      <c r="Q128" s="263">
        <f>+INPUT!AB63</f>
        <v>16</v>
      </c>
      <c r="R128" s="265">
        <f>+INPUT!AC63</f>
        <v>0.46200000000000002</v>
      </c>
      <c r="S128" s="260">
        <f>($R128*INPUT!$P$55)*INPUT!$G$59</f>
        <v>-0.14001063359568691</v>
      </c>
      <c r="T128" s="260">
        <f>($R128*INPUT!$P$55)*INPUT!$I$59</f>
        <v>1.491840677959936</v>
      </c>
      <c r="U128" s="261">
        <f t="shared" si="57"/>
        <v>16.891830044364248</v>
      </c>
      <c r="V128" s="261">
        <f t="shared" si="58"/>
        <v>17.351830044364249</v>
      </c>
    </row>
    <row r="129" spans="1:22" ht="15.75" thickBot="1" x14ac:dyDescent="0.25">
      <c r="A129" s="267" t="s">
        <v>187</v>
      </c>
      <c r="B129" s="250">
        <f t="shared" si="49"/>
        <v>1.18</v>
      </c>
      <c r="C129" s="311">
        <f t="shared" si="50"/>
        <v>32.342726087337262</v>
      </c>
      <c r="D129" s="311">
        <f t="shared" si="50"/>
        <v>33.192726087337256</v>
      </c>
      <c r="E129" s="312">
        <f t="shared" si="51"/>
        <v>0.84999999999999432</v>
      </c>
      <c r="F129" s="259">
        <f t="shared" si="52"/>
        <v>2.5608020195854359E-2</v>
      </c>
      <c r="G129" s="312">
        <f t="shared" si="53"/>
        <v>-0.35760291697599678</v>
      </c>
      <c r="H129" s="312">
        <f t="shared" si="53"/>
        <v>3.8103290043132554</v>
      </c>
      <c r="I129" s="312">
        <f t="shared" si="54"/>
        <v>35.795452174674523</v>
      </c>
      <c r="J129" s="312">
        <f t="shared" si="55"/>
        <v>36.64545217467451</v>
      </c>
      <c r="K129" s="259">
        <f t="shared" si="56"/>
        <v>2.3746033318762398E-2</v>
      </c>
      <c r="N129" s="91">
        <v>210</v>
      </c>
      <c r="O129" s="298" t="s">
        <v>187</v>
      </c>
      <c r="P129" s="263">
        <f>+INPUT!AA64</f>
        <v>28.89</v>
      </c>
      <c r="Q129" s="263">
        <f>+INPUT!AB64</f>
        <v>29.74</v>
      </c>
      <c r="R129" s="265">
        <f>+INPUT!AC64</f>
        <v>1.18</v>
      </c>
      <c r="S129" s="260">
        <f>($R129*INPUT!$P$55)*INPUT!$G$59</f>
        <v>-0.35760291697599678</v>
      </c>
      <c r="T129" s="260">
        <f>($R129*INPUT!$P$55)*INPUT!$I$59</f>
        <v>3.8103290043132554</v>
      </c>
      <c r="U129" s="261">
        <f t="shared" si="57"/>
        <v>32.342726087337262</v>
      </c>
      <c r="V129" s="261">
        <f t="shared" si="58"/>
        <v>33.192726087337256</v>
      </c>
    </row>
    <row r="130" spans="1:22" ht="15.75" thickBot="1" x14ac:dyDescent="0.25">
      <c r="A130" s="267" t="s">
        <v>188</v>
      </c>
      <c r="B130" s="250">
        <f t="shared" si="49"/>
        <v>0.1</v>
      </c>
      <c r="C130" s="311">
        <f t="shared" si="50"/>
        <v>8.4326039057065483</v>
      </c>
      <c r="D130" s="311">
        <f t="shared" si="50"/>
        <v>8.6726039057065485</v>
      </c>
      <c r="E130" s="312">
        <f t="shared" si="51"/>
        <v>0.24000000000000021</v>
      </c>
      <c r="F130" s="259">
        <f t="shared" si="52"/>
        <v>2.7673349620185111E-2</v>
      </c>
      <c r="G130" s="313">
        <f t="shared" si="53"/>
        <v>-3.0305331947118378E-2</v>
      </c>
      <c r="H130" s="313">
        <f t="shared" si="53"/>
        <v>0.3229092376536658</v>
      </c>
      <c r="I130" s="313">
        <f t="shared" si="54"/>
        <v>8.725207811413096</v>
      </c>
      <c r="J130" s="313">
        <f t="shared" si="55"/>
        <v>8.9652078114130962</v>
      </c>
      <c r="K130" s="259">
        <f t="shared" si="56"/>
        <v>2.7506508175778439E-2</v>
      </c>
      <c r="N130" s="91">
        <v>201</v>
      </c>
      <c r="O130" s="298" t="s">
        <v>188</v>
      </c>
      <c r="P130" s="263">
        <f>+INPUT!AA65</f>
        <v>8.14</v>
      </c>
      <c r="Q130" s="263">
        <f>+INPUT!AB65</f>
        <v>8.3800000000000008</v>
      </c>
      <c r="R130" s="265">
        <f>+INPUT!AC65</f>
        <v>0.1</v>
      </c>
      <c r="S130" s="260">
        <f>($R130*INPUT!$P$55)*INPUT!$G$59</f>
        <v>-3.0305331947118378E-2</v>
      </c>
      <c r="T130" s="260">
        <f>($R130*INPUT!$P$55)*INPUT!$I$59</f>
        <v>0.3229092376536658</v>
      </c>
      <c r="U130" s="261">
        <f t="shared" si="57"/>
        <v>8.4326039057065483</v>
      </c>
      <c r="V130" s="261">
        <f t="shared" si="58"/>
        <v>8.6726039057065485</v>
      </c>
    </row>
    <row r="131" spans="1:22" ht="15.75" thickBot="1" x14ac:dyDescent="0.25">
      <c r="A131" s="267"/>
      <c r="B131" s="250"/>
      <c r="C131" s="311"/>
      <c r="D131" s="311"/>
      <c r="E131" s="312"/>
      <c r="F131" s="259"/>
      <c r="G131" s="313"/>
      <c r="H131" s="313"/>
      <c r="I131" s="313"/>
      <c r="J131" s="313"/>
      <c r="K131" s="259"/>
      <c r="O131" s="298"/>
      <c r="P131" s="263"/>
      <c r="Q131" s="263"/>
      <c r="R131" s="265"/>
      <c r="S131" s="260"/>
      <c r="T131" s="260"/>
      <c r="U131" s="261"/>
      <c r="V131" s="261"/>
    </row>
    <row r="132" spans="1:22" ht="13.5" customHeight="1" thickBot="1" x14ac:dyDescent="0.25">
      <c r="A132" s="267"/>
      <c r="B132" s="288"/>
      <c r="C132" s="311"/>
      <c r="D132" s="312"/>
      <c r="E132" s="312"/>
      <c r="F132" s="258"/>
      <c r="G132" s="313"/>
      <c r="H132" s="313"/>
      <c r="I132" s="313"/>
      <c r="J132" s="313"/>
      <c r="K132" s="259"/>
      <c r="N132" s="91" t="s">
        <v>155</v>
      </c>
      <c r="O132" s="299"/>
      <c r="P132" s="263"/>
      <c r="Q132" s="263"/>
      <c r="R132" s="265"/>
      <c r="S132" s="260"/>
      <c r="T132" s="260"/>
      <c r="U132" s="261"/>
      <c r="V132" s="261"/>
    </row>
    <row r="133" spans="1:22" ht="13.5" thickBot="1" x14ac:dyDescent="0.25">
      <c r="A133" s="255" t="s">
        <v>94</v>
      </c>
      <c r="B133" s="300"/>
      <c r="C133" s="311"/>
      <c r="D133" s="312"/>
      <c r="E133" s="312"/>
      <c r="F133" s="258"/>
      <c r="G133" s="312"/>
      <c r="H133" s="312"/>
      <c r="I133" s="312"/>
      <c r="J133" s="312"/>
      <c r="K133" s="259"/>
      <c r="O133" s="301" t="s">
        <v>94</v>
      </c>
      <c r="P133" s="263"/>
      <c r="Q133" s="263"/>
      <c r="R133" s="265"/>
      <c r="S133" s="260"/>
      <c r="T133" s="260"/>
      <c r="U133" s="261"/>
      <c r="V133" s="261"/>
    </row>
    <row r="134" spans="1:22" ht="13.5" thickBot="1" x14ac:dyDescent="0.25">
      <c r="A134" s="267" t="s">
        <v>189</v>
      </c>
      <c r="B134" s="250">
        <f t="shared" ref="B134:B136" si="59">+R134</f>
        <v>0.15</v>
      </c>
      <c r="C134" s="311">
        <f t="shared" ref="C134:C136" si="60">+U134</f>
        <v>15.508905858559821</v>
      </c>
      <c r="D134" s="311">
        <f t="shared" ref="D134:D136" si="61">+V134</f>
        <v>15.94890585855982</v>
      </c>
      <c r="E134" s="312">
        <f t="shared" ref="E134:E136" si="62">+D134-C134</f>
        <v>0.4399999999999995</v>
      </c>
      <c r="F134" s="259">
        <f t="shared" ref="F134:F136" si="63">+E134/D134</f>
        <v>2.758809939077108E-2</v>
      </c>
      <c r="G134" s="312">
        <f t="shared" ref="G134:G136" si="64">+S134</f>
        <v>-4.5457997920677562E-2</v>
      </c>
      <c r="H134" s="312">
        <f t="shared" ref="H134:H136" si="65">+T134</f>
        <v>0.48436385648049862</v>
      </c>
      <c r="I134" s="312">
        <f t="shared" ref="I134:I136" si="66">+C134+G134+H134</f>
        <v>15.947811717119642</v>
      </c>
      <c r="J134" s="312">
        <f t="shared" ref="J134:J136" si="67">+D134+G134+H134</f>
        <v>16.387811717119639</v>
      </c>
      <c r="K134" s="259">
        <f t="shared" ref="K134:K136" si="68">(J134-I134)/I134</f>
        <v>2.7589992144669413E-2</v>
      </c>
      <c r="N134" s="91">
        <v>471</v>
      </c>
      <c r="O134" s="302" t="s">
        <v>189</v>
      </c>
      <c r="P134" s="263">
        <f>+INPUT!AA69</f>
        <v>15.07</v>
      </c>
      <c r="Q134" s="263">
        <f>+INPUT!AB69</f>
        <v>15.51</v>
      </c>
      <c r="R134" s="265">
        <f>+INPUT!AC69</f>
        <v>0.15</v>
      </c>
      <c r="S134" s="260">
        <f>($R134*INPUT!$P$55)*INPUT!$G$59</f>
        <v>-4.5457997920677562E-2</v>
      </c>
      <c r="T134" s="260">
        <f>($R134*INPUT!$P$55)*INPUT!$I$59</f>
        <v>0.48436385648049862</v>
      </c>
      <c r="U134" s="261">
        <f t="shared" ref="U134:U136" si="69">+P134+S134+T134</f>
        <v>15.508905858559821</v>
      </c>
      <c r="V134" s="261">
        <f t="shared" ref="V134:V136" si="70">+Q134+S134+T134</f>
        <v>15.94890585855982</v>
      </c>
    </row>
    <row r="135" spans="1:22" ht="13.5" thickBot="1" x14ac:dyDescent="0.25">
      <c r="A135" s="267" t="s">
        <v>190</v>
      </c>
      <c r="B135" s="250">
        <f t="shared" si="59"/>
        <v>0.35</v>
      </c>
      <c r="C135" s="311">
        <f t="shared" si="60"/>
        <v>21.994113669972915</v>
      </c>
      <c r="D135" s="311">
        <f t="shared" si="61"/>
        <v>22.614113669972916</v>
      </c>
      <c r="E135" s="312">
        <f t="shared" si="62"/>
        <v>0.62000000000000099</v>
      </c>
      <c r="F135" s="259">
        <f t="shared" si="63"/>
        <v>2.7416506746547345E-2</v>
      </c>
      <c r="G135" s="312">
        <f t="shared" si="64"/>
        <v>-0.1060686618149143</v>
      </c>
      <c r="H135" s="312">
        <f t="shared" si="65"/>
        <v>1.1301823317878299</v>
      </c>
      <c r="I135" s="312">
        <f t="shared" si="66"/>
        <v>23.018227339945831</v>
      </c>
      <c r="J135" s="312">
        <f t="shared" si="67"/>
        <v>23.638227339945832</v>
      </c>
      <c r="K135" s="259">
        <f t="shared" si="68"/>
        <v>2.6935175799747749E-2</v>
      </c>
      <c r="N135" s="91">
        <v>474</v>
      </c>
      <c r="O135" s="303" t="s">
        <v>190</v>
      </c>
      <c r="P135" s="263">
        <f>+INPUT!AA70</f>
        <v>20.97</v>
      </c>
      <c r="Q135" s="263">
        <f>+INPUT!AB70</f>
        <v>21.59</v>
      </c>
      <c r="R135" s="265">
        <f>+INPUT!AC70</f>
        <v>0.35</v>
      </c>
      <c r="S135" s="260">
        <f>($R135*INPUT!$P$55)*INPUT!$G$59</f>
        <v>-0.1060686618149143</v>
      </c>
      <c r="T135" s="260">
        <f>($R135*INPUT!$P$55)*INPUT!$I$59</f>
        <v>1.1301823317878299</v>
      </c>
      <c r="U135" s="261">
        <f t="shared" si="69"/>
        <v>21.994113669972915</v>
      </c>
      <c r="V135" s="261">
        <f t="shared" si="70"/>
        <v>22.614113669972916</v>
      </c>
    </row>
    <row r="136" spans="1:22" x14ac:dyDescent="0.2">
      <c r="A136" s="267" t="s">
        <v>191</v>
      </c>
      <c r="B136" s="250">
        <f t="shared" si="59"/>
        <v>0.35</v>
      </c>
      <c r="C136" s="311">
        <f t="shared" si="60"/>
        <v>29.444113669972918</v>
      </c>
      <c r="D136" s="311">
        <f t="shared" si="61"/>
        <v>30.284113669972918</v>
      </c>
      <c r="E136" s="312">
        <f t="shared" si="62"/>
        <v>0.83999999999999986</v>
      </c>
      <c r="F136" s="259">
        <f t="shared" si="63"/>
        <v>2.7737314988117698E-2</v>
      </c>
      <c r="G136" s="312">
        <f t="shared" si="64"/>
        <v>-0.1060686618149143</v>
      </c>
      <c r="H136" s="312">
        <f t="shared" si="65"/>
        <v>1.1301823317878299</v>
      </c>
      <c r="I136" s="312">
        <f t="shared" si="66"/>
        <v>30.468227339945834</v>
      </c>
      <c r="J136" s="312">
        <f t="shared" si="67"/>
        <v>31.308227339945834</v>
      </c>
      <c r="K136" s="259">
        <f t="shared" si="68"/>
        <v>2.7569703699128732E-2</v>
      </c>
      <c r="N136" s="91">
        <v>475</v>
      </c>
      <c r="O136" s="303" t="s">
        <v>191</v>
      </c>
      <c r="P136" s="263">
        <f>+INPUT!AA71</f>
        <v>28.42</v>
      </c>
      <c r="Q136" s="263">
        <f>+INPUT!AB71</f>
        <v>29.26</v>
      </c>
      <c r="R136" s="265">
        <f>+INPUT!AC71</f>
        <v>0.35</v>
      </c>
      <c r="S136" s="260">
        <f>($R136*INPUT!$P$55)*INPUT!$G$59</f>
        <v>-0.1060686618149143</v>
      </c>
      <c r="T136" s="260">
        <f>($R136*INPUT!$P$55)*INPUT!$I$59</f>
        <v>1.1301823317878299</v>
      </c>
      <c r="U136" s="261">
        <f t="shared" si="69"/>
        <v>29.444113669972918</v>
      </c>
      <c r="V136" s="261">
        <f t="shared" si="70"/>
        <v>30.284113669972918</v>
      </c>
    </row>
    <row r="137" spans="1:22" ht="13.5" thickBot="1" x14ac:dyDescent="0.25">
      <c r="A137" s="348" t="s">
        <v>402</v>
      </c>
      <c r="B137" s="250">
        <f t="shared" ref="B137" si="71">+R137</f>
        <v>1.08</v>
      </c>
      <c r="C137" s="311">
        <f>+U137</f>
        <v>45.940122181630713</v>
      </c>
      <c r="D137" s="311">
        <f>+V137</f>
        <v>47.200122181630711</v>
      </c>
      <c r="E137" s="312">
        <f>+D137-C137</f>
        <v>1.259999999999998</v>
      </c>
      <c r="F137" s="259">
        <f>+E137/D137</f>
        <v>2.6694846152122108E-2</v>
      </c>
      <c r="G137" s="312">
        <f>+S137</f>
        <v>-0.32729758502887851</v>
      </c>
      <c r="H137" s="312">
        <f>+T137</f>
        <v>3.4874197666595905</v>
      </c>
      <c r="I137" s="312">
        <f>+C137+G137+H137</f>
        <v>49.100244363261424</v>
      </c>
      <c r="J137" s="312">
        <f>+D137+G137+H137</f>
        <v>50.360244363261423</v>
      </c>
      <c r="K137" s="259">
        <f>(J137-I137)/I137</f>
        <v>2.5661786745460182E-2</v>
      </c>
      <c r="N137" s="91">
        <v>477</v>
      </c>
      <c r="O137" s="331"/>
      <c r="P137" s="263">
        <f>+INPUT!AA73</f>
        <v>42.78</v>
      </c>
      <c r="Q137" s="263">
        <f>+INPUT!AB73</f>
        <v>44.04</v>
      </c>
      <c r="R137" s="265">
        <f>+INPUT!AC73</f>
        <v>1.08</v>
      </c>
      <c r="S137" s="260">
        <f>($R137*INPUT!$P$55)*INPUT!$G$59</f>
        <v>-0.32729758502887851</v>
      </c>
      <c r="T137" s="260">
        <f>($R137*INPUT!$P$55)*INPUT!$I$59</f>
        <v>3.4874197666595905</v>
      </c>
      <c r="U137" s="261">
        <f t="shared" ref="U137" si="72">+P137+S137+T137</f>
        <v>45.940122181630713</v>
      </c>
      <c r="V137" s="261">
        <f t="shared" ref="V137" si="73">+Q137+S137+T137</f>
        <v>47.200122181630711</v>
      </c>
    </row>
    <row r="138" spans="1:22" ht="10.5" customHeight="1" thickBot="1" x14ac:dyDescent="0.25">
      <c r="A138" s="267"/>
      <c r="B138" s="288"/>
      <c r="C138" s="311"/>
      <c r="D138" s="312"/>
      <c r="E138" s="312"/>
      <c r="F138" s="258"/>
      <c r="G138" s="312"/>
      <c r="H138" s="312"/>
      <c r="I138" s="312"/>
      <c r="J138" s="312"/>
      <c r="K138" s="259"/>
      <c r="N138" s="91" t="s">
        <v>155</v>
      </c>
      <c r="O138" s="299"/>
      <c r="P138" s="263"/>
      <c r="Q138" s="263"/>
      <c r="R138" s="265"/>
      <c r="S138" s="260"/>
      <c r="T138" s="260"/>
      <c r="U138" s="261"/>
      <c r="V138" s="261"/>
    </row>
    <row r="139" spans="1:22" x14ac:dyDescent="0.2">
      <c r="A139" s="234" t="s">
        <v>373</v>
      </c>
    </row>
    <row r="140" spans="1:22" x14ac:dyDescent="0.2">
      <c r="A140" s="230" t="s">
        <v>389</v>
      </c>
    </row>
    <row r="141" spans="1:22" x14ac:dyDescent="0.2">
      <c r="A141" s="230" t="str">
        <f>+'Rate Case Constants'!$C$26</f>
        <v>Calculations may vary from other schedules due to rounding</v>
      </c>
    </row>
    <row r="143" spans="1:22" ht="15" customHeight="1" x14ac:dyDescent="0.2">
      <c r="A143" s="382" t="str">
        <f>+A1</f>
        <v>LOUISVILLE GAS AND ELECTRIC COMPANY</v>
      </c>
      <c r="B143" s="382"/>
      <c r="C143" s="382"/>
      <c r="D143" s="382"/>
      <c r="E143" s="382"/>
      <c r="F143" s="382"/>
      <c r="G143" s="382"/>
      <c r="H143" s="382"/>
      <c r="I143" s="382"/>
      <c r="J143" s="382"/>
      <c r="K143" s="382"/>
      <c r="O143" s="302"/>
      <c r="P143" s="263"/>
      <c r="Q143" s="263"/>
      <c r="R143" s="265"/>
      <c r="S143" s="260"/>
      <c r="T143" s="260"/>
      <c r="U143" s="261"/>
      <c r="V143" s="261"/>
    </row>
    <row r="144" spans="1:22" ht="15" customHeight="1" x14ac:dyDescent="0.2">
      <c r="A144" s="382" t="str">
        <f>+A2</f>
        <v>CASE NO. 2014-00372</v>
      </c>
      <c r="B144" s="382"/>
      <c r="C144" s="382"/>
      <c r="D144" s="382"/>
      <c r="E144" s="382"/>
      <c r="F144" s="382"/>
      <c r="G144" s="382"/>
      <c r="H144" s="382"/>
      <c r="I144" s="382"/>
      <c r="J144" s="382"/>
      <c r="K144" s="259"/>
      <c r="O144" s="302"/>
      <c r="P144" s="263"/>
      <c r="Q144" s="263"/>
      <c r="R144" s="265"/>
      <c r="S144" s="260"/>
      <c r="T144" s="260"/>
      <c r="U144" s="261"/>
      <c r="V144" s="261"/>
    </row>
    <row r="145" spans="1:22" ht="15" customHeight="1" x14ac:dyDescent="0.2">
      <c r="A145" s="382" t="str">
        <f>+A3</f>
        <v>Typical Electric Bill Comparison under Present &amp; Proposed Rates</v>
      </c>
      <c r="B145" s="382"/>
      <c r="C145" s="382"/>
      <c r="D145" s="382"/>
      <c r="E145" s="382"/>
      <c r="F145" s="382"/>
      <c r="G145" s="382"/>
      <c r="H145" s="382"/>
      <c r="I145" s="382"/>
      <c r="J145" s="382"/>
      <c r="K145" s="382"/>
      <c r="O145" s="302"/>
      <c r="P145" s="263"/>
      <c r="Q145" s="263"/>
      <c r="R145" s="265"/>
      <c r="S145" s="260"/>
      <c r="T145" s="260"/>
      <c r="U145" s="261"/>
      <c r="V145" s="261"/>
    </row>
    <row r="146" spans="1:22" ht="15" customHeight="1" x14ac:dyDescent="0.2">
      <c r="A146" s="382" t="str">
        <f>+A4</f>
        <v>FORECAST PERIOD FOR THE 12 MONTHS ENDED JUNE 30, 2016</v>
      </c>
      <c r="B146" s="382"/>
      <c r="C146" s="382"/>
      <c r="D146" s="382"/>
      <c r="E146" s="382"/>
      <c r="F146" s="382"/>
      <c r="G146" s="382"/>
      <c r="H146" s="382"/>
      <c r="I146" s="382"/>
      <c r="J146" s="382"/>
      <c r="K146" s="259"/>
      <c r="O146" s="302"/>
      <c r="P146" s="263"/>
      <c r="Q146" s="263"/>
      <c r="R146" s="265"/>
      <c r="S146" s="260"/>
      <c r="T146" s="260"/>
      <c r="U146" s="261"/>
      <c r="V146" s="261"/>
    </row>
    <row r="147" spans="1:22" ht="15" customHeight="1" x14ac:dyDescent="0.2">
      <c r="A147" s="267"/>
      <c r="B147" s="288"/>
      <c r="D147" s="258"/>
      <c r="E147" s="258"/>
      <c r="F147" s="258"/>
      <c r="G147" s="259"/>
      <c r="H147" s="261"/>
      <c r="I147" s="261"/>
      <c r="J147" s="261"/>
      <c r="K147" s="259"/>
      <c r="O147" s="302"/>
      <c r="P147" s="263"/>
      <c r="Q147" s="263"/>
      <c r="R147" s="265"/>
      <c r="S147" s="260"/>
      <c r="T147" s="260"/>
      <c r="U147" s="261"/>
      <c r="V147" s="261"/>
    </row>
    <row r="148" spans="1:22" ht="15" customHeight="1" x14ac:dyDescent="0.2">
      <c r="A148" s="267" t="str">
        <f>+A6</f>
        <v>DATA: ____BASE PERIOD__X___FORECASTED PERIOD</v>
      </c>
      <c r="B148" s="267"/>
      <c r="D148" s="258"/>
      <c r="E148" s="258"/>
      <c r="F148" s="258"/>
      <c r="G148" s="259"/>
      <c r="H148" s="261"/>
      <c r="I148" s="261"/>
      <c r="J148" s="261"/>
      <c r="K148" s="275" t="str">
        <f>+K6</f>
        <v>SCHEDULE N (Electric)</v>
      </c>
      <c r="O148" s="302"/>
      <c r="P148" s="263"/>
      <c r="Q148" s="263"/>
      <c r="R148" s="265"/>
      <c r="S148" s="260"/>
      <c r="T148" s="260"/>
      <c r="U148" s="261"/>
      <c r="V148" s="261"/>
    </row>
    <row r="149" spans="1:22" ht="15" customHeight="1" x14ac:dyDescent="0.2">
      <c r="A149" s="267" t="str">
        <f>+A7</f>
        <v>TYPE OF FILING: __X__ ORIGINAL  _____ UPDATED  _____ REVISED</v>
      </c>
      <c r="B149" s="267"/>
      <c r="D149" s="258"/>
      <c r="E149" s="258"/>
      <c r="F149" s="258"/>
      <c r="G149" s="259"/>
      <c r="H149" s="261"/>
      <c r="I149" s="261"/>
      <c r="J149" s="261"/>
      <c r="K149" s="275" t="str">
        <f>+'Rate Case Constants'!L25</f>
        <v>PAGE 18 of 22</v>
      </c>
      <c r="O149" s="302"/>
      <c r="P149" s="263"/>
      <c r="Q149" s="263"/>
      <c r="R149" s="265"/>
      <c r="S149" s="260"/>
      <c r="T149" s="260"/>
      <c r="U149" s="261"/>
      <c r="V149" s="261"/>
    </row>
    <row r="150" spans="1:22" ht="15" customHeight="1" x14ac:dyDescent="0.2">
      <c r="A150" s="267" t="str">
        <f>+A8</f>
        <v>WORKPAPER REFERENCE NO(S):________</v>
      </c>
      <c r="B150" s="267"/>
      <c r="D150" s="258"/>
      <c r="E150" s="258"/>
      <c r="F150" s="258"/>
      <c r="G150" s="259"/>
      <c r="H150" s="261"/>
      <c r="I150" s="261"/>
      <c r="J150" s="261"/>
      <c r="K150" s="275" t="str">
        <f>+K8</f>
        <v>WITNESS:   R. M. CONROY</v>
      </c>
      <c r="O150" s="302"/>
      <c r="P150" s="263"/>
      <c r="Q150" s="263"/>
      <c r="R150" s="265"/>
      <c r="S150" s="260"/>
      <c r="T150" s="260"/>
      <c r="U150" s="261"/>
      <c r="V150" s="261"/>
    </row>
    <row r="151" spans="1:22" ht="12.75" customHeight="1" x14ac:dyDescent="0.2">
      <c r="A151" s="281"/>
      <c r="B151" s="281"/>
      <c r="C151" s="238"/>
      <c r="D151" s="282"/>
      <c r="E151" s="282"/>
      <c r="F151" s="282"/>
      <c r="G151" s="283"/>
      <c r="H151" s="284"/>
      <c r="I151" s="284"/>
      <c r="J151" s="284"/>
      <c r="K151" s="283"/>
      <c r="O151" s="302"/>
      <c r="P151" s="263"/>
      <c r="Q151" s="263"/>
      <c r="R151" s="265"/>
      <c r="S151" s="260"/>
      <c r="T151" s="260"/>
      <c r="U151" s="261"/>
      <c r="V151" s="261"/>
    </row>
    <row r="152" spans="1:22" ht="12.75" customHeight="1" x14ac:dyDescent="0.2">
      <c r="A152" s="350" t="s">
        <v>97</v>
      </c>
      <c r="B152" s="3" t="s">
        <v>362</v>
      </c>
      <c r="C152" s="26" t="s">
        <v>363</v>
      </c>
      <c r="D152" s="26" t="s">
        <v>364</v>
      </c>
      <c r="E152" s="3" t="s">
        <v>365</v>
      </c>
      <c r="F152" s="3" t="s">
        <v>366</v>
      </c>
      <c r="G152" s="26" t="s">
        <v>367</v>
      </c>
      <c r="H152" s="3" t="s">
        <v>368</v>
      </c>
      <c r="I152" s="3" t="s">
        <v>369</v>
      </c>
      <c r="J152" s="3" t="s">
        <v>370</v>
      </c>
      <c r="K152" s="3" t="s">
        <v>371</v>
      </c>
      <c r="O152" s="302"/>
      <c r="P152" s="263"/>
      <c r="Q152" s="263"/>
      <c r="R152" s="265"/>
      <c r="S152" s="260"/>
      <c r="T152" s="260"/>
      <c r="U152" s="261"/>
      <c r="V152" s="261"/>
    </row>
    <row r="153" spans="1:22" ht="12.75" customHeight="1" x14ac:dyDescent="0.2">
      <c r="A153" s="285"/>
      <c r="B153" s="42"/>
      <c r="C153" s="351" t="s">
        <v>406</v>
      </c>
      <c r="D153" s="351" t="s">
        <v>406</v>
      </c>
      <c r="E153"/>
      <c r="F153"/>
      <c r="G153" s="30"/>
      <c r="H153" s="30"/>
      <c r="I153" s="3" t="s">
        <v>5</v>
      </c>
      <c r="J153" s="3" t="s">
        <v>5</v>
      </c>
      <c r="K153"/>
      <c r="O153" s="302"/>
      <c r="P153" s="263"/>
      <c r="Q153" s="263"/>
      <c r="R153" s="265"/>
      <c r="S153" s="260"/>
      <c r="T153" s="260"/>
      <c r="U153" s="261"/>
      <c r="V153" s="261"/>
    </row>
    <row r="154" spans="1:22" ht="12.75" customHeight="1" x14ac:dyDescent="0.2">
      <c r="A154" s="285"/>
      <c r="B154" s="3" t="s">
        <v>388</v>
      </c>
      <c r="C154" s="3" t="s">
        <v>1</v>
      </c>
      <c r="D154" s="3" t="s">
        <v>75</v>
      </c>
      <c r="E154" s="3"/>
      <c r="F154" s="3"/>
      <c r="G154" s="381" t="s">
        <v>136</v>
      </c>
      <c r="H154" s="381"/>
      <c r="I154" s="3" t="s">
        <v>1</v>
      </c>
      <c r="J154" s="3" t="s">
        <v>75</v>
      </c>
      <c r="K154" s="3"/>
      <c r="O154" s="302"/>
      <c r="P154" s="263"/>
      <c r="Q154" s="263"/>
      <c r="R154" s="265"/>
      <c r="S154" s="260"/>
      <c r="T154" s="260"/>
      <c r="U154" s="261"/>
      <c r="V154" s="261"/>
    </row>
    <row r="155" spans="1:22" ht="12.75" customHeight="1" x14ac:dyDescent="0.2">
      <c r="A155" s="285"/>
      <c r="B155" s="3" t="s">
        <v>20</v>
      </c>
      <c r="C155" s="3" t="s">
        <v>4</v>
      </c>
      <c r="D155" s="3" t="s">
        <v>4</v>
      </c>
      <c r="E155" s="3" t="s">
        <v>76</v>
      </c>
      <c r="F155" s="3" t="s">
        <v>76</v>
      </c>
      <c r="G155" s="51" t="s">
        <v>72</v>
      </c>
      <c r="H155" s="53" t="s">
        <v>73</v>
      </c>
      <c r="I155" s="3" t="s">
        <v>4</v>
      </c>
      <c r="J155" s="3" t="s">
        <v>4</v>
      </c>
      <c r="K155" s="3" t="s">
        <v>76</v>
      </c>
      <c r="O155" s="302"/>
      <c r="P155" s="263"/>
      <c r="Q155" s="263"/>
      <c r="R155" s="265"/>
      <c r="S155" s="260"/>
      <c r="T155" s="260"/>
      <c r="U155" s="261"/>
      <c r="V155" s="261"/>
    </row>
    <row r="156" spans="1:22" ht="12.75" customHeight="1" x14ac:dyDescent="0.2">
      <c r="A156" s="285"/>
      <c r="B156" s="42"/>
      <c r="C156" s="3"/>
      <c r="D156" s="3"/>
      <c r="E156" s="3" t="s">
        <v>70</v>
      </c>
      <c r="F156" s="26" t="s">
        <v>71</v>
      </c>
      <c r="G156" s="52"/>
      <c r="H156" s="55"/>
      <c r="I156" s="3" t="s">
        <v>70</v>
      </c>
      <c r="J156" s="3" t="s">
        <v>70</v>
      </c>
      <c r="K156" s="26" t="s">
        <v>71</v>
      </c>
      <c r="O156" s="302"/>
      <c r="P156" s="263"/>
      <c r="Q156" s="263"/>
      <c r="R156" s="265"/>
      <c r="S156" s="260"/>
      <c r="T156" s="260"/>
      <c r="U156" s="261"/>
      <c r="V156" s="261"/>
    </row>
    <row r="157" spans="1:22" ht="12.75" customHeight="1" x14ac:dyDescent="0.2">
      <c r="A157" s="285"/>
      <c r="B157" s="88"/>
      <c r="C157" s="222"/>
      <c r="D157" s="222"/>
      <c r="E157" s="222" t="str">
        <f>("[ "&amp;D152&amp;" - "&amp;C152&amp;" ]")</f>
        <v>[ C - B ]</v>
      </c>
      <c r="F157" s="222" t="str">
        <f>("[ "&amp;E152&amp;" / "&amp;C152&amp;" ]")</f>
        <v>[ D / B ]</v>
      </c>
      <c r="G157" s="224"/>
      <c r="H157" s="224"/>
      <c r="I157" s="222" t="str">
        <f>("["&amp;C152&amp;"+"&amp;$G$10&amp;"+"&amp;$H$10&amp;"]")</f>
        <v>[B+F+G]</v>
      </c>
      <c r="J157" s="222" t="str">
        <f>("["&amp;D152&amp;"+"&amp;$G$10&amp;"+"&amp;$H$10&amp;"]")</f>
        <v>[C+F+G]</v>
      </c>
      <c r="K157" s="222" t="str">
        <f>("[("&amp;J152&amp;" - "&amp;I152&amp;")"&amp;I152&amp;"]")</f>
        <v>[(I - H)H]</v>
      </c>
      <c r="O157" s="302"/>
      <c r="P157" s="263"/>
      <c r="Q157" s="263"/>
      <c r="R157" s="265"/>
      <c r="S157" s="260"/>
      <c r="T157" s="260"/>
      <c r="U157" s="261"/>
      <c r="V157" s="261"/>
    </row>
    <row r="158" spans="1:22" ht="13.5" thickBot="1" x14ac:dyDescent="0.25">
      <c r="A158" s="251" t="s">
        <v>92</v>
      </c>
      <c r="B158" s="291"/>
      <c r="C158" s="311"/>
      <c r="D158" s="312"/>
      <c r="E158" s="312"/>
      <c r="F158" s="258"/>
      <c r="G158" s="312"/>
      <c r="H158" s="312"/>
      <c r="I158" s="312"/>
      <c r="J158" s="312"/>
      <c r="K158" s="259"/>
      <c r="O158" s="304" t="s">
        <v>92</v>
      </c>
      <c r="P158" s="263"/>
      <c r="Q158" s="263"/>
      <c r="R158" s="265"/>
      <c r="S158" s="260">
        <f>($R158*INPUT!$P$55)*INPUT!$G$59</f>
        <v>0</v>
      </c>
      <c r="T158" s="260">
        <f>($R158*INPUT!$P$55)*INPUT!$I$59</f>
        <v>0</v>
      </c>
      <c r="U158" s="261">
        <f>+P158+S158+T158</f>
        <v>0</v>
      </c>
      <c r="V158" s="261">
        <f>+Q158+S158+T158</f>
        <v>0</v>
      </c>
    </row>
    <row r="159" spans="1:22" ht="13.5" thickBot="1" x14ac:dyDescent="0.25">
      <c r="A159" s="255" t="s">
        <v>93</v>
      </c>
      <c r="B159" s="300"/>
      <c r="C159" s="311"/>
      <c r="D159" s="312"/>
      <c r="E159" s="312"/>
      <c r="F159" s="258"/>
      <c r="G159" s="312"/>
      <c r="H159" s="312"/>
      <c r="I159" s="312"/>
      <c r="J159" s="312"/>
      <c r="K159" s="259"/>
      <c r="O159" s="301" t="s">
        <v>93</v>
      </c>
      <c r="P159" s="263"/>
      <c r="Q159" s="263"/>
      <c r="R159" s="265"/>
      <c r="S159" s="260">
        <f>($R159*INPUT!$P$55)*INPUT!$G$59</f>
        <v>0</v>
      </c>
      <c r="T159" s="260">
        <f>($R159*INPUT!$P$55)*INPUT!$I$59</f>
        <v>0</v>
      </c>
      <c r="U159" s="261">
        <f>+P159+S159+T159</f>
        <v>0</v>
      </c>
      <c r="V159" s="261">
        <f>+Q159+S159+T159</f>
        <v>0</v>
      </c>
    </row>
    <row r="160" spans="1:22" x14ac:dyDescent="0.2">
      <c r="A160" s="267" t="s">
        <v>193</v>
      </c>
      <c r="B160" s="288"/>
      <c r="C160" s="311"/>
      <c r="D160" s="312"/>
      <c r="E160" s="312"/>
      <c r="F160" s="258"/>
      <c r="G160" s="313"/>
      <c r="H160" s="313"/>
      <c r="I160" s="313"/>
      <c r="J160" s="313"/>
      <c r="K160" s="259"/>
      <c r="N160" s="91">
        <v>275</v>
      </c>
      <c r="O160" s="302" t="s">
        <v>193</v>
      </c>
      <c r="P160" s="263"/>
      <c r="Q160" s="263"/>
      <c r="R160" s="265"/>
      <c r="S160" s="260"/>
      <c r="T160" s="260"/>
      <c r="U160" s="261"/>
      <c r="V160" s="261"/>
    </row>
    <row r="161" spans="1:22" ht="16.5" customHeight="1" thickBot="1" x14ac:dyDescent="0.25">
      <c r="A161" s="267" t="s">
        <v>194</v>
      </c>
      <c r="B161" s="250">
        <f t="shared" ref="B161" si="74">+R161</f>
        <v>0.18099999999999999</v>
      </c>
      <c r="C161" s="311">
        <f>+U161</f>
        <v>25.41961306932885</v>
      </c>
      <c r="D161" s="311">
        <f>+V161</f>
        <v>26.149613069328851</v>
      </c>
      <c r="E161" s="312">
        <f>+D161-C161</f>
        <v>0.73000000000000043</v>
      </c>
      <c r="F161" s="259">
        <f>+E161/D161</f>
        <v>2.7916283046506143E-2</v>
      </c>
      <c r="G161" s="313">
        <f>+S161</f>
        <v>-5.4852650824284262E-2</v>
      </c>
      <c r="H161" s="313">
        <f>+T161</f>
        <v>0.58446572015313503</v>
      </c>
      <c r="I161" s="313">
        <f>+C161+G161+H161</f>
        <v>25.9492261386577</v>
      </c>
      <c r="J161" s="313">
        <f>+D161+G161+H161</f>
        <v>26.6792261386577</v>
      </c>
      <c r="K161" s="259">
        <f>(J161-I161)/I161</f>
        <v>2.8131860121735477E-2</v>
      </c>
      <c r="N161" s="91">
        <v>275</v>
      </c>
      <c r="O161" s="302" t="s">
        <v>194</v>
      </c>
      <c r="P161" s="263">
        <f>+INPUT!AA78</f>
        <v>24.89</v>
      </c>
      <c r="Q161" s="263">
        <f>+INPUT!AB78</f>
        <v>25.62</v>
      </c>
      <c r="R161" s="265">
        <f>+INPUT!AC78</f>
        <v>0.18099999999999999</v>
      </c>
      <c r="S161" s="260">
        <f>($R161*INPUT!$P$55)*INPUT!$G$59</f>
        <v>-5.4852650824284262E-2</v>
      </c>
      <c r="T161" s="260">
        <f>($R161*INPUT!$P$55)*INPUT!$I$59</f>
        <v>0.58446572015313503</v>
      </c>
      <c r="U161" s="261">
        <f>+P161+S161+T161</f>
        <v>25.41961306932885</v>
      </c>
      <c r="V161" s="261">
        <f>+Q161+S161+T161</f>
        <v>26.149613069328851</v>
      </c>
    </row>
    <row r="162" spans="1:22" x14ac:dyDescent="0.2">
      <c r="A162" s="267" t="s">
        <v>195</v>
      </c>
      <c r="B162" s="288"/>
      <c r="C162" s="311"/>
      <c r="D162" s="312"/>
      <c r="E162" s="312"/>
      <c r="G162" s="312"/>
      <c r="H162" s="312"/>
      <c r="I162" s="312"/>
      <c r="J162" s="312"/>
      <c r="K162" s="259"/>
      <c r="N162" s="91">
        <v>266</v>
      </c>
      <c r="O162" s="303" t="s">
        <v>195</v>
      </c>
      <c r="P162" s="263"/>
      <c r="Q162" s="263"/>
      <c r="R162" s="265"/>
      <c r="S162" s="260"/>
      <c r="T162" s="260"/>
    </row>
    <row r="163" spans="1:22" ht="15.75" customHeight="1" thickBot="1" x14ac:dyDescent="0.25">
      <c r="A163" s="267" t="s">
        <v>194</v>
      </c>
      <c r="B163" s="250">
        <f t="shared" ref="B163" si="75">+R163</f>
        <v>0.29399999999999998</v>
      </c>
      <c r="C163" s="311">
        <f>+U163</f>
        <v>28.200255482777248</v>
      </c>
      <c r="D163" s="311">
        <f>+V163</f>
        <v>29.010255482777247</v>
      </c>
      <c r="E163" s="312">
        <f>+D163-C163</f>
        <v>0.80999999999999872</v>
      </c>
      <c r="F163" s="259">
        <f>+E163/D163</f>
        <v>2.7921160517902988E-2</v>
      </c>
      <c r="G163" s="312">
        <f>+S163</f>
        <v>-8.9097675924528025E-2</v>
      </c>
      <c r="H163" s="312">
        <f>+T163</f>
        <v>0.94935315870177728</v>
      </c>
      <c r="I163" s="312">
        <f>+C163+G163+H163</f>
        <v>29.060510965554496</v>
      </c>
      <c r="J163" s="312">
        <f>+D163+G163+H163</f>
        <v>29.870510965554494</v>
      </c>
      <c r="K163" s="259">
        <f>(J163-I163)/I163</f>
        <v>2.7872875358595516E-2</v>
      </c>
      <c r="N163" s="91">
        <v>266</v>
      </c>
      <c r="O163" s="302" t="s">
        <v>194</v>
      </c>
      <c r="P163" s="263">
        <f>+INPUT!AA80</f>
        <v>27.34</v>
      </c>
      <c r="Q163" s="263">
        <f>+INPUT!AB80</f>
        <v>28.15</v>
      </c>
      <c r="R163" s="265">
        <f>+INPUT!AC80</f>
        <v>0.29399999999999998</v>
      </c>
      <c r="S163" s="260">
        <f>($R163*INPUT!$P$55)*INPUT!$G$59</f>
        <v>-8.9097675924528025E-2</v>
      </c>
      <c r="T163" s="260">
        <f>($R163*INPUT!$P$55)*INPUT!$I$59</f>
        <v>0.94935315870177728</v>
      </c>
      <c r="U163" s="261">
        <f t="shared" ref="U163" si="76">+P163+S163+T163</f>
        <v>28.200255482777248</v>
      </c>
      <c r="V163" s="261">
        <f t="shared" ref="V163" si="77">+Q163+S163+T163</f>
        <v>29.010255482777247</v>
      </c>
    </row>
    <row r="164" spans="1:22" x14ac:dyDescent="0.2">
      <c r="A164" s="267" t="s">
        <v>196</v>
      </c>
      <c r="B164" s="288"/>
      <c r="C164" s="311"/>
      <c r="D164" s="312"/>
      <c r="E164" s="312"/>
      <c r="F164" s="258"/>
      <c r="G164" s="312"/>
      <c r="H164" s="312"/>
      <c r="I164" s="312"/>
      <c r="J164" s="312"/>
      <c r="K164" s="259"/>
      <c r="N164" s="91">
        <v>267</v>
      </c>
      <c r="O164" s="303" t="s">
        <v>196</v>
      </c>
      <c r="P164" s="263"/>
      <c r="Q164" s="263"/>
      <c r="R164" s="265"/>
      <c r="S164" s="260"/>
      <c r="T164" s="260"/>
      <c r="U164" s="261"/>
      <c r="V164" s="261"/>
    </row>
    <row r="165" spans="1:22" ht="16.5" customHeight="1" thickBot="1" x14ac:dyDescent="0.25">
      <c r="A165" s="267" t="s">
        <v>194</v>
      </c>
      <c r="B165" s="250">
        <f t="shared" ref="B165" si="78">+R165</f>
        <v>0.47099999999999997</v>
      </c>
      <c r="C165" s="311">
        <f>+U165</f>
        <v>32.778164395877837</v>
      </c>
      <c r="D165" s="311">
        <f>+V165</f>
        <v>33.708164395877837</v>
      </c>
      <c r="E165" s="312">
        <f>+D165-C165</f>
        <v>0.92999999999999972</v>
      </c>
      <c r="F165" s="259">
        <f>+E165/D165</f>
        <v>2.7589755083600138E-2</v>
      </c>
      <c r="G165" s="312">
        <f>+S165</f>
        <v>-0.14273811347092755</v>
      </c>
      <c r="H165" s="312">
        <f>+T165</f>
        <v>1.5209025093487658</v>
      </c>
      <c r="I165" s="312">
        <f>+C165+G165+H165</f>
        <v>34.156328791755676</v>
      </c>
      <c r="J165" s="312">
        <f>+D165+G165+H165</f>
        <v>35.086328791755676</v>
      </c>
      <c r="K165" s="259">
        <f>(J165-I165)/I165</f>
        <v>2.7227750548661837E-2</v>
      </c>
      <c r="N165" s="91">
        <v>267</v>
      </c>
      <c r="O165" s="302" t="s">
        <v>194</v>
      </c>
      <c r="P165" s="263">
        <f>+INPUT!AA82</f>
        <v>31.4</v>
      </c>
      <c r="Q165" s="263">
        <f>+INPUT!AB82</f>
        <v>32.33</v>
      </c>
      <c r="R165" s="265">
        <f>+INPUT!AC82</f>
        <v>0.47099999999999997</v>
      </c>
      <c r="S165" s="260">
        <f>($R165*INPUT!$P$55)*INPUT!$G$59</f>
        <v>-0.14273811347092755</v>
      </c>
      <c r="T165" s="260">
        <f>($R165*INPUT!$P$55)*INPUT!$I$59</f>
        <v>1.5209025093487658</v>
      </c>
      <c r="U165" s="261">
        <f t="shared" ref="U165:U167" si="79">+P165+S165+T165</f>
        <v>32.778164395877837</v>
      </c>
      <c r="V165" s="261">
        <f t="shared" ref="V165:V167" si="80">+Q165+S165+T165</f>
        <v>33.708164395877837</v>
      </c>
    </row>
    <row r="166" spans="1:22" x14ac:dyDescent="0.2">
      <c r="A166" s="267" t="s">
        <v>197</v>
      </c>
      <c r="B166" s="288"/>
      <c r="C166" s="311"/>
      <c r="D166" s="312"/>
      <c r="E166" s="312"/>
      <c r="F166" s="258"/>
      <c r="G166" s="312"/>
      <c r="H166" s="312"/>
      <c r="I166" s="312"/>
      <c r="J166" s="312"/>
      <c r="K166" s="259"/>
      <c r="N166" s="91">
        <v>276</v>
      </c>
      <c r="O166" s="303" t="s">
        <v>197</v>
      </c>
      <c r="P166" s="263"/>
      <c r="Q166" s="263"/>
      <c r="R166" s="265"/>
      <c r="S166" s="260">
        <f>($R166*INPUT!$P$55)*INPUT!$G$59</f>
        <v>0</v>
      </c>
      <c r="T166" s="260">
        <f>($R166*INPUT!$P$55)*INPUT!$I$59</f>
        <v>0</v>
      </c>
      <c r="U166" s="261">
        <f t="shared" si="79"/>
        <v>0</v>
      </c>
      <c r="V166" s="261">
        <f t="shared" si="80"/>
        <v>0</v>
      </c>
    </row>
    <row r="167" spans="1:22" ht="12.75" customHeight="1" x14ac:dyDescent="0.2">
      <c r="A167" s="267" t="s">
        <v>194</v>
      </c>
      <c r="B167" s="250">
        <f t="shared" ref="B167" si="81">+R167</f>
        <v>8.3000000000000004E-2</v>
      </c>
      <c r="C167" s="311">
        <f>+U167</f>
        <v>14.412861241736433</v>
      </c>
      <c r="D167" s="311">
        <f>+V167</f>
        <v>14.832861241736433</v>
      </c>
      <c r="E167" s="312">
        <f>+D167-C167</f>
        <v>0.41999999999999993</v>
      </c>
      <c r="F167" s="259">
        <f>+E167/D167</f>
        <v>2.8315507922248448E-2</v>
      </c>
      <c r="G167" s="312">
        <f>+S167</f>
        <v>-2.5153425516108253E-2</v>
      </c>
      <c r="H167" s="312">
        <f>+T167</f>
        <v>0.26801466725254258</v>
      </c>
      <c r="I167" s="312">
        <f>+C167+G167+H167</f>
        <v>14.655722483472866</v>
      </c>
      <c r="J167" s="312">
        <f>+D167+G167+H167</f>
        <v>15.075722483472866</v>
      </c>
      <c r="K167" s="259">
        <f>(J167-I167)/I167</f>
        <v>2.865774788473447E-2</v>
      </c>
      <c r="N167" s="91">
        <v>276</v>
      </c>
      <c r="O167" s="302" t="s">
        <v>194</v>
      </c>
      <c r="P167" s="263">
        <f>+INPUT!AA84</f>
        <v>14.17</v>
      </c>
      <c r="Q167" s="263">
        <f>+INPUT!AB84</f>
        <v>14.59</v>
      </c>
      <c r="R167" s="265">
        <f>+INPUT!AC84</f>
        <v>8.3000000000000004E-2</v>
      </c>
      <c r="S167" s="260">
        <f>($R167*INPUT!$P$55)*INPUT!$G$59</f>
        <v>-2.5153425516108253E-2</v>
      </c>
      <c r="T167" s="260">
        <f>($R167*INPUT!$P$55)*INPUT!$I$59</f>
        <v>0.26801466725254258</v>
      </c>
      <c r="U167" s="261">
        <f t="shared" si="79"/>
        <v>14.412861241736433</v>
      </c>
      <c r="V167" s="261">
        <f t="shared" si="80"/>
        <v>14.832861241736433</v>
      </c>
    </row>
    <row r="168" spans="1:22" ht="12.75" customHeight="1" thickBot="1" x14ac:dyDescent="0.25">
      <c r="A168" s="267"/>
      <c r="B168" s="267"/>
      <c r="C168" s="336"/>
      <c r="D168" s="338"/>
      <c r="E168" s="338"/>
      <c r="F168" s="338"/>
      <c r="G168" s="337"/>
      <c r="H168" s="339"/>
      <c r="I168" s="339"/>
      <c r="J168" s="339"/>
      <c r="K168" s="337"/>
      <c r="O168" s="302"/>
      <c r="P168" s="263"/>
      <c r="Q168" s="263"/>
      <c r="R168" s="265"/>
      <c r="S168" s="260"/>
      <c r="T168" s="260"/>
      <c r="U168" s="261"/>
      <c r="V168" s="261"/>
    </row>
    <row r="169" spans="1:22" x14ac:dyDescent="0.2">
      <c r="A169" s="267" t="s">
        <v>198</v>
      </c>
      <c r="B169" s="288"/>
      <c r="D169" s="258"/>
      <c r="E169" s="258"/>
      <c r="F169" s="258"/>
      <c r="G169" s="259"/>
      <c r="H169" s="261"/>
      <c r="I169" s="261"/>
      <c r="J169" s="261"/>
      <c r="K169" s="259"/>
      <c r="N169" s="91">
        <v>274</v>
      </c>
      <c r="O169" s="303" t="s">
        <v>198</v>
      </c>
      <c r="P169" s="263"/>
      <c r="Q169" s="263"/>
      <c r="R169" s="265"/>
      <c r="S169" s="260"/>
      <c r="T169" s="260"/>
      <c r="U169" s="261"/>
      <c r="V169" s="261"/>
    </row>
    <row r="170" spans="1:22" ht="15.75" customHeight="1" thickBot="1" x14ac:dyDescent="0.25">
      <c r="A170" s="267" t="s">
        <v>194</v>
      </c>
      <c r="B170" s="250">
        <f t="shared" ref="B170" si="82">+R170</f>
        <v>0.11700000000000001</v>
      </c>
      <c r="C170" s="311">
        <f>+U170</f>
        <v>17.532346569676662</v>
      </c>
      <c r="D170" s="311">
        <f>+V170</f>
        <v>18.04234656967666</v>
      </c>
      <c r="E170" s="312">
        <f>+D170-C170</f>
        <v>0.50999999999999801</v>
      </c>
      <c r="F170" s="259">
        <f>+E170/D170</f>
        <v>2.8266833143375199E-2</v>
      </c>
      <c r="G170" s="312">
        <f>+S170</f>
        <v>-3.5457238378128503E-2</v>
      </c>
      <c r="H170" s="312">
        <f>+T170</f>
        <v>0.37780380805478897</v>
      </c>
      <c r="I170" s="312">
        <f>+C170+G170+H170</f>
        <v>17.874693139353322</v>
      </c>
      <c r="J170" s="312">
        <f>+D170+G170+H170</f>
        <v>18.38469313935332</v>
      </c>
      <c r="K170" s="259">
        <f>(J170-I170)/I170</f>
        <v>2.8531958340429948E-2</v>
      </c>
      <c r="N170" s="91">
        <v>274</v>
      </c>
      <c r="O170" s="302" t="s">
        <v>194</v>
      </c>
      <c r="P170" s="263">
        <f>+INPUT!AA87</f>
        <v>17.190000000000001</v>
      </c>
      <c r="Q170" s="263">
        <f>+INPUT!AB87</f>
        <v>17.7</v>
      </c>
      <c r="R170" s="265">
        <f>+INPUT!AC87</f>
        <v>0.11700000000000001</v>
      </c>
      <c r="S170" s="260">
        <f>($R170*INPUT!$P$55)*INPUT!$G$59</f>
        <v>-3.5457238378128503E-2</v>
      </c>
      <c r="T170" s="260">
        <f>($R170*INPUT!$P$55)*INPUT!$I$59</f>
        <v>0.37780380805478897</v>
      </c>
      <c r="U170" s="261">
        <f t="shared" ref="U170" si="83">+P170+S170+T170</f>
        <v>17.532346569676662</v>
      </c>
      <c r="V170" s="261">
        <f t="shared" ref="V170" si="84">+Q170+S170+T170</f>
        <v>18.04234656967666</v>
      </c>
    </row>
    <row r="171" spans="1:22" x14ac:dyDescent="0.2">
      <c r="A171" s="267" t="s">
        <v>199</v>
      </c>
      <c r="B171" s="288"/>
      <c r="C171" s="311"/>
      <c r="D171" s="312"/>
      <c r="E171" s="312"/>
      <c r="G171" s="313"/>
      <c r="H171" s="312"/>
      <c r="I171" s="312"/>
      <c r="J171" s="312"/>
      <c r="K171" s="259"/>
      <c r="N171" s="91">
        <v>277</v>
      </c>
      <c r="O171" s="303" t="s">
        <v>199</v>
      </c>
      <c r="P171" s="263"/>
      <c r="Q171" s="263"/>
      <c r="R171" s="265"/>
      <c r="S171" s="260"/>
      <c r="T171" s="260"/>
    </row>
    <row r="172" spans="1:22" ht="13.5" customHeight="1" thickBot="1" x14ac:dyDescent="0.25">
      <c r="A172" s="267" t="s">
        <v>194</v>
      </c>
      <c r="B172" s="250">
        <f t="shared" ref="B172:B173" si="85">+R172</f>
        <v>0.18099999999999999</v>
      </c>
      <c r="C172" s="311">
        <f>+U172</f>
        <v>22.679613069328848</v>
      </c>
      <c r="D172" s="311">
        <f>+V172</f>
        <v>23.32961306932885</v>
      </c>
      <c r="E172" s="312">
        <f>+D172-C172</f>
        <v>0.65000000000000213</v>
      </c>
      <c r="F172" s="259">
        <f>+E172/D172</f>
        <v>2.7861585105093276E-2</v>
      </c>
      <c r="G172" s="312">
        <f>+S172</f>
        <v>-5.4852650824284262E-2</v>
      </c>
      <c r="H172" s="312">
        <f>+T172</f>
        <v>0.58446572015313503</v>
      </c>
      <c r="I172" s="312">
        <f>+C172+G172+H172</f>
        <v>23.209226138657698</v>
      </c>
      <c r="J172" s="312">
        <f>+D172+G172+H172</f>
        <v>23.8592261386577</v>
      </c>
      <c r="K172" s="259">
        <f>(J172-I172)/I172</f>
        <v>2.8006103956966951E-2</v>
      </c>
      <c r="N172" s="91">
        <v>277</v>
      </c>
      <c r="O172" s="302" t="s">
        <v>194</v>
      </c>
      <c r="P172" s="263">
        <f>+INPUT!AA89</f>
        <v>22.15</v>
      </c>
      <c r="Q172" s="263">
        <f>+INPUT!AB89</f>
        <v>22.8</v>
      </c>
      <c r="R172" s="265">
        <f>+INPUT!AC89</f>
        <v>0.18099999999999999</v>
      </c>
      <c r="S172" s="260">
        <f>($R172*INPUT!$P$55)*INPUT!$G$59</f>
        <v>-5.4852650824284262E-2</v>
      </c>
      <c r="T172" s="260">
        <f>($R172*INPUT!$P$55)*INPUT!$I$59</f>
        <v>0.58446572015313503</v>
      </c>
      <c r="U172" s="261">
        <f t="shared" ref="U172" si="86">+P172+S172+T172</f>
        <v>22.679613069328848</v>
      </c>
      <c r="V172" s="261">
        <f t="shared" ref="V172" si="87">+Q172+S172+T172</f>
        <v>23.32961306932885</v>
      </c>
    </row>
    <row r="173" spans="1:22" ht="13.5" thickBot="1" x14ac:dyDescent="0.25">
      <c r="A173" s="267" t="s">
        <v>200</v>
      </c>
      <c r="B173" s="250">
        <f t="shared" si="85"/>
        <v>1</v>
      </c>
      <c r="C173" s="311">
        <f>+U173</f>
        <v>44.356039057065473</v>
      </c>
      <c r="D173" s="311">
        <f>+V173</f>
        <v>45.576039057065472</v>
      </c>
      <c r="E173" s="312">
        <f>+D173-C173</f>
        <v>1.2199999999999989</v>
      </c>
      <c r="F173" s="259">
        <f>+E173/D173</f>
        <v>2.6768451696130166E-2</v>
      </c>
      <c r="G173" s="312">
        <f>+S173</f>
        <v>-0.30305331947118375</v>
      </c>
      <c r="H173" s="312">
        <f>+T173</f>
        <v>3.2290923765366575</v>
      </c>
      <c r="I173" s="312">
        <f>+C173+G173+H173</f>
        <v>47.282078114130947</v>
      </c>
      <c r="J173" s="312">
        <f>+D173+G173+H173</f>
        <v>48.502078114130946</v>
      </c>
      <c r="K173" s="259">
        <f>(J173-I173)/I173</f>
        <v>2.5802588394171783E-2</v>
      </c>
      <c r="N173" s="91">
        <v>279</v>
      </c>
      <c r="O173" s="303" t="s">
        <v>200</v>
      </c>
      <c r="P173" s="263">
        <f>+INPUT!AA92</f>
        <v>41.43</v>
      </c>
      <c r="Q173" s="263">
        <f>+INPUT!AB92</f>
        <v>42.65</v>
      </c>
      <c r="R173" s="265">
        <f>+INPUT!AC92</f>
        <v>1</v>
      </c>
      <c r="S173" s="260">
        <f>($R173*INPUT!$P$55)*INPUT!$G$59</f>
        <v>-0.30305331947118375</v>
      </c>
      <c r="T173" s="260">
        <f>($R173*INPUT!$P$55)*INPUT!$I$59</f>
        <v>3.2290923765366575</v>
      </c>
      <c r="U173" s="261">
        <f t="shared" ref="U173:U177" si="88">+P173+S173+T173</f>
        <v>44.356039057065473</v>
      </c>
      <c r="V173" s="261">
        <f t="shared" ref="V173:V177" si="89">+Q173+S173+T173</f>
        <v>45.576039057065472</v>
      </c>
    </row>
    <row r="174" spans="1:22" ht="13.5" customHeight="1" x14ac:dyDescent="0.2">
      <c r="A174" s="267" t="s">
        <v>201</v>
      </c>
      <c r="B174" s="288"/>
      <c r="C174" s="311"/>
      <c r="D174" s="312"/>
      <c r="E174" s="312"/>
      <c r="F174" s="258"/>
      <c r="G174" s="313"/>
      <c r="H174" s="312"/>
      <c r="I174" s="312"/>
      <c r="J174" s="312"/>
      <c r="K174" s="259"/>
      <c r="N174" s="91">
        <v>278</v>
      </c>
      <c r="O174" s="303" t="s">
        <v>201</v>
      </c>
      <c r="P174" s="263"/>
      <c r="Q174" s="263"/>
      <c r="R174" s="265"/>
      <c r="S174" s="260"/>
      <c r="T174" s="260"/>
      <c r="U174" s="261"/>
      <c r="V174" s="261"/>
    </row>
    <row r="175" spans="1:22" ht="14.25" customHeight="1" thickBot="1" x14ac:dyDescent="0.25">
      <c r="A175" s="267" t="s">
        <v>194</v>
      </c>
      <c r="B175" s="250">
        <f t="shared" ref="B175:B205" si="90">+R175</f>
        <v>1</v>
      </c>
      <c r="C175" s="311">
        <f t="shared" ref="C175:C204" si="91">+U175</f>
        <v>75.476039057065464</v>
      </c>
      <c r="D175" s="311">
        <f t="shared" ref="D175:D204" si="92">+V175</f>
        <v>77.616039057065464</v>
      </c>
      <c r="E175" s="312">
        <f t="shared" ref="E175:E204" si="93">+D175-C175</f>
        <v>2.1400000000000006</v>
      </c>
      <c r="F175" s="259">
        <f t="shared" ref="F175:F204" si="94">+E175/D175</f>
        <v>2.7571620840205632E-2</v>
      </c>
      <c r="G175" s="312">
        <f t="shared" ref="G175:G204" si="95">+S175</f>
        <v>-0.30305331947118375</v>
      </c>
      <c r="H175" s="312">
        <f t="shared" ref="H175:H204" si="96">+T175</f>
        <v>3.2290923765366575</v>
      </c>
      <c r="I175" s="312">
        <f t="shared" ref="I175:I204" si="97">+C175+G175+H175</f>
        <v>78.40207811413093</v>
      </c>
      <c r="J175" s="312">
        <f t="shared" ref="J175:J204" si="98">+D175+G175+H175</f>
        <v>80.542078114130931</v>
      </c>
      <c r="K175" s="259">
        <f t="shared" ref="K175:K204" si="99">(J175-I175)/I175</f>
        <v>2.7295194865686781E-2</v>
      </c>
      <c r="N175" s="91">
        <v>278</v>
      </c>
      <c r="O175" s="302" t="s">
        <v>194</v>
      </c>
      <c r="P175" s="263">
        <f>+INPUT!AA94</f>
        <v>72.55</v>
      </c>
      <c r="Q175" s="263">
        <f>+INPUT!AB94</f>
        <v>74.69</v>
      </c>
      <c r="R175" s="265">
        <f>+INPUT!AC94</f>
        <v>1</v>
      </c>
      <c r="S175" s="260">
        <f>($R175*INPUT!$P$55)*INPUT!$G$59</f>
        <v>-0.30305331947118375</v>
      </c>
      <c r="T175" s="260">
        <f>($R175*INPUT!$P$55)*INPUT!$I$59</f>
        <v>3.2290923765366575</v>
      </c>
      <c r="U175" s="261">
        <f t="shared" si="88"/>
        <v>75.476039057065464</v>
      </c>
      <c r="V175" s="261">
        <f t="shared" si="89"/>
        <v>77.616039057065464</v>
      </c>
    </row>
    <row r="176" spans="1:22" ht="13.5" thickBot="1" x14ac:dyDescent="0.25">
      <c r="A176" s="267" t="s">
        <v>202</v>
      </c>
      <c r="B176" s="250">
        <f t="shared" si="90"/>
        <v>0.11700000000000001</v>
      </c>
      <c r="C176" s="311">
        <f t="shared" si="91"/>
        <v>24.02234656967666</v>
      </c>
      <c r="D176" s="311">
        <f t="shared" si="92"/>
        <v>24.72234656967666</v>
      </c>
      <c r="E176" s="312">
        <f t="shared" si="93"/>
        <v>0.69999999999999929</v>
      </c>
      <c r="F176" s="259">
        <f t="shared" si="94"/>
        <v>2.831446432591429E-2</v>
      </c>
      <c r="G176" s="312">
        <f t="shared" si="95"/>
        <v>-3.5457238378128503E-2</v>
      </c>
      <c r="H176" s="312">
        <f t="shared" si="96"/>
        <v>0.37780380805478897</v>
      </c>
      <c r="I176" s="312">
        <f t="shared" si="97"/>
        <v>24.364693139353321</v>
      </c>
      <c r="J176" s="312">
        <f t="shared" si="98"/>
        <v>25.06469313935332</v>
      </c>
      <c r="K176" s="259">
        <f t="shared" si="99"/>
        <v>2.8730097112094326E-2</v>
      </c>
      <c r="N176" s="91">
        <v>417</v>
      </c>
      <c r="O176" s="303" t="s">
        <v>202</v>
      </c>
      <c r="P176" s="263">
        <f>+INPUT!AA95</f>
        <v>23.68</v>
      </c>
      <c r="Q176" s="263">
        <f>+INPUT!AB95</f>
        <v>24.38</v>
      </c>
      <c r="R176" s="265">
        <f>+INPUT!AC95</f>
        <v>0.11700000000000001</v>
      </c>
      <c r="S176" s="260">
        <f>($R176*INPUT!$P$55)*INPUT!$G$59</f>
        <v>-3.5457238378128503E-2</v>
      </c>
      <c r="T176" s="260">
        <f>($R176*INPUT!$P$55)*INPUT!$I$59</f>
        <v>0.37780380805478897</v>
      </c>
      <c r="U176" s="261">
        <f t="shared" si="88"/>
        <v>24.02234656967666</v>
      </c>
      <c r="V176" s="261">
        <f t="shared" si="89"/>
        <v>24.72234656967666</v>
      </c>
    </row>
    <row r="177" spans="1:22" ht="13.5" thickBot="1" x14ac:dyDescent="0.25">
      <c r="A177" s="267" t="s">
        <v>203</v>
      </c>
      <c r="B177" s="250">
        <f t="shared" si="90"/>
        <v>0.11700000000000001</v>
      </c>
      <c r="C177" s="311">
        <f t="shared" si="91"/>
        <v>25.11234656967666</v>
      </c>
      <c r="D177" s="311">
        <f t="shared" si="92"/>
        <v>25.842346569676661</v>
      </c>
      <c r="E177" s="312">
        <f t="shared" si="93"/>
        <v>0.73000000000000043</v>
      </c>
      <c r="F177" s="259">
        <f t="shared" si="94"/>
        <v>2.8248208731036076E-2</v>
      </c>
      <c r="G177" s="312">
        <f t="shared" si="95"/>
        <v>-3.5457238378128503E-2</v>
      </c>
      <c r="H177" s="312">
        <f t="shared" si="96"/>
        <v>0.37780380805478897</v>
      </c>
      <c r="I177" s="312">
        <f t="shared" si="97"/>
        <v>25.454693139353321</v>
      </c>
      <c r="J177" s="312">
        <f t="shared" si="98"/>
        <v>26.184693139353321</v>
      </c>
      <c r="K177" s="259">
        <f t="shared" si="99"/>
        <v>2.8678405039242447E-2</v>
      </c>
      <c r="N177" s="91">
        <v>419</v>
      </c>
      <c r="O177" s="303" t="s">
        <v>203</v>
      </c>
      <c r="P177" s="263">
        <f>+INPUT!AA96</f>
        <v>24.77</v>
      </c>
      <c r="Q177" s="263">
        <f>+INPUT!AB96</f>
        <v>25.5</v>
      </c>
      <c r="R177" s="265">
        <f>+INPUT!AC96</f>
        <v>0.11700000000000001</v>
      </c>
      <c r="S177" s="260">
        <f>($R177*INPUT!$P$55)*INPUT!$G$59</f>
        <v>-3.5457238378128503E-2</v>
      </c>
      <c r="T177" s="260">
        <f>($R177*INPUT!$P$55)*INPUT!$I$59</f>
        <v>0.37780380805478897</v>
      </c>
      <c r="U177" s="261">
        <f t="shared" si="88"/>
        <v>25.11234656967666</v>
      </c>
      <c r="V177" s="261">
        <f t="shared" si="89"/>
        <v>25.842346569676661</v>
      </c>
    </row>
    <row r="178" spans="1:22" ht="13.5" thickBot="1" x14ac:dyDescent="0.25">
      <c r="A178" s="267"/>
      <c r="B178" s="250"/>
      <c r="C178" s="311"/>
      <c r="D178" s="311"/>
      <c r="E178" s="312"/>
      <c r="F178" s="259"/>
      <c r="G178" s="312"/>
      <c r="H178" s="312"/>
      <c r="I178" s="312"/>
      <c r="J178" s="312"/>
      <c r="K178" s="259"/>
      <c r="O178" s="330"/>
      <c r="P178" s="263"/>
      <c r="Q178" s="263"/>
      <c r="R178" s="265"/>
      <c r="S178" s="260"/>
      <c r="T178" s="260"/>
      <c r="U178" s="261"/>
      <c r="V178" s="261"/>
    </row>
    <row r="179" spans="1:22" ht="13.5" thickBot="1" x14ac:dyDescent="0.25">
      <c r="A179" s="234" t="s">
        <v>373</v>
      </c>
      <c r="B179" s="250"/>
      <c r="C179" s="311"/>
      <c r="D179" s="311"/>
      <c r="E179" s="312"/>
      <c r="F179" s="259"/>
      <c r="G179" s="312"/>
      <c r="H179" s="312"/>
      <c r="I179" s="312"/>
      <c r="J179" s="312"/>
      <c r="K179" s="259"/>
      <c r="O179" s="330"/>
      <c r="P179" s="263"/>
      <c r="Q179" s="263"/>
      <c r="R179" s="265"/>
      <c r="S179" s="260"/>
      <c r="T179" s="260"/>
      <c r="U179" s="261"/>
      <c r="V179" s="261"/>
    </row>
    <row r="180" spans="1:22" ht="13.5" thickBot="1" x14ac:dyDescent="0.25">
      <c r="A180" s="230" t="s">
        <v>389</v>
      </c>
      <c r="B180" s="250"/>
      <c r="C180" s="311"/>
      <c r="D180" s="311"/>
      <c r="E180" s="312"/>
      <c r="F180" s="259"/>
      <c r="G180" s="312"/>
      <c r="H180" s="312"/>
      <c r="I180" s="312"/>
      <c r="J180" s="312"/>
      <c r="K180" s="259"/>
      <c r="O180" s="330"/>
      <c r="P180" s="263"/>
      <c r="Q180" s="263"/>
      <c r="R180" s="265"/>
      <c r="S180" s="260"/>
      <c r="T180" s="260"/>
      <c r="U180" s="261"/>
      <c r="V180" s="261"/>
    </row>
    <row r="181" spans="1:22" ht="13.5" thickBot="1" x14ac:dyDescent="0.25">
      <c r="A181" s="230" t="str">
        <f>+'Rate Case Constants'!$C$26</f>
        <v>Calculations may vary from other schedules due to rounding</v>
      </c>
      <c r="B181" s="250"/>
      <c r="C181" s="311"/>
      <c r="D181" s="311"/>
      <c r="E181" s="312"/>
      <c r="F181" s="259"/>
      <c r="G181" s="312"/>
      <c r="H181" s="312"/>
      <c r="I181" s="312"/>
      <c r="J181" s="312"/>
      <c r="K181" s="259"/>
      <c r="O181" s="330"/>
      <c r="P181" s="263"/>
      <c r="Q181" s="263"/>
      <c r="R181" s="265"/>
      <c r="S181" s="260"/>
      <c r="T181" s="260"/>
      <c r="U181" s="261"/>
      <c r="V181" s="261"/>
    </row>
    <row r="182" spans="1:22" ht="13.5" thickBot="1" x14ac:dyDescent="0.25">
      <c r="A182" s="342"/>
      <c r="B182" s="250"/>
      <c r="C182" s="311"/>
      <c r="D182" s="311"/>
      <c r="E182" s="312"/>
      <c r="F182" s="259"/>
      <c r="G182" s="312"/>
      <c r="H182" s="312"/>
      <c r="I182" s="312"/>
      <c r="J182" s="312"/>
      <c r="K182" s="259"/>
      <c r="O182" s="330"/>
      <c r="P182" s="263"/>
      <c r="Q182" s="263"/>
      <c r="R182" s="265"/>
      <c r="S182" s="260"/>
      <c r="T182" s="260"/>
      <c r="U182" s="261"/>
      <c r="V182" s="261"/>
    </row>
    <row r="183" spans="1:22" ht="13.5" thickBot="1" x14ac:dyDescent="0.25">
      <c r="A183" s="380" t="str">
        <f>+A1</f>
        <v>LOUISVILLE GAS AND ELECTRIC COMPANY</v>
      </c>
      <c r="B183" s="380"/>
      <c r="C183" s="380"/>
      <c r="D183" s="380"/>
      <c r="E183" s="380"/>
      <c r="F183" s="380"/>
      <c r="G183" s="380"/>
      <c r="H183" s="380"/>
      <c r="I183" s="380"/>
      <c r="J183" s="380"/>
      <c r="K183" s="380"/>
      <c r="O183" s="330"/>
      <c r="P183" s="263"/>
      <c r="Q183" s="263"/>
      <c r="R183" s="265"/>
      <c r="S183" s="260"/>
      <c r="T183" s="260"/>
      <c r="U183" s="261"/>
      <c r="V183" s="261"/>
    </row>
    <row r="184" spans="1:22" ht="13.5" thickBot="1" x14ac:dyDescent="0.25">
      <c r="A184" s="380" t="str">
        <f>+A2</f>
        <v>CASE NO. 2014-00372</v>
      </c>
      <c r="B184" s="380"/>
      <c r="C184" s="380"/>
      <c r="D184" s="380"/>
      <c r="E184" s="380"/>
      <c r="F184" s="380"/>
      <c r="G184" s="380"/>
      <c r="H184" s="380"/>
      <c r="I184" s="380"/>
      <c r="J184" s="380"/>
      <c r="K184" s="380"/>
      <c r="O184" s="330"/>
      <c r="P184" s="263"/>
      <c r="Q184" s="263"/>
      <c r="R184" s="265"/>
      <c r="S184" s="260"/>
      <c r="T184" s="260"/>
      <c r="U184" s="261"/>
      <c r="V184" s="261"/>
    </row>
    <row r="185" spans="1:22" ht="13.5" thickBot="1" x14ac:dyDescent="0.25">
      <c r="A185" s="380" t="str">
        <f>+A3</f>
        <v>Typical Electric Bill Comparison under Present &amp; Proposed Rates</v>
      </c>
      <c r="B185" s="380"/>
      <c r="C185" s="380"/>
      <c r="D185" s="380"/>
      <c r="E185" s="380"/>
      <c r="F185" s="380"/>
      <c r="G185" s="380"/>
      <c r="H185" s="380"/>
      <c r="I185" s="380"/>
      <c r="J185" s="380"/>
      <c r="K185" s="380"/>
      <c r="O185" s="330"/>
      <c r="P185" s="263"/>
      <c r="Q185" s="263"/>
      <c r="R185" s="265"/>
      <c r="S185" s="260"/>
      <c r="T185" s="260"/>
      <c r="U185" s="261"/>
      <c r="V185" s="261"/>
    </row>
    <row r="186" spans="1:22" ht="13.5" thickBot="1" x14ac:dyDescent="0.25">
      <c r="A186" s="380" t="str">
        <f>+A4</f>
        <v>FORECAST PERIOD FOR THE 12 MONTHS ENDED JUNE 30, 2016</v>
      </c>
      <c r="B186" s="380"/>
      <c r="C186" s="380"/>
      <c r="D186" s="380"/>
      <c r="E186" s="380"/>
      <c r="F186" s="380"/>
      <c r="G186" s="380"/>
      <c r="H186" s="380"/>
      <c r="I186" s="380"/>
      <c r="J186" s="380"/>
      <c r="K186" s="380"/>
      <c r="O186" s="330"/>
      <c r="P186" s="263"/>
      <c r="Q186" s="263"/>
      <c r="R186" s="265"/>
      <c r="S186" s="260"/>
      <c r="T186" s="260"/>
      <c r="U186" s="261"/>
      <c r="V186" s="261"/>
    </row>
    <row r="187" spans="1:22" ht="13.5" thickBot="1" x14ac:dyDescent="0.25">
      <c r="A187" s="342"/>
      <c r="B187" s="250"/>
      <c r="C187" s="311"/>
      <c r="D187" s="311"/>
      <c r="E187" s="312"/>
      <c r="F187" s="259"/>
      <c r="G187" s="312"/>
      <c r="H187" s="312"/>
      <c r="I187" s="312"/>
      <c r="J187" s="312"/>
      <c r="K187" s="259"/>
      <c r="O187" s="330"/>
      <c r="P187" s="263"/>
      <c r="Q187" s="263"/>
      <c r="R187" s="265"/>
      <c r="S187" s="260"/>
      <c r="T187" s="260"/>
      <c r="U187" s="261"/>
      <c r="V187" s="261"/>
    </row>
    <row r="188" spans="1:22" ht="13.5" thickBot="1" x14ac:dyDescent="0.25">
      <c r="A188" s="342" t="str">
        <f>+A148</f>
        <v>DATA: ____BASE PERIOD__X___FORECASTED PERIOD</v>
      </c>
      <c r="B188" s="250"/>
      <c r="C188" s="311"/>
      <c r="D188" s="311"/>
      <c r="E188" s="312"/>
      <c r="F188" s="259"/>
      <c r="G188" s="312"/>
      <c r="H188" s="312"/>
      <c r="I188" s="312"/>
      <c r="J188" s="312"/>
      <c r="K188" s="275" t="str">
        <f>+K148</f>
        <v>SCHEDULE N (Electric)</v>
      </c>
      <c r="O188" s="330"/>
      <c r="P188" s="263"/>
      <c r="Q188" s="263"/>
      <c r="R188" s="265"/>
      <c r="S188" s="260"/>
      <c r="T188" s="260"/>
      <c r="U188" s="261"/>
      <c r="V188" s="261"/>
    </row>
    <row r="189" spans="1:22" ht="13.5" thickBot="1" x14ac:dyDescent="0.25">
      <c r="A189" s="342" t="str">
        <f t="shared" ref="A189:A190" si="100">+A149</f>
        <v>TYPE OF FILING: __X__ ORIGINAL  _____ UPDATED  _____ REVISED</v>
      </c>
      <c r="B189" s="250"/>
      <c r="C189" s="311"/>
      <c r="D189" s="311"/>
      <c r="E189" s="312"/>
      <c r="F189" s="259"/>
      <c r="G189" s="312"/>
      <c r="H189" s="312"/>
      <c r="I189" s="312"/>
      <c r="J189" s="312"/>
      <c r="K189" s="275" t="str">
        <f>+'Rate Case Constants'!L26</f>
        <v>PAGE 19 of 22</v>
      </c>
      <c r="O189" s="330"/>
      <c r="P189" s="263"/>
      <c r="Q189" s="263"/>
      <c r="R189" s="265"/>
      <c r="S189" s="260"/>
      <c r="T189" s="260"/>
      <c r="U189" s="261"/>
      <c r="V189" s="261"/>
    </row>
    <row r="190" spans="1:22" ht="13.5" thickBot="1" x14ac:dyDescent="0.25">
      <c r="A190" s="342" t="str">
        <f t="shared" si="100"/>
        <v>WORKPAPER REFERENCE NO(S):________</v>
      </c>
      <c r="B190" s="250"/>
      <c r="C190" s="311"/>
      <c r="D190" s="311"/>
      <c r="E190" s="312"/>
      <c r="F190" s="259"/>
      <c r="G190" s="312"/>
      <c r="H190" s="312"/>
      <c r="I190" s="312"/>
      <c r="J190" s="312"/>
      <c r="K190" s="275" t="str">
        <f>+K150</f>
        <v>WITNESS:   R. M. CONROY</v>
      </c>
      <c r="O190" s="330"/>
      <c r="P190" s="263"/>
      <c r="Q190" s="263"/>
      <c r="R190" s="265"/>
      <c r="S190" s="260"/>
      <c r="T190" s="260"/>
      <c r="U190" s="261"/>
      <c r="V190" s="261"/>
    </row>
    <row r="191" spans="1:22" ht="13.5" thickBot="1" x14ac:dyDescent="0.25">
      <c r="A191" s="344"/>
      <c r="B191" s="345"/>
      <c r="C191" s="346"/>
      <c r="D191" s="346"/>
      <c r="E191" s="347"/>
      <c r="F191" s="283"/>
      <c r="G191" s="347"/>
      <c r="H191" s="347"/>
      <c r="I191" s="347"/>
      <c r="J191" s="347"/>
      <c r="K191" s="283"/>
      <c r="O191" s="330"/>
      <c r="P191" s="263"/>
      <c r="Q191" s="263"/>
      <c r="R191" s="265"/>
      <c r="S191" s="260"/>
      <c r="T191" s="260"/>
      <c r="U191" s="261"/>
      <c r="V191" s="261"/>
    </row>
    <row r="192" spans="1:22" ht="13.5" thickBot="1" x14ac:dyDescent="0.25">
      <c r="A192" s="350" t="s">
        <v>97</v>
      </c>
      <c r="B192" s="3" t="s">
        <v>362</v>
      </c>
      <c r="C192" s="26" t="s">
        <v>363</v>
      </c>
      <c r="D192" s="26" t="s">
        <v>364</v>
      </c>
      <c r="E192" s="3" t="s">
        <v>365</v>
      </c>
      <c r="F192" s="3" t="s">
        <v>366</v>
      </c>
      <c r="G192" s="26" t="s">
        <v>367</v>
      </c>
      <c r="H192" s="3" t="s">
        <v>368</v>
      </c>
      <c r="I192" s="3" t="s">
        <v>369</v>
      </c>
      <c r="J192" s="3" t="s">
        <v>370</v>
      </c>
      <c r="K192" s="3" t="s">
        <v>371</v>
      </c>
      <c r="O192" s="330"/>
      <c r="P192" s="263"/>
      <c r="Q192" s="263"/>
      <c r="R192" s="265"/>
      <c r="S192" s="260"/>
      <c r="T192" s="260"/>
      <c r="U192" s="261"/>
      <c r="V192" s="261"/>
    </row>
    <row r="193" spans="1:22" ht="13.5" thickBot="1" x14ac:dyDescent="0.25">
      <c r="A193" s="285"/>
      <c r="B193" s="42"/>
      <c r="C193" s="351" t="s">
        <v>406</v>
      </c>
      <c r="D193" s="351" t="s">
        <v>406</v>
      </c>
      <c r="E193"/>
      <c r="F193"/>
      <c r="G193" s="30"/>
      <c r="H193" s="30"/>
      <c r="I193" s="3" t="s">
        <v>5</v>
      </c>
      <c r="J193" s="3" t="s">
        <v>5</v>
      </c>
      <c r="K193"/>
      <c r="O193" s="330"/>
      <c r="P193" s="263"/>
      <c r="Q193" s="263"/>
      <c r="R193" s="265"/>
      <c r="S193" s="260"/>
      <c r="T193" s="260"/>
      <c r="U193" s="261"/>
      <c r="V193" s="261"/>
    </row>
    <row r="194" spans="1:22" ht="13.5" thickBot="1" x14ac:dyDescent="0.25">
      <c r="A194" s="285"/>
      <c r="B194" s="3" t="s">
        <v>388</v>
      </c>
      <c r="C194" s="3" t="s">
        <v>1</v>
      </c>
      <c r="D194" s="3" t="s">
        <v>75</v>
      </c>
      <c r="E194" s="3"/>
      <c r="F194" s="3"/>
      <c r="G194" s="381" t="s">
        <v>136</v>
      </c>
      <c r="H194" s="381"/>
      <c r="I194" s="3" t="s">
        <v>1</v>
      </c>
      <c r="J194" s="3" t="s">
        <v>75</v>
      </c>
      <c r="K194" s="3"/>
      <c r="O194" s="330"/>
      <c r="P194" s="263"/>
      <c r="Q194" s="263"/>
      <c r="R194" s="265"/>
      <c r="S194" s="260"/>
      <c r="T194" s="260"/>
      <c r="U194" s="261"/>
      <c r="V194" s="261"/>
    </row>
    <row r="195" spans="1:22" ht="13.5" thickBot="1" x14ac:dyDescent="0.25">
      <c r="A195" s="285"/>
      <c r="B195" s="3" t="s">
        <v>20</v>
      </c>
      <c r="C195" s="3" t="s">
        <v>4</v>
      </c>
      <c r="D195" s="3" t="s">
        <v>4</v>
      </c>
      <c r="E195" s="3" t="s">
        <v>76</v>
      </c>
      <c r="F195" s="3" t="s">
        <v>76</v>
      </c>
      <c r="G195" s="51" t="s">
        <v>72</v>
      </c>
      <c r="H195" s="53" t="s">
        <v>73</v>
      </c>
      <c r="I195" s="3" t="s">
        <v>4</v>
      </c>
      <c r="J195" s="3" t="s">
        <v>4</v>
      </c>
      <c r="K195" s="3" t="s">
        <v>76</v>
      </c>
      <c r="O195" s="330"/>
      <c r="P195" s="263"/>
      <c r="Q195" s="263"/>
      <c r="R195" s="265"/>
      <c r="S195" s="260"/>
      <c r="T195" s="260"/>
      <c r="U195" s="261"/>
      <c r="V195" s="261"/>
    </row>
    <row r="196" spans="1:22" ht="13.5" thickBot="1" x14ac:dyDescent="0.25">
      <c r="A196" s="285"/>
      <c r="B196" s="42"/>
      <c r="C196" s="3"/>
      <c r="D196" s="3"/>
      <c r="E196" s="3" t="s">
        <v>70</v>
      </c>
      <c r="F196" s="26" t="s">
        <v>71</v>
      </c>
      <c r="G196" s="52"/>
      <c r="H196" s="55"/>
      <c r="I196" s="3" t="s">
        <v>70</v>
      </c>
      <c r="J196" s="3" t="s">
        <v>70</v>
      </c>
      <c r="K196" s="26" t="s">
        <v>71</v>
      </c>
      <c r="O196" s="330"/>
      <c r="P196" s="263"/>
      <c r="Q196" s="263"/>
      <c r="R196" s="265"/>
      <c r="S196" s="260"/>
      <c r="T196" s="260"/>
      <c r="U196" s="261"/>
      <c r="V196" s="261"/>
    </row>
    <row r="197" spans="1:22" ht="13.5" thickBot="1" x14ac:dyDescent="0.25">
      <c r="A197" s="285"/>
      <c r="B197" s="88"/>
      <c r="C197" s="222"/>
      <c r="D197" s="222"/>
      <c r="E197" s="222" t="str">
        <f>("[ "&amp;D192&amp;" - "&amp;C192&amp;" ]")</f>
        <v>[ C - B ]</v>
      </c>
      <c r="F197" s="222" t="str">
        <f>("[ "&amp;E192&amp;" / "&amp;C192&amp;" ]")</f>
        <v>[ D / B ]</v>
      </c>
      <c r="G197" s="224"/>
      <c r="H197" s="224"/>
      <c r="I197" s="222" t="str">
        <f>("["&amp;C192&amp;"+"&amp;$G$10&amp;"+"&amp;$H$10&amp;"]")</f>
        <v>[B+F+G]</v>
      </c>
      <c r="J197" s="222" t="str">
        <f>("["&amp;D192&amp;"+"&amp;$G$10&amp;"+"&amp;$H$10&amp;"]")</f>
        <v>[C+F+G]</v>
      </c>
      <c r="K197" s="222" t="str">
        <f>("[("&amp;J192&amp;" - "&amp;I192&amp;")"&amp;I192&amp;"]")</f>
        <v>[(I - H)H]</v>
      </c>
      <c r="O197" s="330"/>
      <c r="P197" s="263"/>
      <c r="Q197" s="263"/>
      <c r="R197" s="265"/>
      <c r="S197" s="260"/>
      <c r="T197" s="260"/>
      <c r="U197" s="261"/>
      <c r="V197" s="261"/>
    </row>
    <row r="198" spans="1:22" ht="13.5" thickBot="1" x14ac:dyDescent="0.25">
      <c r="A198" s="267" t="s">
        <v>204</v>
      </c>
      <c r="B198" s="250">
        <f t="shared" si="90"/>
        <v>8.3000000000000004E-2</v>
      </c>
      <c r="C198" s="311">
        <f t="shared" si="91"/>
        <v>19.622861241736434</v>
      </c>
      <c r="D198" s="311">
        <f t="shared" si="92"/>
        <v>20.192861241736434</v>
      </c>
      <c r="E198" s="312">
        <f t="shared" si="93"/>
        <v>0.57000000000000028</v>
      </c>
      <c r="F198" s="259">
        <f t="shared" si="94"/>
        <v>2.8227797595215119E-2</v>
      </c>
      <c r="G198" s="312">
        <f t="shared" si="95"/>
        <v>-2.5153425516108253E-2</v>
      </c>
      <c r="H198" s="312">
        <f t="shared" si="96"/>
        <v>0.26801466725254258</v>
      </c>
      <c r="I198" s="312">
        <f t="shared" si="97"/>
        <v>19.865722483472869</v>
      </c>
      <c r="J198" s="312">
        <f t="shared" si="98"/>
        <v>20.435722483472869</v>
      </c>
      <c r="K198" s="259">
        <f t="shared" si="99"/>
        <v>2.8692638814128573E-2</v>
      </c>
      <c r="N198" s="91">
        <v>280</v>
      </c>
      <c r="O198" s="303" t="s">
        <v>204</v>
      </c>
      <c r="P198" s="263">
        <f>+INPUT!AA97</f>
        <v>19.38</v>
      </c>
      <c r="Q198" s="263">
        <f>+INPUT!AB97</f>
        <v>19.95</v>
      </c>
      <c r="R198" s="265">
        <f>+INPUT!AC97</f>
        <v>8.3000000000000004E-2</v>
      </c>
      <c r="S198" s="260">
        <f>($R198*INPUT!$P$55)*INPUT!$G$59</f>
        <v>-2.5153425516108253E-2</v>
      </c>
      <c r="T198" s="260">
        <f>($R198*INPUT!$P$55)*INPUT!$I$59</f>
        <v>0.26801466725254258</v>
      </c>
      <c r="U198" s="261">
        <f t="shared" ref="U198:U205" si="101">+P198+S198+T198</f>
        <v>19.622861241736434</v>
      </c>
      <c r="V198" s="261">
        <f t="shared" ref="V198:V205" si="102">+Q198+S198+T198</f>
        <v>20.192861241736434</v>
      </c>
    </row>
    <row r="199" spans="1:22" ht="13.5" thickBot="1" x14ac:dyDescent="0.25">
      <c r="A199" s="267" t="s">
        <v>205</v>
      </c>
      <c r="B199" s="250">
        <f t="shared" si="90"/>
        <v>0.11700000000000001</v>
      </c>
      <c r="C199" s="311">
        <f t="shared" si="91"/>
        <v>20.692346569676662</v>
      </c>
      <c r="D199" s="311">
        <f t="shared" si="92"/>
        <v>21.29234656967666</v>
      </c>
      <c r="E199" s="312">
        <f t="shared" si="93"/>
        <v>0.59999999999999787</v>
      </c>
      <c r="F199" s="259">
        <f t="shared" si="94"/>
        <v>2.8179139299492874E-2</v>
      </c>
      <c r="G199" s="312">
        <f t="shared" si="95"/>
        <v>-3.5457238378128503E-2</v>
      </c>
      <c r="H199" s="312">
        <f t="shared" si="96"/>
        <v>0.37780380805478897</v>
      </c>
      <c r="I199" s="312">
        <f t="shared" si="97"/>
        <v>21.034693139353323</v>
      </c>
      <c r="J199" s="312">
        <f t="shared" si="98"/>
        <v>21.63469313935332</v>
      </c>
      <c r="K199" s="259">
        <f t="shared" si="99"/>
        <v>2.8524304872195719E-2</v>
      </c>
      <c r="N199" s="91">
        <v>281</v>
      </c>
      <c r="O199" s="303" t="s">
        <v>205</v>
      </c>
      <c r="P199" s="263">
        <f>+INPUT!AA98</f>
        <v>20.350000000000001</v>
      </c>
      <c r="Q199" s="263">
        <f>+INPUT!AB98</f>
        <v>20.95</v>
      </c>
      <c r="R199" s="265">
        <f>+INPUT!AC98</f>
        <v>0.11700000000000001</v>
      </c>
      <c r="S199" s="260">
        <f>($R199*INPUT!$P$55)*INPUT!$G$59</f>
        <v>-3.5457238378128503E-2</v>
      </c>
      <c r="T199" s="260">
        <f>($R199*INPUT!$P$55)*INPUT!$I$59</f>
        <v>0.37780380805478897</v>
      </c>
      <c r="U199" s="261">
        <f t="shared" si="101"/>
        <v>20.692346569676662</v>
      </c>
      <c r="V199" s="261">
        <f t="shared" si="102"/>
        <v>21.29234656967666</v>
      </c>
    </row>
    <row r="200" spans="1:22" ht="13.5" thickBot="1" x14ac:dyDescent="0.25">
      <c r="A200" s="267" t="s">
        <v>206</v>
      </c>
      <c r="B200" s="250">
        <f t="shared" si="90"/>
        <v>8.3000000000000004E-2</v>
      </c>
      <c r="C200" s="311">
        <f t="shared" si="91"/>
        <v>19.772861241736436</v>
      </c>
      <c r="D200" s="311">
        <f t="shared" si="92"/>
        <v>20.352861241736434</v>
      </c>
      <c r="E200" s="312">
        <f t="shared" si="93"/>
        <v>0.57999999999999829</v>
      </c>
      <c r="F200" s="259">
        <f t="shared" si="94"/>
        <v>2.8497221747408461E-2</v>
      </c>
      <c r="G200" s="312">
        <f t="shared" si="95"/>
        <v>-2.5153425516108253E-2</v>
      </c>
      <c r="H200" s="312">
        <f t="shared" si="96"/>
        <v>0.26801466725254258</v>
      </c>
      <c r="I200" s="312">
        <f t="shared" si="97"/>
        <v>20.015722483472871</v>
      </c>
      <c r="J200" s="312">
        <f t="shared" si="98"/>
        <v>20.595722483472869</v>
      </c>
      <c r="K200" s="259">
        <f t="shared" si="99"/>
        <v>2.8977220306631878E-2</v>
      </c>
      <c r="N200" s="91">
        <v>282</v>
      </c>
      <c r="O200" s="303" t="s">
        <v>206</v>
      </c>
      <c r="P200" s="263">
        <f>+INPUT!AA99</f>
        <v>19.53</v>
      </c>
      <c r="Q200" s="263">
        <f>+INPUT!AB99</f>
        <v>20.11</v>
      </c>
      <c r="R200" s="265">
        <f>+INPUT!AC99</f>
        <v>8.3000000000000004E-2</v>
      </c>
      <c r="S200" s="260">
        <f>($R200*INPUT!$P$55)*INPUT!$G$59</f>
        <v>-2.5153425516108253E-2</v>
      </c>
      <c r="T200" s="260">
        <f>($R200*INPUT!$P$55)*INPUT!$I$59</f>
        <v>0.26801466725254258</v>
      </c>
      <c r="U200" s="261">
        <f t="shared" si="101"/>
        <v>19.772861241736436</v>
      </c>
      <c r="V200" s="261">
        <f t="shared" si="102"/>
        <v>20.352861241736434</v>
      </c>
    </row>
    <row r="201" spans="1:22" ht="13.5" thickBot="1" x14ac:dyDescent="0.25">
      <c r="A201" s="267" t="s">
        <v>207</v>
      </c>
      <c r="B201" s="250">
        <f t="shared" si="90"/>
        <v>0.11700000000000001</v>
      </c>
      <c r="C201" s="311">
        <f t="shared" si="91"/>
        <v>21.162346569676661</v>
      </c>
      <c r="D201" s="311">
        <f t="shared" si="92"/>
        <v>21.77234656967666</v>
      </c>
      <c r="E201" s="312">
        <f t="shared" si="93"/>
        <v>0.60999999999999943</v>
      </c>
      <c r="F201" s="259">
        <f t="shared" si="94"/>
        <v>2.8017191350865885E-2</v>
      </c>
      <c r="G201" s="312">
        <f t="shared" si="95"/>
        <v>-3.5457238378128503E-2</v>
      </c>
      <c r="H201" s="312">
        <f t="shared" si="96"/>
        <v>0.37780380805478897</v>
      </c>
      <c r="I201" s="312">
        <f t="shared" si="97"/>
        <v>21.504693139353321</v>
      </c>
      <c r="J201" s="312">
        <f t="shared" si="98"/>
        <v>22.114693139353321</v>
      </c>
      <c r="K201" s="259">
        <f t="shared" si="99"/>
        <v>2.8365901156883144E-2</v>
      </c>
      <c r="N201" s="91">
        <v>283</v>
      </c>
      <c r="O201" s="303" t="s">
        <v>207</v>
      </c>
      <c r="P201" s="263">
        <f>+INPUT!AA100</f>
        <v>20.82</v>
      </c>
      <c r="Q201" s="263">
        <f>+INPUT!AB100</f>
        <v>21.43</v>
      </c>
      <c r="R201" s="265">
        <f>+INPUT!AC100</f>
        <v>0.11700000000000001</v>
      </c>
      <c r="S201" s="260">
        <f>($R201*INPUT!$P$55)*INPUT!$G$59</f>
        <v>-3.5457238378128503E-2</v>
      </c>
      <c r="T201" s="260">
        <f>($R201*INPUT!$P$55)*INPUT!$I$59</f>
        <v>0.37780380805478897</v>
      </c>
      <c r="U201" s="261">
        <f t="shared" si="101"/>
        <v>21.162346569676661</v>
      </c>
      <c r="V201" s="261">
        <f t="shared" si="102"/>
        <v>21.77234656967666</v>
      </c>
    </row>
    <row r="202" spans="1:22" ht="13.5" thickBot="1" x14ac:dyDescent="0.25">
      <c r="A202" s="267" t="s">
        <v>208</v>
      </c>
      <c r="B202" s="250">
        <f t="shared" si="90"/>
        <v>8.3000000000000004E-2</v>
      </c>
      <c r="C202" s="311">
        <f t="shared" si="91"/>
        <v>33.462861241736434</v>
      </c>
      <c r="D202" s="311">
        <f t="shared" si="92"/>
        <v>34.442861241736438</v>
      </c>
      <c r="E202" s="312">
        <f t="shared" si="93"/>
        <v>0.98000000000000398</v>
      </c>
      <c r="F202" s="259">
        <f t="shared" si="94"/>
        <v>2.8452920711839132E-2</v>
      </c>
      <c r="G202" s="312">
        <f t="shared" si="95"/>
        <v>-2.5153425516108253E-2</v>
      </c>
      <c r="H202" s="312">
        <f t="shared" si="96"/>
        <v>0.26801466725254258</v>
      </c>
      <c r="I202" s="312">
        <f t="shared" si="97"/>
        <v>33.705722483472869</v>
      </c>
      <c r="J202" s="312">
        <f t="shared" si="98"/>
        <v>34.685722483472873</v>
      </c>
      <c r="K202" s="259">
        <f t="shared" si="99"/>
        <v>2.9075181535732793E-2</v>
      </c>
      <c r="N202" s="91">
        <v>426</v>
      </c>
      <c r="O202" s="303" t="s">
        <v>208</v>
      </c>
      <c r="P202" s="263">
        <f>+INPUT!AA101</f>
        <v>33.22</v>
      </c>
      <c r="Q202" s="263">
        <f>+INPUT!AB101</f>
        <v>34.200000000000003</v>
      </c>
      <c r="R202" s="265">
        <f>+INPUT!AC101</f>
        <v>8.3000000000000004E-2</v>
      </c>
      <c r="S202" s="260">
        <f>($R202*INPUT!$P$55)*INPUT!$G$59</f>
        <v>-2.5153425516108253E-2</v>
      </c>
      <c r="T202" s="260">
        <f>($R202*INPUT!$P$55)*INPUT!$I$59</f>
        <v>0.26801466725254258</v>
      </c>
      <c r="U202" s="261">
        <f t="shared" si="101"/>
        <v>33.462861241736434</v>
      </c>
      <c r="V202" s="261">
        <f t="shared" si="102"/>
        <v>34.442861241736438</v>
      </c>
    </row>
    <row r="203" spans="1:22" ht="13.5" thickBot="1" x14ac:dyDescent="0.25">
      <c r="A203" s="267" t="s">
        <v>209</v>
      </c>
      <c r="B203" s="250">
        <f t="shared" si="90"/>
        <v>0.11</v>
      </c>
      <c r="C203" s="311">
        <f t="shared" si="91"/>
        <v>34.411864296277209</v>
      </c>
      <c r="D203" s="311">
        <f t="shared" si="92"/>
        <v>35.421864296277207</v>
      </c>
      <c r="E203" s="312">
        <f t="shared" si="93"/>
        <v>1.009999999999998</v>
      </c>
      <c r="F203" s="259">
        <f t="shared" si="94"/>
        <v>2.851346251998791E-2</v>
      </c>
      <c r="G203" s="312">
        <f t="shared" si="95"/>
        <v>-3.3335865141830213E-2</v>
      </c>
      <c r="H203" s="312">
        <f t="shared" si="96"/>
        <v>0.35520016141903232</v>
      </c>
      <c r="I203" s="312">
        <f t="shared" si="97"/>
        <v>34.733728592554414</v>
      </c>
      <c r="J203" s="312">
        <f t="shared" si="98"/>
        <v>35.743728592554412</v>
      </c>
      <c r="K203" s="259">
        <f t="shared" si="99"/>
        <v>2.9078363910994096E-2</v>
      </c>
      <c r="N203" s="91">
        <v>428</v>
      </c>
      <c r="O203" s="303" t="s">
        <v>209</v>
      </c>
      <c r="P203" s="263">
        <f>+INPUT!AA102</f>
        <v>34.090000000000003</v>
      </c>
      <c r="Q203" s="263">
        <f>+INPUT!AB102</f>
        <v>35.1</v>
      </c>
      <c r="R203" s="265">
        <f>+INPUT!AC102</f>
        <v>0.11</v>
      </c>
      <c r="S203" s="260">
        <f>($R203*INPUT!$P$55)*INPUT!$G$59</f>
        <v>-3.3335865141830213E-2</v>
      </c>
      <c r="T203" s="260">
        <f>($R203*INPUT!$P$55)*INPUT!$I$59</f>
        <v>0.35520016141903232</v>
      </c>
      <c r="U203" s="261">
        <f t="shared" si="101"/>
        <v>34.411864296277209</v>
      </c>
      <c r="V203" s="261">
        <f t="shared" si="102"/>
        <v>35.421864296277207</v>
      </c>
    </row>
    <row r="204" spans="1:22" ht="13.5" thickBot="1" x14ac:dyDescent="0.25">
      <c r="A204" s="267" t="s">
        <v>210</v>
      </c>
      <c r="B204" s="250">
        <f t="shared" si="90"/>
        <v>8.3000000000000004E-2</v>
      </c>
      <c r="C204" s="311">
        <f t="shared" si="91"/>
        <v>32.502861241736433</v>
      </c>
      <c r="D204" s="311">
        <f t="shared" si="92"/>
        <v>33.452861241736436</v>
      </c>
      <c r="E204" s="312">
        <f t="shared" si="93"/>
        <v>0.95000000000000284</v>
      </c>
      <c r="F204" s="259">
        <f t="shared" si="94"/>
        <v>2.8398168788467171E-2</v>
      </c>
      <c r="G204" s="312">
        <f t="shared" si="95"/>
        <v>-2.5153425516108253E-2</v>
      </c>
      <c r="H204" s="312">
        <f t="shared" si="96"/>
        <v>0.26801466725254258</v>
      </c>
      <c r="I204" s="312">
        <f t="shared" si="97"/>
        <v>32.745722483472868</v>
      </c>
      <c r="J204" s="312">
        <f t="shared" si="98"/>
        <v>33.695722483472871</v>
      </c>
      <c r="K204" s="259">
        <f t="shared" si="99"/>
        <v>2.9011422804290803E-2</v>
      </c>
      <c r="N204" s="91">
        <v>430</v>
      </c>
      <c r="O204" s="303" t="s">
        <v>210</v>
      </c>
      <c r="P204" s="263">
        <f>+INPUT!AA103</f>
        <v>32.26</v>
      </c>
      <c r="Q204" s="263">
        <f>+INPUT!AB103</f>
        <v>33.21</v>
      </c>
      <c r="R204" s="265">
        <f>+INPUT!AC103</f>
        <v>8.3000000000000004E-2</v>
      </c>
      <c r="S204" s="260">
        <f>($R204*INPUT!$P$55)*INPUT!$G$59</f>
        <v>-2.5153425516108253E-2</v>
      </c>
      <c r="T204" s="260">
        <f>($R204*INPUT!$P$55)*INPUT!$I$59</f>
        <v>0.26801466725254258</v>
      </c>
      <c r="U204" s="261">
        <f t="shared" si="101"/>
        <v>32.502861241736433</v>
      </c>
      <c r="V204" s="261">
        <f t="shared" si="102"/>
        <v>33.452861241736436</v>
      </c>
    </row>
    <row r="205" spans="1:22" ht="13.5" thickBot="1" x14ac:dyDescent="0.25">
      <c r="A205" s="267" t="s">
        <v>211</v>
      </c>
      <c r="B205" s="250">
        <f t="shared" si="90"/>
        <v>0.11700000000000001</v>
      </c>
      <c r="C205" s="311">
        <f>+U205</f>
        <v>34.672346569676655</v>
      </c>
      <c r="D205" s="311">
        <f>+V205</f>
        <v>35.68234656967666</v>
      </c>
      <c r="E205" s="312">
        <f>+D205-C205</f>
        <v>1.0100000000000051</v>
      </c>
      <c r="F205" s="259">
        <f>+E205/D205</f>
        <v>2.8305313329878276E-2</v>
      </c>
      <c r="G205" s="312">
        <f>+S205</f>
        <v>-3.5457238378128503E-2</v>
      </c>
      <c r="H205" s="312">
        <f>+T205</f>
        <v>0.37780380805478897</v>
      </c>
      <c r="I205" s="312">
        <f>+C205+G205+H205</f>
        <v>35.014693139353312</v>
      </c>
      <c r="J205" s="312">
        <f>+D205+G205+H205</f>
        <v>36.024693139353317</v>
      </c>
      <c r="K205" s="259">
        <f>(J205-I205)/I205</f>
        <v>2.8845033597191733E-2</v>
      </c>
      <c r="N205" s="91">
        <v>432</v>
      </c>
      <c r="O205" s="303" t="s">
        <v>211</v>
      </c>
      <c r="P205" s="263">
        <f>+INPUT!AA104</f>
        <v>34.33</v>
      </c>
      <c r="Q205" s="263">
        <f>+INPUT!AB104</f>
        <v>35.340000000000003</v>
      </c>
      <c r="R205" s="265">
        <f>+INPUT!AC104</f>
        <v>0.11700000000000001</v>
      </c>
      <c r="S205" s="260">
        <f>($R205*INPUT!$P$55)*INPUT!$G$59</f>
        <v>-3.5457238378128503E-2</v>
      </c>
      <c r="T205" s="260">
        <f>($R205*INPUT!$P$55)*INPUT!$I$59</f>
        <v>0.37780380805478897</v>
      </c>
      <c r="U205" s="261">
        <f t="shared" si="101"/>
        <v>34.672346569676655</v>
      </c>
      <c r="V205" s="261">
        <f t="shared" si="102"/>
        <v>35.68234656967666</v>
      </c>
    </row>
    <row r="206" spans="1:22" ht="6.75" customHeight="1" thickBot="1" x14ac:dyDescent="0.25">
      <c r="A206" s="277"/>
      <c r="B206" s="305"/>
      <c r="C206" s="311"/>
      <c r="D206" s="312"/>
      <c r="E206" s="312"/>
      <c r="F206" s="258"/>
      <c r="G206" s="313"/>
      <c r="H206" s="312"/>
      <c r="I206" s="312"/>
      <c r="J206" s="312"/>
      <c r="K206" s="259"/>
      <c r="N206" s="91" t="s">
        <v>155</v>
      </c>
      <c r="O206" s="306"/>
      <c r="P206" s="263"/>
      <c r="Q206" s="263"/>
      <c r="R206" s="265"/>
      <c r="S206" s="260"/>
      <c r="T206" s="260"/>
      <c r="U206" s="261"/>
      <c r="V206" s="261"/>
    </row>
    <row r="207" spans="1:22" ht="13.5" thickBot="1" x14ac:dyDescent="0.25">
      <c r="A207" s="267" t="s">
        <v>102</v>
      </c>
      <c r="B207" s="288"/>
      <c r="C207" s="311"/>
      <c r="D207" s="312"/>
      <c r="E207" s="312"/>
      <c r="G207" s="313"/>
      <c r="H207" s="312"/>
      <c r="I207" s="312"/>
      <c r="J207" s="312"/>
      <c r="K207" s="259"/>
      <c r="O207" s="307" t="s">
        <v>102</v>
      </c>
      <c r="P207" s="263"/>
      <c r="Q207" s="263"/>
      <c r="R207" s="265"/>
    </row>
    <row r="208" spans="1:22" ht="13.5" thickBot="1" x14ac:dyDescent="0.25">
      <c r="A208" s="267" t="s">
        <v>212</v>
      </c>
      <c r="B208" s="250">
        <f t="shared" ref="B208:B213" si="103">+R208</f>
        <v>0.21</v>
      </c>
      <c r="C208" s="311">
        <f t="shared" ref="C208:C213" si="104">+U208</f>
        <v>18.034468201983753</v>
      </c>
      <c r="D208" s="311">
        <f t="shared" ref="D208:D213" si="105">+V208</f>
        <v>18.544468201983751</v>
      </c>
      <c r="E208" s="312">
        <f t="shared" ref="E208:E213" si="106">+D208-C208</f>
        <v>0.50999999999999801</v>
      </c>
      <c r="F208" s="259">
        <f t="shared" ref="F208:F213" si="107">+E208/D208</f>
        <v>2.7501462670438938E-2</v>
      </c>
      <c r="G208" s="312">
        <f t="shared" ref="G208:G213" si="108">+S208</f>
        <v>-6.3641197088948595E-2</v>
      </c>
      <c r="H208" s="312">
        <f t="shared" ref="H208:H213" si="109">+T208</f>
        <v>0.67810939907269807</v>
      </c>
      <c r="I208" s="312">
        <f t="shared" ref="I208:I213" si="110">+C208+G208+H208</f>
        <v>18.648936403967504</v>
      </c>
      <c r="J208" s="312">
        <f t="shared" ref="J208:J213" si="111">+D208+G208+H208</f>
        <v>19.158936403967502</v>
      </c>
      <c r="K208" s="259">
        <f t="shared" ref="K208:K213" si="112">(J208-I208)/I208</f>
        <v>2.7347404106729492E-2</v>
      </c>
      <c r="N208" s="91">
        <v>318</v>
      </c>
      <c r="O208" s="302" t="s">
        <v>212</v>
      </c>
      <c r="P208" s="263">
        <f>+INPUT!AA107</f>
        <v>17.420000000000002</v>
      </c>
      <c r="Q208" s="263">
        <f>+INPUT!AB107</f>
        <v>17.93</v>
      </c>
      <c r="R208" s="265">
        <f>+INPUT!AC107</f>
        <v>0.21</v>
      </c>
      <c r="S208" s="260">
        <f>($R208*INPUT!$P$55)*INPUT!$G$59</f>
        <v>-6.3641197088948595E-2</v>
      </c>
      <c r="T208" s="260">
        <f>($R208*INPUT!$P$55)*INPUT!$I$59</f>
        <v>0.67810939907269807</v>
      </c>
      <c r="U208" s="261">
        <f t="shared" ref="U208:U213" si="113">+P208+S208+T208</f>
        <v>18.034468201983753</v>
      </c>
      <c r="V208" s="261">
        <f t="shared" ref="V208:V213" si="114">+Q208+S208+T208</f>
        <v>18.544468201983751</v>
      </c>
    </row>
    <row r="209" spans="1:22" ht="13.5" thickBot="1" x14ac:dyDescent="0.25">
      <c r="A209" s="267" t="s">
        <v>213</v>
      </c>
      <c r="B209" s="250">
        <f t="shared" si="103"/>
        <v>0.29799999999999999</v>
      </c>
      <c r="C209" s="311">
        <f t="shared" si="104"/>
        <v>20.07195963900551</v>
      </c>
      <c r="D209" s="311">
        <f t="shared" si="105"/>
        <v>20.64195963900551</v>
      </c>
      <c r="E209" s="312">
        <f t="shared" si="106"/>
        <v>0.57000000000000028</v>
      </c>
      <c r="F209" s="259">
        <f t="shared" si="107"/>
        <v>2.7613657325582377E-2</v>
      </c>
      <c r="G209" s="312">
        <f t="shared" si="108"/>
        <v>-9.0309889202412758E-2</v>
      </c>
      <c r="H209" s="312">
        <f t="shared" si="109"/>
        <v>0.962269528207924</v>
      </c>
      <c r="I209" s="312">
        <f t="shared" si="110"/>
        <v>20.94391927801102</v>
      </c>
      <c r="J209" s="312">
        <f t="shared" si="111"/>
        <v>21.51391927801102</v>
      </c>
      <c r="K209" s="259">
        <f t="shared" si="112"/>
        <v>2.7215536520828847E-2</v>
      </c>
      <c r="N209" s="91">
        <v>314</v>
      </c>
      <c r="O209" s="303" t="s">
        <v>213</v>
      </c>
      <c r="P209" s="263">
        <f>+INPUT!AA108</f>
        <v>19.2</v>
      </c>
      <c r="Q209" s="263">
        <f>+INPUT!AB108</f>
        <v>19.77</v>
      </c>
      <c r="R209" s="265">
        <f>+INPUT!AC108</f>
        <v>0.29799999999999999</v>
      </c>
      <c r="S209" s="260">
        <f>($R209*INPUT!$P$55)*INPUT!$G$59</f>
        <v>-9.0309889202412758E-2</v>
      </c>
      <c r="T209" s="260">
        <f>($R209*INPUT!$P$55)*INPUT!$I$59</f>
        <v>0.962269528207924</v>
      </c>
      <c r="U209" s="261">
        <f t="shared" si="113"/>
        <v>20.07195963900551</v>
      </c>
      <c r="V209" s="261">
        <f t="shared" si="114"/>
        <v>20.64195963900551</v>
      </c>
    </row>
    <row r="210" spans="1:22" ht="13.5" thickBot="1" x14ac:dyDescent="0.25">
      <c r="A210" s="267" t="s">
        <v>214</v>
      </c>
      <c r="B210" s="250">
        <f t="shared" si="103"/>
        <v>0.46200000000000002</v>
      </c>
      <c r="C210" s="311">
        <f t="shared" si="104"/>
        <v>24.301830044364248</v>
      </c>
      <c r="D210" s="311">
        <f t="shared" si="105"/>
        <v>24.981830044364248</v>
      </c>
      <c r="E210" s="312">
        <f t="shared" si="106"/>
        <v>0.67999999999999972</v>
      </c>
      <c r="F210" s="259">
        <f t="shared" si="107"/>
        <v>2.7219783290191892E-2</v>
      </c>
      <c r="G210" s="312">
        <f t="shared" si="108"/>
        <v>-0.14001063359568691</v>
      </c>
      <c r="H210" s="312">
        <f t="shared" si="109"/>
        <v>1.491840677959936</v>
      </c>
      <c r="I210" s="312">
        <f t="shared" si="110"/>
        <v>25.653660088728497</v>
      </c>
      <c r="J210" s="312">
        <f t="shared" si="111"/>
        <v>26.333660088728497</v>
      </c>
      <c r="K210" s="259">
        <f t="shared" si="112"/>
        <v>2.6506938879211732E-2</v>
      </c>
      <c r="N210" s="91">
        <v>315</v>
      </c>
      <c r="O210" s="303" t="s">
        <v>214</v>
      </c>
      <c r="P210" s="263">
        <f>+INPUT!AA109</f>
        <v>22.95</v>
      </c>
      <c r="Q210" s="263">
        <f>+INPUT!AB109</f>
        <v>23.63</v>
      </c>
      <c r="R210" s="265">
        <f>+INPUT!AC109</f>
        <v>0.46200000000000002</v>
      </c>
      <c r="S210" s="260">
        <f>($R210*INPUT!$P$55)*INPUT!$G$59</f>
        <v>-0.14001063359568691</v>
      </c>
      <c r="T210" s="260">
        <f>($R210*INPUT!$P$55)*INPUT!$I$59</f>
        <v>1.491840677959936</v>
      </c>
      <c r="U210" s="261">
        <f t="shared" si="113"/>
        <v>24.301830044364248</v>
      </c>
      <c r="V210" s="261">
        <f t="shared" si="114"/>
        <v>24.981830044364248</v>
      </c>
    </row>
    <row r="211" spans="1:22" ht="13.5" thickBot="1" x14ac:dyDescent="0.25">
      <c r="A211" s="267" t="s">
        <v>215</v>
      </c>
      <c r="B211" s="250">
        <f t="shared" si="103"/>
        <v>0.46200000000000002</v>
      </c>
      <c r="C211" s="311">
        <f t="shared" si="104"/>
        <v>24.29183004436425</v>
      </c>
      <c r="D211" s="311">
        <f t="shared" si="105"/>
        <v>24.97183004436425</v>
      </c>
      <c r="E211" s="312">
        <f t="shared" si="106"/>
        <v>0.67999999999999972</v>
      </c>
      <c r="F211" s="259">
        <f t="shared" si="107"/>
        <v>2.7230683485829067E-2</v>
      </c>
      <c r="G211" s="312">
        <f t="shared" si="108"/>
        <v>-0.14001063359568691</v>
      </c>
      <c r="H211" s="312">
        <f t="shared" si="109"/>
        <v>1.491840677959936</v>
      </c>
      <c r="I211" s="312">
        <f t="shared" si="110"/>
        <v>25.643660088728499</v>
      </c>
      <c r="J211" s="312">
        <f t="shared" si="111"/>
        <v>26.323660088728499</v>
      </c>
      <c r="K211" s="259">
        <f t="shared" si="112"/>
        <v>2.6517275523352035E-2</v>
      </c>
      <c r="N211" s="91">
        <v>347</v>
      </c>
      <c r="O211" s="303" t="s">
        <v>215</v>
      </c>
      <c r="P211" s="263">
        <f>+INPUT!AA110</f>
        <v>22.94</v>
      </c>
      <c r="Q211" s="263">
        <f>+INPUT!AB110</f>
        <v>23.62</v>
      </c>
      <c r="R211" s="265">
        <f>+INPUT!AC110</f>
        <v>0.46200000000000002</v>
      </c>
      <c r="S211" s="260">
        <f>($R211*INPUT!$P$55)*INPUT!$G$59</f>
        <v>-0.14001063359568691</v>
      </c>
      <c r="T211" s="260">
        <f>($R211*INPUT!$P$55)*INPUT!$I$59</f>
        <v>1.491840677959936</v>
      </c>
      <c r="U211" s="261">
        <f t="shared" si="113"/>
        <v>24.29183004436425</v>
      </c>
      <c r="V211" s="261">
        <f t="shared" si="114"/>
        <v>24.97183004436425</v>
      </c>
    </row>
    <row r="212" spans="1:22" ht="13.5" thickBot="1" x14ac:dyDescent="0.25">
      <c r="A212" s="267" t="s">
        <v>216</v>
      </c>
      <c r="B212" s="250">
        <f t="shared" si="103"/>
        <v>0.1</v>
      </c>
      <c r="C212" s="311">
        <f t="shared" si="104"/>
        <v>12.742603905706547</v>
      </c>
      <c r="D212" s="311">
        <f t="shared" si="105"/>
        <v>13.112603905706548</v>
      </c>
      <c r="E212" s="312">
        <f t="shared" si="106"/>
        <v>0.37000000000000099</v>
      </c>
      <c r="F212" s="259">
        <f t="shared" si="107"/>
        <v>2.8217126259642344E-2</v>
      </c>
      <c r="G212" s="312">
        <f t="shared" si="108"/>
        <v>-3.0305331947118378E-2</v>
      </c>
      <c r="H212" s="312">
        <f t="shared" si="109"/>
        <v>0.3229092376536658</v>
      </c>
      <c r="I212" s="312">
        <f t="shared" si="110"/>
        <v>13.035207811413095</v>
      </c>
      <c r="J212" s="312">
        <f t="shared" si="111"/>
        <v>13.405207811413096</v>
      </c>
      <c r="K212" s="259">
        <f t="shared" si="112"/>
        <v>2.8384664468183173E-2</v>
      </c>
      <c r="N212" s="91">
        <v>206</v>
      </c>
      <c r="O212" s="303" t="s">
        <v>216</v>
      </c>
      <c r="P212" s="263">
        <f>+INPUT!AA111</f>
        <v>12.45</v>
      </c>
      <c r="Q212" s="263">
        <f>+INPUT!AB111</f>
        <v>12.82</v>
      </c>
      <c r="R212" s="265">
        <f>+INPUT!AC111</f>
        <v>0.1</v>
      </c>
      <c r="S212" s="260">
        <f>($R212*INPUT!$P$55)*INPUT!$G$59</f>
        <v>-3.0305331947118378E-2</v>
      </c>
      <c r="T212" s="260">
        <f>($R212*INPUT!$P$55)*INPUT!$I$59</f>
        <v>0.3229092376536658</v>
      </c>
      <c r="U212" s="261">
        <f t="shared" si="113"/>
        <v>12.742603905706547</v>
      </c>
      <c r="V212" s="261">
        <f t="shared" si="114"/>
        <v>13.112603905706548</v>
      </c>
    </row>
    <row r="213" spans="1:22" ht="13.5" thickBot="1" x14ac:dyDescent="0.25">
      <c r="A213" s="267" t="s">
        <v>217</v>
      </c>
      <c r="B213" s="250">
        <f t="shared" si="103"/>
        <v>0.21</v>
      </c>
      <c r="C213" s="311">
        <f t="shared" si="104"/>
        <v>14.85446820198375</v>
      </c>
      <c r="D213" s="311">
        <f t="shared" si="105"/>
        <v>15.274468201983749</v>
      </c>
      <c r="E213" s="312">
        <f t="shared" si="106"/>
        <v>0.41999999999999993</v>
      </c>
      <c r="F213" s="259">
        <f t="shared" si="107"/>
        <v>2.7496865648353835E-2</v>
      </c>
      <c r="G213" s="312">
        <f t="shared" si="108"/>
        <v>-6.3641197088948595E-2</v>
      </c>
      <c r="H213" s="312">
        <f t="shared" si="109"/>
        <v>0.67810939907269807</v>
      </c>
      <c r="I213" s="312">
        <f t="shared" si="110"/>
        <v>15.468936403967499</v>
      </c>
      <c r="J213" s="312">
        <f t="shared" si="111"/>
        <v>15.888936403967499</v>
      </c>
      <c r="K213" s="259">
        <f t="shared" si="112"/>
        <v>2.7151187969993697E-2</v>
      </c>
      <c r="N213" s="91">
        <v>208</v>
      </c>
      <c r="O213" s="303" t="s">
        <v>217</v>
      </c>
      <c r="P213" s="263">
        <f>+INPUT!AA112</f>
        <v>14.24</v>
      </c>
      <c r="Q213" s="263">
        <f>+INPUT!AB112</f>
        <v>14.66</v>
      </c>
      <c r="R213" s="265">
        <f>+INPUT!AC112</f>
        <v>0.21</v>
      </c>
      <c r="S213" s="260">
        <f>($R213*INPUT!$P$55)*INPUT!$G$59</f>
        <v>-6.3641197088948595E-2</v>
      </c>
      <c r="T213" s="260">
        <f>($R213*INPUT!$P$55)*INPUT!$I$59</f>
        <v>0.67810939907269807</v>
      </c>
      <c r="U213" s="261">
        <f t="shared" si="113"/>
        <v>14.85446820198375</v>
      </c>
      <c r="V213" s="261">
        <f t="shared" si="114"/>
        <v>15.274468201983749</v>
      </c>
    </row>
    <row r="214" spans="1:22" ht="6.75" customHeight="1" thickBot="1" x14ac:dyDescent="0.25">
      <c r="A214" s="277"/>
      <c r="B214" s="305"/>
      <c r="C214" s="311"/>
      <c r="D214" s="312"/>
      <c r="E214" s="312"/>
      <c r="G214" s="313"/>
      <c r="H214" s="312"/>
      <c r="I214" s="312"/>
      <c r="J214" s="312"/>
      <c r="K214" s="259"/>
      <c r="N214" s="91" t="s">
        <v>155</v>
      </c>
      <c r="O214" s="306"/>
      <c r="P214" s="263"/>
      <c r="Q214" s="263"/>
      <c r="R214" s="265"/>
    </row>
    <row r="215" spans="1:22" ht="13.5" thickBot="1" x14ac:dyDescent="0.25">
      <c r="A215" s="251" t="s">
        <v>103</v>
      </c>
      <c r="B215" s="291"/>
      <c r="C215" s="311"/>
      <c r="D215" s="312"/>
      <c r="E215" s="312"/>
      <c r="G215" s="313"/>
      <c r="H215" s="312"/>
      <c r="I215" s="312"/>
      <c r="J215" s="312"/>
      <c r="K215" s="259"/>
      <c r="O215" s="304" t="s">
        <v>103</v>
      </c>
      <c r="P215" s="263"/>
      <c r="Q215" s="263"/>
      <c r="R215" s="265"/>
    </row>
    <row r="216" spans="1:22" ht="14.25" customHeight="1" thickBot="1" x14ac:dyDescent="0.25">
      <c r="A216" s="267" t="s">
        <v>218</v>
      </c>
      <c r="B216" s="250">
        <f t="shared" ref="B216:B217" si="115">+R216</f>
        <v>0.10199999999999999</v>
      </c>
      <c r="C216" s="311">
        <f t="shared" ref="C216:C217" si="116">+U216</f>
        <v>9.3184559838206766</v>
      </c>
      <c r="D216" s="311">
        <f t="shared" ref="D216:D217" si="117">+V216</f>
        <v>9.5884559838206762</v>
      </c>
      <c r="E216" s="312">
        <f t="shared" ref="E216:E217" si="118">+D216-C216</f>
        <v>0.26999999999999957</v>
      </c>
      <c r="F216" s="259">
        <f t="shared" ref="F216:F217" si="119">+E216/D216</f>
        <v>2.8158861077903566E-2</v>
      </c>
      <c r="G216" s="312">
        <f t="shared" ref="G216:G217" si="120">+S216</f>
        <v>-3.0911438586060738E-2</v>
      </c>
      <c r="H216" s="312">
        <f t="shared" ref="H216:H217" si="121">+T216</f>
        <v>0.329367422406739</v>
      </c>
      <c r="I216" s="312">
        <f t="shared" ref="I216:I217" si="122">+C216+G216+H216</f>
        <v>9.6169119676413537</v>
      </c>
      <c r="J216" s="312">
        <f t="shared" ref="J216:J217" si="123">+D216+G216+H216</f>
        <v>9.8869119676413533</v>
      </c>
      <c r="K216" s="259">
        <f t="shared" ref="K216:K217" si="124">(J216-I216)/I216</f>
        <v>2.8075540351048867E-2</v>
      </c>
      <c r="N216" s="91">
        <v>349</v>
      </c>
      <c r="O216" s="307" t="s">
        <v>218</v>
      </c>
      <c r="P216" s="263">
        <f>+INPUT!AA115</f>
        <v>9.02</v>
      </c>
      <c r="Q216" s="263">
        <f>+INPUT!AB115</f>
        <v>9.2899999999999991</v>
      </c>
      <c r="R216" s="265">
        <f>+INPUT!AC115</f>
        <v>0.10199999999999999</v>
      </c>
      <c r="S216" s="260">
        <f>($R216*INPUT!$P$55)*INPUT!$G$59</f>
        <v>-3.0911438586060738E-2</v>
      </c>
      <c r="T216" s="260">
        <f>($R216*INPUT!$P$55)*INPUT!$I$59</f>
        <v>0.329367422406739</v>
      </c>
      <c r="U216" s="261">
        <f t="shared" ref="U216:U217" si="125">+P216+S216+T216</f>
        <v>9.3184559838206766</v>
      </c>
      <c r="V216" s="261">
        <f t="shared" ref="V216:V217" si="126">+Q216+S216+T216</f>
        <v>9.5884559838206762</v>
      </c>
    </row>
    <row r="217" spans="1:22" ht="13.5" thickBot="1" x14ac:dyDescent="0.25">
      <c r="A217" s="267" t="s">
        <v>219</v>
      </c>
      <c r="B217" s="250">
        <f t="shared" si="115"/>
        <v>0.44700000000000001</v>
      </c>
      <c r="C217" s="311">
        <f t="shared" si="116"/>
        <v>14.427939458508266</v>
      </c>
      <c r="D217" s="311">
        <f t="shared" si="117"/>
        <v>14.817939458508267</v>
      </c>
      <c r="E217" s="312">
        <f t="shared" si="118"/>
        <v>0.39000000000000057</v>
      </c>
      <c r="F217" s="259">
        <f t="shared" si="119"/>
        <v>2.6319448874254085E-2</v>
      </c>
      <c r="G217" s="312">
        <f t="shared" si="120"/>
        <v>-0.13546483380361915</v>
      </c>
      <c r="H217" s="312">
        <f t="shared" si="121"/>
        <v>1.4434042923118859</v>
      </c>
      <c r="I217" s="312">
        <f t="shared" si="122"/>
        <v>15.735878917016533</v>
      </c>
      <c r="J217" s="312">
        <f t="shared" si="123"/>
        <v>16.125878917016536</v>
      </c>
      <c r="K217" s="259">
        <f t="shared" si="124"/>
        <v>2.4784125631410549E-2</v>
      </c>
      <c r="N217" s="91">
        <v>348</v>
      </c>
      <c r="O217" s="308" t="s">
        <v>219</v>
      </c>
      <c r="P217" s="263">
        <f>+INPUT!AA116</f>
        <v>13.12</v>
      </c>
      <c r="Q217" s="263">
        <f>+INPUT!AB116</f>
        <v>13.51</v>
      </c>
      <c r="R217" s="265">
        <f>+INPUT!AC116</f>
        <v>0.44700000000000001</v>
      </c>
      <c r="S217" s="260">
        <f>($R217*INPUT!$P$55)*INPUT!$G$59</f>
        <v>-0.13546483380361915</v>
      </c>
      <c r="T217" s="260">
        <f>($R217*INPUT!$P$55)*INPUT!$I$59</f>
        <v>1.4434042923118859</v>
      </c>
      <c r="U217" s="261">
        <f t="shared" si="125"/>
        <v>14.427939458508266</v>
      </c>
      <c r="V217" s="261">
        <f t="shared" si="126"/>
        <v>14.817939458508267</v>
      </c>
    </row>
    <row r="218" spans="1:22" x14ac:dyDescent="0.2">
      <c r="A218" s="267"/>
      <c r="B218" s="250"/>
      <c r="C218" s="311"/>
      <c r="D218" s="311"/>
      <c r="E218" s="312"/>
      <c r="F218" s="259"/>
      <c r="G218" s="312"/>
      <c r="H218" s="312"/>
      <c r="I218" s="312"/>
      <c r="J218" s="312"/>
      <c r="K218" s="259"/>
      <c r="O218" s="332"/>
      <c r="P218" s="280"/>
      <c r="Q218" s="280"/>
      <c r="R218" s="265"/>
      <c r="S218" s="260"/>
      <c r="T218" s="260"/>
      <c r="U218" s="261"/>
      <c r="V218" s="261"/>
    </row>
    <row r="219" spans="1:22" x14ac:dyDescent="0.2">
      <c r="A219" s="234" t="s">
        <v>373</v>
      </c>
      <c r="G219" s="259"/>
      <c r="K219" s="259"/>
      <c r="O219" s="91"/>
      <c r="P219" s="91"/>
      <c r="Q219" s="91"/>
      <c r="R219" s="309"/>
    </row>
    <row r="220" spans="1:22" x14ac:dyDescent="0.2">
      <c r="A220" s="230" t="s">
        <v>389</v>
      </c>
      <c r="G220" s="259"/>
      <c r="K220" s="259"/>
      <c r="O220" s="91"/>
      <c r="P220" s="91"/>
      <c r="Q220" s="91"/>
      <c r="R220" s="309"/>
    </row>
    <row r="221" spans="1:22" x14ac:dyDescent="0.2">
      <c r="A221" s="230" t="str">
        <f>+'Rate Case Constants'!$C$26</f>
        <v>Calculations may vary from other schedules due to rounding</v>
      </c>
      <c r="G221" s="259"/>
      <c r="K221" s="259"/>
      <c r="O221" s="91"/>
      <c r="R221" s="309"/>
    </row>
    <row r="222" spans="1:22" x14ac:dyDescent="0.2">
      <c r="A222" s="342"/>
      <c r="B222" s="230"/>
      <c r="G222" s="259"/>
      <c r="K222" s="259"/>
      <c r="O222" s="91"/>
      <c r="R222" s="309"/>
    </row>
    <row r="223" spans="1:22" x14ac:dyDescent="0.2">
      <c r="G223" s="259"/>
      <c r="K223" s="259"/>
      <c r="O223" s="91"/>
      <c r="R223" s="309"/>
    </row>
    <row r="224" spans="1:22" x14ac:dyDescent="0.2">
      <c r="G224" s="259"/>
      <c r="K224" s="259"/>
      <c r="O224" s="91"/>
      <c r="R224" s="309"/>
    </row>
    <row r="225" spans="7:18" x14ac:dyDescent="0.2">
      <c r="G225" s="259"/>
      <c r="K225" s="259"/>
      <c r="O225" s="91"/>
      <c r="R225" s="309"/>
    </row>
    <row r="226" spans="7:18" x14ac:dyDescent="0.2">
      <c r="G226" s="259"/>
      <c r="K226" s="259"/>
      <c r="O226" s="91"/>
      <c r="R226" s="309"/>
    </row>
    <row r="227" spans="7:18" x14ac:dyDescent="0.2">
      <c r="O227" s="91"/>
      <c r="R227" s="309"/>
    </row>
    <row r="228" spans="7:18" x14ac:dyDescent="0.2">
      <c r="O228" s="91"/>
      <c r="R228" s="309"/>
    </row>
    <row r="229" spans="7:18" x14ac:dyDescent="0.2">
      <c r="O229" s="91"/>
      <c r="R229" s="309"/>
    </row>
    <row r="230" spans="7:18" x14ac:dyDescent="0.2">
      <c r="O230" s="91"/>
      <c r="R230" s="309"/>
    </row>
    <row r="231" spans="7:18" x14ac:dyDescent="0.2">
      <c r="O231" s="91"/>
      <c r="R231" s="257"/>
    </row>
    <row r="232" spans="7:18" x14ac:dyDescent="0.2">
      <c r="O232" s="91"/>
      <c r="R232" s="257"/>
    </row>
    <row r="233" spans="7:18" x14ac:dyDescent="0.2">
      <c r="O233" s="91"/>
      <c r="R233" s="257"/>
    </row>
    <row r="234" spans="7:18" x14ac:dyDescent="0.2">
      <c r="O234" s="91"/>
      <c r="R234" s="257"/>
    </row>
    <row r="235" spans="7:18" x14ac:dyDescent="0.2">
      <c r="O235" s="91"/>
      <c r="R235" s="257"/>
    </row>
    <row r="236" spans="7:18" x14ac:dyDescent="0.2">
      <c r="O236" s="91"/>
      <c r="R236" s="257"/>
    </row>
    <row r="237" spans="7:18" x14ac:dyDescent="0.2">
      <c r="R237" s="257"/>
    </row>
    <row r="238" spans="7:18" x14ac:dyDescent="0.2">
      <c r="R238" s="257"/>
    </row>
    <row r="239" spans="7:18" x14ac:dyDescent="0.2">
      <c r="R239" s="257"/>
    </row>
    <row r="240" spans="7:18" x14ac:dyDescent="0.2">
      <c r="R240" s="257"/>
    </row>
  </sheetData>
  <mergeCells count="30">
    <mergeCell ref="A108:K108"/>
    <mergeCell ref="A109:K109"/>
    <mergeCell ref="A106:K106"/>
    <mergeCell ref="A36:K36"/>
    <mergeCell ref="A37:K37"/>
    <mergeCell ref="A38:K38"/>
    <mergeCell ref="G12:H12"/>
    <mergeCell ref="A107:K107"/>
    <mergeCell ref="A1:K1"/>
    <mergeCell ref="A2:K2"/>
    <mergeCell ref="A3:K3"/>
    <mergeCell ref="A4:K4"/>
    <mergeCell ref="A35:K35"/>
    <mergeCell ref="G46:H46"/>
    <mergeCell ref="A76:K76"/>
    <mergeCell ref="A77:K77"/>
    <mergeCell ref="A78:K78"/>
    <mergeCell ref="A79:K79"/>
    <mergeCell ref="G87:H87"/>
    <mergeCell ref="A186:K186"/>
    <mergeCell ref="G194:H194"/>
    <mergeCell ref="G117:H117"/>
    <mergeCell ref="G154:H154"/>
    <mergeCell ref="A183:K183"/>
    <mergeCell ref="A184:K184"/>
    <mergeCell ref="A185:K185"/>
    <mergeCell ref="A143:K143"/>
    <mergeCell ref="A144:J144"/>
    <mergeCell ref="A146:J146"/>
    <mergeCell ref="A145:K145"/>
  </mergeCells>
  <phoneticPr fontId="5" type="noConversion"/>
  <printOptions horizontalCentered="1"/>
  <pageMargins left="0.25" right="0.25" top="1" bottom="0.5" header="1" footer="0.5"/>
  <pageSetup scale="92" fitToHeight="0" orientation="landscape" r:id="rId1"/>
  <headerFooter alignWithMargins="0"/>
  <rowBreaks count="6" manualBreakCount="6">
    <brk id="34" max="10" man="1"/>
    <brk id="75" max="10" man="1"/>
    <brk id="105" max="10" man="1"/>
    <brk id="142" max="10" man="1"/>
    <brk id="182" max="10" man="1"/>
    <brk id="221" max="10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2"/>
  <sheetViews>
    <sheetView view="pageBreakPreview" topLeftCell="A7" zoomScaleNormal="80" zoomScaleSheetLayoutView="100" workbookViewId="0">
      <selection activeCell="R33" sqref="R33"/>
    </sheetView>
  </sheetViews>
  <sheetFormatPr defaultRowHeight="12.75" x14ac:dyDescent="0.2"/>
  <cols>
    <col min="1" max="1" width="10" customWidth="1"/>
    <col min="2" max="2" width="3.5703125" customWidth="1"/>
    <col min="3" max="4" width="10.140625" bestFit="1" customWidth="1"/>
    <col min="5" max="6" width="9.28515625" bestFit="1" customWidth="1"/>
    <col min="7" max="7" width="10.7109375" bestFit="1" customWidth="1"/>
    <col min="8" max="8" width="10" customWidth="1"/>
    <col min="9" max="10" width="10.5703125" bestFit="1" customWidth="1"/>
    <col min="11" max="11" width="9.28515625" bestFit="1" customWidth="1"/>
    <col min="12" max="15" width="3.5703125" customWidth="1"/>
    <col min="16" max="16" width="11.85546875" customWidth="1"/>
    <col min="17" max="17" width="9.85546875" customWidth="1"/>
    <col min="18" max="18" width="9.5703125" customWidth="1"/>
    <col min="19" max="19" width="7.140625" customWidth="1"/>
    <col min="20" max="20" width="11.5703125" customWidth="1"/>
    <col min="21" max="21" width="9.5703125" customWidth="1"/>
    <col min="23" max="24" width="3" customWidth="1"/>
    <col min="26" max="26" width="2.7109375" customWidth="1"/>
  </cols>
  <sheetData>
    <row r="1" spans="1:28" x14ac:dyDescent="0.2">
      <c r="A1" s="377" t="str">
        <f>+'Rate Case Constants'!C9</f>
        <v>LOUISVILLE GAS AND ELECTRIC COMPANY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</row>
    <row r="2" spans="1:28" x14ac:dyDescent="0.2">
      <c r="A2" s="377" t="str">
        <f>+'Rate Case Constants'!C10</f>
        <v>CASE NO. 2014-00372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</row>
    <row r="3" spans="1:28" x14ac:dyDescent="0.2">
      <c r="A3" s="378" t="str">
        <f>+'Rate Case Constants'!C24</f>
        <v>Typical Electric Bill Comparison under Present &amp; Proposed Rates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</row>
    <row r="4" spans="1:28" x14ac:dyDescent="0.2">
      <c r="A4" s="377" t="str">
        <f>+'Rate Case Constants'!C21</f>
        <v>FORECAST PERIOD FOR THE 12 MONTHS ENDED JUNE 30, 2016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</row>
    <row r="7" spans="1:28" x14ac:dyDescent="0.2">
      <c r="A7" t="str">
        <f>+'Rate Case Constants'!C33</f>
        <v>DATA: ____BASE PERIOD__X___FORECASTED PERIOD</v>
      </c>
      <c r="K7" s="208" t="str">
        <f>+'Rate Case Constants'!C25</f>
        <v>SCHEDULE N (Electric)</v>
      </c>
    </row>
    <row r="8" spans="1:28" x14ac:dyDescent="0.2">
      <c r="A8" t="str">
        <f>+'Rate Case Constants'!C29</f>
        <v>TYPE OF FILING: __X__ ORIGINAL  _____ UPDATED  _____ REVISED</v>
      </c>
      <c r="K8" s="209" t="str">
        <f>+'Rate Case Constants'!L27</f>
        <v>PAGE 20 of 22</v>
      </c>
      <c r="L8" s="209"/>
    </row>
    <row r="9" spans="1:28" x14ac:dyDescent="0.2">
      <c r="A9" t="str">
        <f>+'Rate Case Constants'!C34</f>
        <v>WORKPAPER REFERENCE NO(S):________</v>
      </c>
      <c r="K9" s="209" t="str">
        <f>+'Rate Case Constants'!C37</f>
        <v>WITNESS:   R. M. CONROY</v>
      </c>
    </row>
    <row r="10" spans="1:28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P10" s="30" t="s">
        <v>72</v>
      </c>
      <c r="Q10">
        <f>+INPUT!G60</f>
        <v>-4.9582628710055773E-4</v>
      </c>
    </row>
    <row r="11" spans="1:28" x14ac:dyDescent="0.2">
      <c r="A11" s="45" t="s">
        <v>110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 t="s">
        <v>73</v>
      </c>
      <c r="Q11" s="30">
        <f>+INPUT!I60</f>
        <v>9.2051733242552881E-3</v>
      </c>
      <c r="R11" s="30"/>
      <c r="S11" s="30"/>
      <c r="T11" s="34"/>
      <c r="U11" s="30"/>
      <c r="V11" s="30"/>
    </row>
    <row r="12" spans="1:28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28" x14ac:dyDescent="0.2">
      <c r="A13" s="30"/>
      <c r="B13" s="30"/>
      <c r="C13" s="222" t="s">
        <v>362</v>
      </c>
      <c r="D13" s="223" t="s">
        <v>363</v>
      </c>
      <c r="E13" s="223" t="s">
        <v>364</v>
      </c>
      <c r="F13" s="222" t="s">
        <v>365</v>
      </c>
      <c r="G13" s="222" t="s">
        <v>366</v>
      </c>
      <c r="H13" s="222" t="s">
        <v>367</v>
      </c>
      <c r="I13" s="223" t="s">
        <v>368</v>
      </c>
      <c r="J13" s="222" t="s">
        <v>369</v>
      </c>
      <c r="K13" s="222" t="s">
        <v>370</v>
      </c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</row>
    <row r="14" spans="1:28" x14ac:dyDescent="0.2">
      <c r="C14" s="351" t="s">
        <v>406</v>
      </c>
      <c r="D14" s="351" t="s">
        <v>406</v>
      </c>
      <c r="G14" s="30"/>
      <c r="H14" s="30"/>
      <c r="I14" s="3" t="s">
        <v>5</v>
      </c>
      <c r="J14" s="3" t="s">
        <v>5</v>
      </c>
      <c r="P14" s="50" t="s">
        <v>62</v>
      </c>
      <c r="Q14" s="50"/>
      <c r="R14" s="50"/>
      <c r="T14" s="50" t="s">
        <v>63</v>
      </c>
      <c r="U14" s="50"/>
      <c r="V14" s="50"/>
    </row>
    <row r="15" spans="1:28" x14ac:dyDescent="0.2">
      <c r="C15" s="3" t="s">
        <v>1</v>
      </c>
      <c r="D15" s="3" t="s">
        <v>75</v>
      </c>
      <c r="E15" s="3"/>
      <c r="F15" s="3"/>
      <c r="G15" s="381" t="s">
        <v>136</v>
      </c>
      <c r="H15" s="381"/>
      <c r="I15" s="3" t="s">
        <v>1</v>
      </c>
      <c r="J15" s="3" t="s">
        <v>75</v>
      </c>
      <c r="K15" s="3"/>
      <c r="P15" s="26" t="s">
        <v>65</v>
      </c>
      <c r="Q15" s="3"/>
      <c r="R15" s="26"/>
      <c r="T15" s="26" t="s">
        <v>65</v>
      </c>
      <c r="U15" s="3"/>
      <c r="V15" s="26"/>
    </row>
    <row r="16" spans="1:28" x14ac:dyDescent="0.2">
      <c r="A16" s="3"/>
      <c r="B16" s="3"/>
      <c r="C16" s="3" t="s">
        <v>4</v>
      </c>
      <c r="D16" s="3" t="s">
        <v>4</v>
      </c>
      <c r="E16" s="3" t="s">
        <v>76</v>
      </c>
      <c r="F16" s="3" t="s">
        <v>76</v>
      </c>
      <c r="G16" s="51" t="s">
        <v>72</v>
      </c>
      <c r="H16" s="53" t="s">
        <v>73</v>
      </c>
      <c r="I16" s="3" t="s">
        <v>4</v>
      </c>
      <c r="J16" s="3" t="s">
        <v>4</v>
      </c>
      <c r="K16" s="3" t="s">
        <v>76</v>
      </c>
      <c r="L16" s="3"/>
      <c r="M16" s="3"/>
      <c r="N16" s="3"/>
      <c r="O16" s="3"/>
      <c r="P16" s="26" t="s">
        <v>64</v>
      </c>
      <c r="Q16" s="3" t="s">
        <v>59</v>
      </c>
      <c r="R16" s="26" t="s">
        <v>5</v>
      </c>
      <c r="T16" s="26" t="s">
        <v>64</v>
      </c>
      <c r="U16" s="3" t="s">
        <v>59</v>
      </c>
      <c r="V16" s="26" t="s">
        <v>5</v>
      </c>
      <c r="X16" s="2"/>
      <c r="Y16" s="3" t="s">
        <v>6</v>
      </c>
      <c r="Z16" s="3"/>
      <c r="AA16" s="3" t="s">
        <v>8</v>
      </c>
      <c r="AB16" s="3"/>
    </row>
    <row r="17" spans="1:28" x14ac:dyDescent="0.2">
      <c r="A17" s="3" t="s">
        <v>51</v>
      </c>
      <c r="B17" s="3"/>
      <c r="C17" s="3"/>
      <c r="D17" s="3"/>
      <c r="E17" s="3" t="s">
        <v>70</v>
      </c>
      <c r="F17" s="26" t="s">
        <v>71</v>
      </c>
      <c r="G17" s="52"/>
      <c r="H17" s="55"/>
      <c r="I17" s="3" t="s">
        <v>70</v>
      </c>
      <c r="J17" s="3" t="s">
        <v>70</v>
      </c>
      <c r="K17" s="26" t="s">
        <v>71</v>
      </c>
      <c r="L17" s="3"/>
      <c r="M17" s="3"/>
      <c r="N17" s="3"/>
      <c r="O17" s="3"/>
      <c r="P17" s="82" t="s">
        <v>3</v>
      </c>
      <c r="Q17" s="83" t="s">
        <v>3</v>
      </c>
      <c r="R17" s="82" t="s">
        <v>4</v>
      </c>
      <c r="T17" s="82" t="s">
        <v>3</v>
      </c>
      <c r="U17" s="83" t="s">
        <v>3</v>
      </c>
      <c r="V17" s="82" t="s">
        <v>4</v>
      </c>
      <c r="X17" s="2"/>
      <c r="Y17" s="3" t="s">
        <v>7</v>
      </c>
      <c r="Z17" s="3"/>
      <c r="AA17" s="3" t="s">
        <v>7</v>
      </c>
      <c r="AB17" s="3"/>
    </row>
    <row r="18" spans="1:28" x14ac:dyDescent="0.2">
      <c r="A18" s="3"/>
      <c r="B18" s="3"/>
      <c r="C18" s="3"/>
      <c r="D18" s="3"/>
      <c r="E18" s="222" t="str">
        <f>("[ "&amp;D13&amp;" - "&amp;C13&amp;" ]")</f>
        <v>[ B - A ]</v>
      </c>
      <c r="F18" s="222" t="str">
        <f>("[ "&amp;E13&amp;" / "&amp;C13&amp;" ]")</f>
        <v>[ C / A ]</v>
      </c>
      <c r="G18" s="52"/>
      <c r="H18" s="52"/>
      <c r="I18" s="222" t="str">
        <f>("["&amp;C13&amp;"+"&amp;$G$13&amp;"+"&amp;$H$13&amp;"]")</f>
        <v>[A+E+F]</v>
      </c>
      <c r="J18" s="222" t="str">
        <f>("["&amp;D13&amp;"+"&amp;$G$13&amp;"+"&amp;$H$13&amp;"]")</f>
        <v>[B+E+F]</v>
      </c>
      <c r="K18" s="222" t="str">
        <f>("[("&amp;J13&amp;"-"&amp;I13&amp;")/"&amp;I13&amp;"]")</f>
        <v>[(H-G)/G]</v>
      </c>
      <c r="M18" s="3"/>
      <c r="N18" s="3"/>
      <c r="O18" s="3"/>
      <c r="P18" s="26"/>
      <c r="Q18" s="33">
        <f>+INPUT!$O$6</f>
        <v>6.4610000000000001E-2</v>
      </c>
      <c r="R18" s="26"/>
      <c r="T18" s="26"/>
      <c r="U18" s="33">
        <f>INPUT!$O$27</f>
        <v>6.6610000000000003E-2</v>
      </c>
      <c r="V18" s="26"/>
      <c r="X18" s="2"/>
      <c r="Y18" s="3"/>
      <c r="Z18" s="3"/>
      <c r="AA18" s="3"/>
      <c r="AB18" s="3"/>
    </row>
    <row r="19" spans="1:28" x14ac:dyDescent="0.2">
      <c r="A19" s="3"/>
      <c r="B19" s="3"/>
      <c r="C19" s="3"/>
      <c r="D19" s="3"/>
      <c r="E19" s="3"/>
      <c r="F19" s="3"/>
      <c r="G19" s="30"/>
      <c r="H19" s="30"/>
      <c r="I19" s="3"/>
      <c r="J19" s="3"/>
      <c r="K19" s="3"/>
      <c r="L19" s="3"/>
      <c r="M19" s="3"/>
      <c r="N19" s="3"/>
      <c r="O19" s="3"/>
      <c r="P19" s="26"/>
      <c r="Q19" s="3" t="s">
        <v>14</v>
      </c>
      <c r="R19" s="26"/>
      <c r="T19" s="26"/>
      <c r="U19" s="3" t="s">
        <v>14</v>
      </c>
      <c r="V19" s="26"/>
      <c r="X19" s="2"/>
      <c r="Y19" s="3"/>
      <c r="Z19" s="3"/>
      <c r="AA19" s="3"/>
      <c r="AB19" s="3"/>
    </row>
    <row r="20" spans="1:28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Q20" s="3"/>
      <c r="R20" s="3"/>
      <c r="U20" s="3"/>
      <c r="V20" s="3"/>
    </row>
    <row r="21" spans="1:28" x14ac:dyDescent="0.2">
      <c r="A21" s="1">
        <v>500</v>
      </c>
      <c r="C21" s="6">
        <f>+R21</f>
        <v>32.305</v>
      </c>
      <c r="D21" s="6">
        <f>+V21</f>
        <v>33.305</v>
      </c>
      <c r="E21" s="29">
        <f>+D21-C21</f>
        <v>1</v>
      </c>
      <c r="F21" s="57">
        <f>ROUND(+E21/C21,4)</f>
        <v>3.1E-2</v>
      </c>
      <c r="G21" s="29">
        <f>ROUND($Q$10*$A21,2)</f>
        <v>-0.25</v>
      </c>
      <c r="H21" s="29">
        <f>ROUND($Q$11*$A21,2)</f>
        <v>4.5999999999999996</v>
      </c>
      <c r="I21" s="29">
        <f>+C21+G21+H21</f>
        <v>36.655000000000001</v>
      </c>
      <c r="J21" s="29">
        <f>+D21+G21+H21</f>
        <v>37.655000000000001</v>
      </c>
      <c r="K21" s="57">
        <f>ROUND((J21-I21)/I21,4)</f>
        <v>2.7300000000000001E-2</v>
      </c>
      <c r="P21" s="7">
        <f>+INPUT!$O$4</f>
        <v>0</v>
      </c>
      <c r="Q21" s="6">
        <f>A21*$Q$18</f>
        <v>32.305</v>
      </c>
      <c r="R21" s="6">
        <f>P21+Q21</f>
        <v>32.305</v>
      </c>
      <c r="T21" s="7">
        <f>INPUT!$O$25</f>
        <v>0</v>
      </c>
      <c r="U21" s="6">
        <f>A21*$U$18</f>
        <v>33.305</v>
      </c>
      <c r="V21" s="6">
        <f>T21+U21</f>
        <v>33.305</v>
      </c>
      <c r="Y21" s="6">
        <f>V21-R21</f>
        <v>1</v>
      </c>
      <c r="AA21" s="8">
        <f>V21/R21-1</f>
        <v>3.0954960532425302E-2</v>
      </c>
      <c r="AB21" s="8"/>
    </row>
    <row r="22" spans="1:28" x14ac:dyDescent="0.2">
      <c r="A22" s="1"/>
      <c r="P22" s="7"/>
      <c r="Q22" s="6"/>
      <c r="R22" s="6"/>
      <c r="T22" s="7"/>
      <c r="U22" s="6"/>
      <c r="V22" s="6"/>
      <c r="AA22" s="8"/>
      <c r="AB22" s="8"/>
    </row>
    <row r="23" spans="1:28" x14ac:dyDescent="0.2">
      <c r="A23" s="1">
        <v>1000</v>
      </c>
      <c r="C23" s="6">
        <f>+R23</f>
        <v>64.61</v>
      </c>
      <c r="D23" s="6">
        <f>+V23</f>
        <v>66.61</v>
      </c>
      <c r="E23" s="29">
        <f>+D23-C23</f>
        <v>2</v>
      </c>
      <c r="F23" s="57">
        <f>ROUND(+E23/C23,4)</f>
        <v>3.1E-2</v>
      </c>
      <c r="G23" s="29">
        <f>ROUND($Q$10*$A23,2)</f>
        <v>-0.5</v>
      </c>
      <c r="H23" s="29">
        <f>ROUND($Q$11*$A23,2)</f>
        <v>9.2100000000000009</v>
      </c>
      <c r="I23" s="29">
        <f>+C23+G23+H23</f>
        <v>73.319999999999993</v>
      </c>
      <c r="J23" s="29">
        <f>+D23+G23+H23</f>
        <v>75.319999999999993</v>
      </c>
      <c r="K23" s="57">
        <f>ROUND((J23-I23)/I23,4)</f>
        <v>2.7300000000000001E-2</v>
      </c>
      <c r="P23" s="7">
        <f>$P$21</f>
        <v>0</v>
      </c>
      <c r="Q23" s="6">
        <f>A23*$Q$18</f>
        <v>64.61</v>
      </c>
      <c r="R23" s="6">
        <f>P23+Q23</f>
        <v>64.61</v>
      </c>
      <c r="T23" s="7">
        <f>+$T$21</f>
        <v>0</v>
      </c>
      <c r="U23" s="6">
        <f>A23*$U$18</f>
        <v>66.61</v>
      </c>
      <c r="V23" s="6">
        <f>T23+U23</f>
        <v>66.61</v>
      </c>
      <c r="Y23" s="6">
        <f>V23-R23</f>
        <v>2</v>
      </c>
      <c r="AA23" s="8">
        <f>V23/R23-1</f>
        <v>3.0954960532425302E-2</v>
      </c>
      <c r="AB23" s="8"/>
    </row>
    <row r="24" spans="1:28" x14ac:dyDescent="0.2">
      <c r="A24" s="1"/>
      <c r="C24" s="6"/>
      <c r="D24" s="6"/>
      <c r="E24" s="29"/>
      <c r="F24" s="57"/>
      <c r="G24" s="29"/>
      <c r="H24" s="29"/>
      <c r="I24" s="29"/>
      <c r="J24" s="29"/>
      <c r="K24" s="57"/>
      <c r="P24" s="58"/>
      <c r="Q24" s="6"/>
      <c r="R24" s="6"/>
      <c r="T24" s="7"/>
      <c r="U24" s="6"/>
      <c r="V24" s="6"/>
      <c r="AA24" s="27"/>
      <c r="AB24" s="27"/>
    </row>
    <row r="25" spans="1:28" s="10" customFormat="1" x14ac:dyDescent="0.2">
      <c r="A25" s="1">
        <v>2000</v>
      </c>
      <c r="B25"/>
      <c r="C25" s="6">
        <f>+R25</f>
        <v>129.22</v>
      </c>
      <c r="D25" s="6">
        <f>+V25</f>
        <v>133.22</v>
      </c>
      <c r="E25" s="29">
        <f>+D25-C25</f>
        <v>4</v>
      </c>
      <c r="F25" s="57">
        <f>ROUND(+E25/C25,4)</f>
        <v>3.1E-2</v>
      </c>
      <c r="G25" s="29">
        <f>ROUND($Q$10*$A25,2)</f>
        <v>-0.99</v>
      </c>
      <c r="H25" s="29">
        <f>ROUND($Q$11*$A25,2)</f>
        <v>18.41</v>
      </c>
      <c r="I25" s="29">
        <f>+C25+G25+H25</f>
        <v>146.63999999999999</v>
      </c>
      <c r="J25" s="29">
        <f>+D25+G25+H25</f>
        <v>150.63999999999999</v>
      </c>
      <c r="K25" s="57">
        <f>ROUND((J25-I25)/I25,4)</f>
        <v>2.7300000000000001E-2</v>
      </c>
      <c r="P25" s="58">
        <f>$P$21</f>
        <v>0</v>
      </c>
      <c r="Q25" s="6">
        <f>A25*$Q$18</f>
        <v>129.22</v>
      </c>
      <c r="R25" s="11">
        <f>P25+Q25</f>
        <v>129.22</v>
      </c>
      <c r="T25" s="7">
        <f>+$T$21</f>
        <v>0</v>
      </c>
      <c r="U25" s="6">
        <f>A25*$U$18</f>
        <v>133.22</v>
      </c>
      <c r="V25" s="11">
        <f>T25+U25</f>
        <v>133.22</v>
      </c>
      <c r="Y25" s="11">
        <f>V25-R25</f>
        <v>4</v>
      </c>
      <c r="AA25" s="27">
        <f>V25/R25-1</f>
        <v>3.0954960532425302E-2</v>
      </c>
      <c r="AB25" s="27"/>
    </row>
    <row r="26" spans="1:28" x14ac:dyDescent="0.2">
      <c r="A26" s="1"/>
      <c r="P26" s="7"/>
      <c r="Q26" s="6"/>
      <c r="R26" s="6"/>
      <c r="T26" s="7"/>
      <c r="U26" s="6"/>
      <c r="V26" s="6"/>
      <c r="AA26" s="8"/>
      <c r="AB26" s="8"/>
    </row>
    <row r="27" spans="1:28" x14ac:dyDescent="0.2">
      <c r="A27" s="1">
        <v>3000</v>
      </c>
      <c r="C27" s="6">
        <f>+R27</f>
        <v>193.83</v>
      </c>
      <c r="D27" s="6">
        <f>+V27</f>
        <v>199.83</v>
      </c>
      <c r="E27" s="29">
        <f>+D27-C27</f>
        <v>6</v>
      </c>
      <c r="F27" s="57">
        <f>ROUND(+E27/C27,4)</f>
        <v>3.1E-2</v>
      </c>
      <c r="G27" s="29">
        <f>ROUND($Q$10*$A27,2)</f>
        <v>-1.49</v>
      </c>
      <c r="H27" s="29">
        <f>ROUND($Q$11*$A27,2)</f>
        <v>27.62</v>
      </c>
      <c r="I27" s="29">
        <f>+C27+G27+H27</f>
        <v>219.96</v>
      </c>
      <c r="J27" s="29">
        <f>+D27+G27+H27</f>
        <v>225.96</v>
      </c>
      <c r="K27" s="57">
        <f>ROUND((J27-I27)/I27,4)</f>
        <v>2.7300000000000001E-2</v>
      </c>
      <c r="P27" s="7">
        <f>$P$21</f>
        <v>0</v>
      </c>
      <c r="Q27" s="6">
        <f>A27*$Q$18</f>
        <v>193.83</v>
      </c>
      <c r="R27" s="6">
        <f>P27+Q27</f>
        <v>193.83</v>
      </c>
      <c r="T27" s="7">
        <f>+$T$21</f>
        <v>0</v>
      </c>
      <c r="U27" s="6">
        <f>A27*$U$18</f>
        <v>199.83</v>
      </c>
      <c r="V27" s="6">
        <f>T27+U27</f>
        <v>199.83</v>
      </c>
      <c r="Y27" s="6">
        <f>V27-R27</f>
        <v>6</v>
      </c>
      <c r="AA27" s="8">
        <f>V27/R27-1</f>
        <v>3.0954960532425302E-2</v>
      </c>
      <c r="AB27" s="8"/>
    </row>
    <row r="28" spans="1:28" x14ac:dyDescent="0.2">
      <c r="P28" s="7"/>
      <c r="Q28" s="6"/>
      <c r="R28" s="6"/>
      <c r="T28" s="7"/>
      <c r="U28" s="6"/>
      <c r="V28" s="6"/>
      <c r="AA28" s="8"/>
      <c r="AB28" s="8"/>
    </row>
    <row r="29" spans="1:28" x14ac:dyDescent="0.2">
      <c r="A29" s="1">
        <v>6000</v>
      </c>
      <c r="C29" s="6">
        <f>+R29</f>
        <v>387.66</v>
      </c>
      <c r="D29" s="6">
        <f>+V29</f>
        <v>399.66</v>
      </c>
      <c r="E29" s="29">
        <f>+D29-C29</f>
        <v>12</v>
      </c>
      <c r="F29" s="57">
        <f>ROUND(+E29/C29,4)</f>
        <v>3.1E-2</v>
      </c>
      <c r="G29" s="29">
        <f>ROUND($Q$10*$A29,2)</f>
        <v>-2.97</v>
      </c>
      <c r="H29" s="29">
        <f>ROUND($Q$11*$A29,2)</f>
        <v>55.23</v>
      </c>
      <c r="I29" s="29">
        <f>+C29+G29+H29</f>
        <v>439.92</v>
      </c>
      <c r="J29" s="29">
        <f>+D29+G29+H29</f>
        <v>451.92</v>
      </c>
      <c r="K29" s="57">
        <f>ROUND((J29-I29)/I29,4)</f>
        <v>2.7300000000000001E-2</v>
      </c>
      <c r="P29" s="7">
        <f>$P$21</f>
        <v>0</v>
      </c>
      <c r="Q29" s="6">
        <f>A29*$Q$18</f>
        <v>387.66</v>
      </c>
      <c r="R29" s="6">
        <f>P29+Q29</f>
        <v>387.66</v>
      </c>
      <c r="T29" s="7">
        <f>+$T$21</f>
        <v>0</v>
      </c>
      <c r="U29" s="6">
        <f>A29*$U$18</f>
        <v>399.66</v>
      </c>
      <c r="V29" s="6">
        <f>T29+U29</f>
        <v>399.66</v>
      </c>
      <c r="Y29" s="6">
        <f>V29-R29</f>
        <v>12</v>
      </c>
      <c r="AA29" s="8">
        <f>V29/R29-1</f>
        <v>3.0954960532425302E-2</v>
      </c>
      <c r="AB29" s="8"/>
    </row>
    <row r="30" spans="1:28" x14ac:dyDescent="0.2">
      <c r="A30" s="1"/>
      <c r="P30" s="7"/>
      <c r="Q30" s="6"/>
      <c r="R30" s="6"/>
      <c r="T30" s="7"/>
      <c r="U30" s="6"/>
      <c r="V30" s="6"/>
      <c r="AA30" s="8"/>
      <c r="AB30" s="8"/>
    </row>
    <row r="31" spans="1:28" x14ac:dyDescent="0.2">
      <c r="A31" s="1">
        <v>9000</v>
      </c>
      <c r="C31" s="6">
        <f>+R31</f>
        <v>581.49</v>
      </c>
      <c r="D31" s="6">
        <f>+V31</f>
        <v>599.49</v>
      </c>
      <c r="E31" s="29">
        <f>+D31-C31</f>
        <v>18</v>
      </c>
      <c r="F31" s="57">
        <f>ROUND(+E31/C31,4)</f>
        <v>3.1E-2</v>
      </c>
      <c r="G31" s="29">
        <f>ROUND($Q$10*$A31,2)</f>
        <v>-4.46</v>
      </c>
      <c r="H31" s="29">
        <f>ROUND($Q$11*$A31,2)</f>
        <v>82.85</v>
      </c>
      <c r="I31" s="29">
        <f>+C31+G31+H31</f>
        <v>659.88</v>
      </c>
      <c r="J31" s="29">
        <f>+D31+G31+H31</f>
        <v>677.88</v>
      </c>
      <c r="K31" s="57">
        <f>ROUND((J31-I31)/I31,4)</f>
        <v>2.7300000000000001E-2</v>
      </c>
      <c r="P31" s="7">
        <f>$P$21</f>
        <v>0</v>
      </c>
      <c r="Q31" s="6">
        <f>A31*$Q$18</f>
        <v>581.49</v>
      </c>
      <c r="R31" s="6">
        <f>P31+Q31</f>
        <v>581.49</v>
      </c>
      <c r="T31" s="7">
        <f>+$T$21</f>
        <v>0</v>
      </c>
      <c r="U31" s="6">
        <f>A31*$U$18</f>
        <v>599.49</v>
      </c>
      <c r="V31" s="6">
        <f>T31+U31</f>
        <v>599.49</v>
      </c>
      <c r="Y31" s="6">
        <f>V31-R31</f>
        <v>18</v>
      </c>
      <c r="AA31" s="8">
        <f>V31/R31-1</f>
        <v>3.0954960532425302E-2</v>
      </c>
      <c r="AB31" s="8"/>
    </row>
    <row r="32" spans="1:28" x14ac:dyDescent="0.2">
      <c r="P32" s="7"/>
      <c r="Q32" s="6"/>
      <c r="R32" s="6"/>
      <c r="T32" s="7"/>
      <c r="U32" s="6"/>
      <c r="V32" s="6"/>
      <c r="AA32" s="8"/>
      <c r="AB32" s="8"/>
    </row>
    <row r="33" spans="1:28" x14ac:dyDescent="0.2">
      <c r="A33" s="1">
        <v>12000</v>
      </c>
      <c r="C33" s="6">
        <f>+R33</f>
        <v>775.32</v>
      </c>
      <c r="D33" s="6">
        <f>+V33</f>
        <v>799.32</v>
      </c>
      <c r="E33" s="29">
        <f>+D33-C33</f>
        <v>24</v>
      </c>
      <c r="F33" s="57">
        <f>ROUND(+E33/C33,4)</f>
        <v>3.1E-2</v>
      </c>
      <c r="G33" s="29">
        <f>ROUND($Q$10*$A33,2)</f>
        <v>-5.95</v>
      </c>
      <c r="H33" s="29">
        <f>ROUND($Q$11*$A33,2)</f>
        <v>110.46</v>
      </c>
      <c r="I33" s="29">
        <f>+C33+G33+H33</f>
        <v>879.83</v>
      </c>
      <c r="J33" s="29">
        <f>+D33+G33+H33</f>
        <v>903.83</v>
      </c>
      <c r="K33" s="57">
        <f>ROUND((J33-I33)/I33,4)</f>
        <v>2.7300000000000001E-2</v>
      </c>
      <c r="P33" s="7">
        <f>$P$21</f>
        <v>0</v>
      </c>
      <c r="Q33" s="6">
        <f>A33*$Q$18</f>
        <v>775.32</v>
      </c>
      <c r="R33" s="6">
        <f>P33+Q33</f>
        <v>775.32</v>
      </c>
      <c r="T33" s="7">
        <f>+$T$21</f>
        <v>0</v>
      </c>
      <c r="U33" s="6">
        <f>A33*$U$18</f>
        <v>799.32</v>
      </c>
      <c r="V33" s="6">
        <f>T33+U33</f>
        <v>799.32</v>
      </c>
      <c r="Y33" s="6">
        <f>V33-R33</f>
        <v>24</v>
      </c>
      <c r="AA33" s="8">
        <f>V33/R33-1</f>
        <v>3.0954960532425302E-2</v>
      </c>
      <c r="AB33" s="8"/>
    </row>
    <row r="34" spans="1:28" x14ac:dyDescent="0.2">
      <c r="P34" s="7"/>
      <c r="Q34" s="6"/>
      <c r="R34" s="6"/>
      <c r="T34" s="7"/>
      <c r="U34" s="6"/>
      <c r="V34" s="6"/>
      <c r="AA34" s="8"/>
      <c r="AB34" s="8"/>
    </row>
    <row r="35" spans="1:28" x14ac:dyDescent="0.2">
      <c r="A35" s="1">
        <v>15000</v>
      </c>
      <c r="C35" s="6">
        <f>+R35</f>
        <v>969.15</v>
      </c>
      <c r="D35" s="6">
        <f>+V35</f>
        <v>999.15000000000009</v>
      </c>
      <c r="E35" s="29">
        <f>+D35-C35</f>
        <v>30.000000000000114</v>
      </c>
      <c r="F35" s="57">
        <f>ROUND(+E35/C35,4)</f>
        <v>3.1E-2</v>
      </c>
      <c r="G35" s="29">
        <f>ROUND($Q$10*$A35,2)</f>
        <v>-7.44</v>
      </c>
      <c r="H35" s="29">
        <f>ROUND($Q$11*$A35,2)</f>
        <v>138.08000000000001</v>
      </c>
      <c r="I35" s="29">
        <f>+C35+G35+H35</f>
        <v>1099.79</v>
      </c>
      <c r="J35" s="29">
        <f>+D35+G35+H35</f>
        <v>1129.79</v>
      </c>
      <c r="K35" s="57">
        <f>ROUND((J35-I35)/I35,4)</f>
        <v>2.7300000000000001E-2</v>
      </c>
      <c r="P35" s="7">
        <f>$P$21</f>
        <v>0</v>
      </c>
      <c r="Q35" s="6">
        <f>A35*$Q$18</f>
        <v>969.15</v>
      </c>
      <c r="R35" s="6">
        <f>P35+Q35</f>
        <v>969.15</v>
      </c>
      <c r="T35" s="7">
        <f>+$T$21</f>
        <v>0</v>
      </c>
      <c r="U35" s="6">
        <f>A35*$U$18</f>
        <v>999.15000000000009</v>
      </c>
      <c r="V35" s="6">
        <f>T35+U35</f>
        <v>999.15000000000009</v>
      </c>
      <c r="Y35" s="6">
        <f>V35-R35</f>
        <v>30.000000000000114</v>
      </c>
      <c r="AA35" s="8">
        <f>V35/R35-1</f>
        <v>3.0954960532425524E-2</v>
      </c>
      <c r="AB35" s="8"/>
    </row>
    <row r="37" spans="1:28" x14ac:dyDescent="0.2">
      <c r="A37" s="17" t="s">
        <v>373</v>
      </c>
    </row>
    <row r="38" spans="1:28" s="17" customFormat="1" x14ac:dyDescent="0.2">
      <c r="A38" s="228" t="str">
        <f>("Average usage = "&amp;TEXT(INPUT!O19*1,"0,000")&amp;" kWh per month")</f>
        <v>Average usage = 1,839 kWh per month</v>
      </c>
    </row>
    <row r="39" spans="1:28" s="17" customFormat="1" x14ac:dyDescent="0.2">
      <c r="A39" s="230" t="s">
        <v>375</v>
      </c>
    </row>
    <row r="40" spans="1:28" x14ac:dyDescent="0.2">
      <c r="A40" s="229" t="s">
        <v>379</v>
      </c>
    </row>
    <row r="41" spans="1:28" ht="12" customHeight="1" x14ac:dyDescent="0.2">
      <c r="A41" s="229" t="str">
        <f>+'Rate Case Constants'!C26</f>
        <v>Calculations may vary from other schedules due to rounding</v>
      </c>
    </row>
    <row r="42" spans="1:28" x14ac:dyDescent="0.2">
      <c r="C42" s="218"/>
      <c r="D42" s="219"/>
      <c r="E42" s="219"/>
      <c r="F42" s="218"/>
      <c r="G42" s="218"/>
      <c r="H42" s="218"/>
      <c r="I42" s="219"/>
      <c r="J42" s="218"/>
      <c r="K42" s="218"/>
      <c r="L42" s="218"/>
      <c r="M42" s="10"/>
      <c r="N42" s="10"/>
      <c r="O42" s="10"/>
    </row>
    <row r="43" spans="1:28" x14ac:dyDescent="0.2">
      <c r="C43" s="211"/>
      <c r="D43" s="211"/>
      <c r="E43" s="211"/>
      <c r="F43" s="211"/>
      <c r="G43" s="211"/>
      <c r="H43" s="211"/>
      <c r="I43" s="211"/>
      <c r="J43" s="218"/>
      <c r="K43" s="218"/>
      <c r="L43" s="211"/>
      <c r="M43" s="10"/>
      <c r="N43" s="10"/>
      <c r="O43" s="10"/>
    </row>
    <row r="44" spans="1:28" x14ac:dyDescent="0.2">
      <c r="C44" s="218"/>
      <c r="D44" s="218"/>
      <c r="E44" s="218"/>
      <c r="F44" s="218"/>
      <c r="G44" s="387"/>
      <c r="H44" s="387"/>
      <c r="I44" s="388"/>
      <c r="J44" s="218"/>
      <c r="K44" s="218"/>
      <c r="L44" s="218"/>
      <c r="M44" s="10"/>
      <c r="N44" s="10"/>
      <c r="O44" s="10"/>
    </row>
    <row r="45" spans="1:28" x14ac:dyDescent="0.2"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10"/>
      <c r="N45" s="10"/>
      <c r="O45" s="10"/>
    </row>
    <row r="46" spans="1:28" x14ac:dyDescent="0.2">
      <c r="C46" s="218"/>
      <c r="D46" s="218"/>
      <c r="E46" s="218"/>
      <c r="F46" s="219"/>
      <c r="G46" s="212"/>
      <c r="H46" s="212"/>
      <c r="I46" s="210"/>
      <c r="J46" s="218"/>
      <c r="K46" s="218"/>
      <c r="L46" s="219"/>
      <c r="M46" s="10"/>
      <c r="N46" s="10"/>
      <c r="O46" s="10"/>
    </row>
    <row r="47" spans="1:28" x14ac:dyDescent="0.2">
      <c r="C47" s="218"/>
      <c r="D47" s="218"/>
      <c r="E47" s="218"/>
      <c r="F47" s="218"/>
      <c r="G47" s="212"/>
      <c r="H47" s="212"/>
      <c r="I47" s="212"/>
      <c r="J47" s="218"/>
      <c r="K47" s="218"/>
      <c r="L47" s="218"/>
      <c r="M47" s="10"/>
      <c r="N47" s="10"/>
      <c r="O47" s="10"/>
    </row>
    <row r="48" spans="1:28" x14ac:dyDescent="0.2">
      <c r="C48" s="227"/>
      <c r="D48" s="227"/>
      <c r="E48" s="218"/>
      <c r="F48" s="218"/>
      <c r="G48" s="227"/>
      <c r="H48" s="227"/>
      <c r="I48" s="227"/>
      <c r="J48" s="218"/>
      <c r="K48" s="227"/>
      <c r="L48" s="218"/>
      <c r="M48" s="10"/>
      <c r="N48" s="10"/>
      <c r="O48" s="10"/>
    </row>
    <row r="49" spans="3:15" x14ac:dyDescent="0.2"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3:15" x14ac:dyDescent="0.2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3:15" x14ac:dyDescent="0.2"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3:15" x14ac:dyDescent="0.2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</sheetData>
  <mergeCells count="6">
    <mergeCell ref="G44:I44"/>
    <mergeCell ref="G15:H15"/>
    <mergeCell ref="A1:K1"/>
    <mergeCell ref="A2:K2"/>
    <mergeCell ref="A3:K3"/>
    <mergeCell ref="A4:K4"/>
  </mergeCells>
  <printOptions horizontalCentered="1"/>
  <pageMargins left="0.25" right="0.25" top="1" bottom="0.5" header="1" footer="0.5"/>
  <pageSetup scale="9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view="pageBreakPreview" topLeftCell="A5" zoomScaleNormal="80" zoomScaleSheetLayoutView="100" workbookViewId="0">
      <selection activeCell="R33" sqref="R33"/>
    </sheetView>
  </sheetViews>
  <sheetFormatPr defaultRowHeight="12.75" x14ac:dyDescent="0.2"/>
  <cols>
    <col min="1" max="1" width="10" customWidth="1"/>
    <col min="2" max="2" width="3.5703125" customWidth="1"/>
    <col min="3" max="4" width="10.140625" bestFit="1" customWidth="1"/>
    <col min="5" max="6" width="9.28515625" bestFit="1" customWidth="1"/>
    <col min="7" max="7" width="10.7109375" bestFit="1" customWidth="1"/>
    <col min="8" max="8" width="10" customWidth="1"/>
    <col min="9" max="10" width="10.5703125" bestFit="1" customWidth="1"/>
    <col min="11" max="11" width="9.28515625" bestFit="1" customWidth="1"/>
    <col min="12" max="15" width="3.5703125" customWidth="1"/>
    <col min="16" max="16" width="11.85546875" customWidth="1"/>
    <col min="17" max="17" width="9.85546875" customWidth="1"/>
    <col min="18" max="18" width="9.5703125" customWidth="1"/>
    <col min="19" max="19" width="7.140625" customWidth="1"/>
    <col min="20" max="20" width="11.5703125" customWidth="1"/>
    <col min="21" max="21" width="9.5703125" customWidth="1"/>
    <col min="23" max="24" width="3" customWidth="1"/>
    <col min="26" max="26" width="2.7109375" customWidth="1"/>
  </cols>
  <sheetData>
    <row r="1" spans="1:28" x14ac:dyDescent="0.2">
      <c r="A1" s="377" t="str">
        <f>+'Rate Case Constants'!C9</f>
        <v>LOUISVILLE GAS AND ELECTRIC COMPANY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</row>
    <row r="2" spans="1:28" x14ac:dyDescent="0.2">
      <c r="A2" s="377" t="str">
        <f>+'Rate Case Constants'!C10</f>
        <v>CASE NO. 2014-00372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</row>
    <row r="3" spans="1:28" x14ac:dyDescent="0.2">
      <c r="A3" s="378" t="str">
        <f>+'Rate Case Constants'!C24</f>
        <v>Typical Electric Bill Comparison under Present &amp; Proposed Rates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</row>
    <row r="4" spans="1:28" x14ac:dyDescent="0.2">
      <c r="A4" s="377" t="str">
        <f>+'Rate Case Constants'!C21</f>
        <v>FORECAST PERIOD FOR THE 12 MONTHS ENDED JUNE 30, 2016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</row>
    <row r="7" spans="1:28" x14ac:dyDescent="0.2">
      <c r="A7" t="str">
        <f>+'Rate Case Constants'!C33</f>
        <v>DATA: ____BASE PERIOD__X___FORECASTED PERIOD</v>
      </c>
      <c r="K7" s="208" t="str">
        <f>+'Rate Case Constants'!C25</f>
        <v>SCHEDULE N (Electric)</v>
      </c>
    </row>
    <row r="8" spans="1:28" x14ac:dyDescent="0.2">
      <c r="A8" t="str">
        <f>+'Rate Case Constants'!C29</f>
        <v>TYPE OF FILING: __X__ ORIGINAL  _____ UPDATED  _____ REVISED</v>
      </c>
      <c r="K8" s="209" t="str">
        <f>+'Rate Case Constants'!L28</f>
        <v>PAGE 21 of 22</v>
      </c>
      <c r="L8" s="209"/>
    </row>
    <row r="9" spans="1:28" x14ac:dyDescent="0.2">
      <c r="A9" t="str">
        <f>+'Rate Case Constants'!C34</f>
        <v>WORKPAPER REFERENCE NO(S):________</v>
      </c>
      <c r="K9" s="209" t="str">
        <f>+'Rate Case Constants'!C37</f>
        <v>WITNESS:   R. M. CONROY</v>
      </c>
    </row>
    <row r="10" spans="1:28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P10" s="30" t="s">
        <v>72</v>
      </c>
      <c r="Q10">
        <f>+INPUT!G61</f>
        <v>-4.091860001681851E-4</v>
      </c>
    </row>
    <row r="11" spans="1:28" x14ac:dyDescent="0.2">
      <c r="A11" s="45" t="s">
        <v>109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 t="s">
        <v>73</v>
      </c>
      <c r="Q11" s="30">
        <f>+INPUT!I61</f>
        <v>9.164799822664587E-3</v>
      </c>
      <c r="R11" s="30"/>
      <c r="S11" s="30"/>
      <c r="T11" s="34"/>
      <c r="U11" s="30"/>
      <c r="V11" s="30"/>
    </row>
    <row r="12" spans="1:28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28" x14ac:dyDescent="0.2">
      <c r="A13" s="30"/>
      <c r="B13" s="30"/>
      <c r="C13" s="222" t="s">
        <v>362</v>
      </c>
      <c r="D13" s="223" t="s">
        <v>363</v>
      </c>
      <c r="E13" s="223" t="s">
        <v>364</v>
      </c>
      <c r="F13" s="222" t="s">
        <v>365</v>
      </c>
      <c r="G13" s="222" t="s">
        <v>366</v>
      </c>
      <c r="H13" s="222" t="s">
        <v>367</v>
      </c>
      <c r="I13" s="223" t="s">
        <v>368</v>
      </c>
      <c r="J13" s="222" t="s">
        <v>369</v>
      </c>
      <c r="K13" s="222" t="s">
        <v>370</v>
      </c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</row>
    <row r="14" spans="1:28" x14ac:dyDescent="0.2">
      <c r="C14" s="351" t="s">
        <v>406</v>
      </c>
      <c r="D14" s="351" t="s">
        <v>406</v>
      </c>
      <c r="G14" s="30"/>
      <c r="H14" s="30"/>
      <c r="I14" s="3" t="s">
        <v>5</v>
      </c>
      <c r="J14" s="3" t="s">
        <v>5</v>
      </c>
      <c r="P14" s="50" t="s">
        <v>62</v>
      </c>
      <c r="Q14" s="50"/>
      <c r="R14" s="50"/>
      <c r="T14" s="50" t="s">
        <v>63</v>
      </c>
      <c r="U14" s="50"/>
      <c r="V14" s="50"/>
    </row>
    <row r="15" spans="1:28" x14ac:dyDescent="0.2">
      <c r="C15" s="3" t="s">
        <v>1</v>
      </c>
      <c r="D15" s="3" t="s">
        <v>75</v>
      </c>
      <c r="E15" s="3"/>
      <c r="F15" s="3"/>
      <c r="G15" s="381" t="s">
        <v>136</v>
      </c>
      <c r="H15" s="381"/>
      <c r="I15" s="3" t="s">
        <v>1</v>
      </c>
      <c r="J15" s="3" t="s">
        <v>75</v>
      </c>
      <c r="K15" s="3"/>
      <c r="P15" s="26" t="s">
        <v>65</v>
      </c>
      <c r="Q15" s="3"/>
      <c r="R15" s="26"/>
      <c r="T15" s="26" t="s">
        <v>65</v>
      </c>
      <c r="U15" s="3"/>
      <c r="V15" s="26"/>
    </row>
    <row r="16" spans="1:28" x14ac:dyDescent="0.2">
      <c r="A16" s="3"/>
      <c r="B16" s="3"/>
      <c r="C16" s="3" t="s">
        <v>4</v>
      </c>
      <c r="D16" s="3" t="s">
        <v>4</v>
      </c>
      <c r="E16" s="3" t="s">
        <v>76</v>
      </c>
      <c r="F16" s="3" t="s">
        <v>76</v>
      </c>
      <c r="G16" s="51" t="s">
        <v>72</v>
      </c>
      <c r="H16" s="53" t="s">
        <v>73</v>
      </c>
      <c r="I16" s="3" t="s">
        <v>4</v>
      </c>
      <c r="J16" s="3" t="s">
        <v>4</v>
      </c>
      <c r="K16" s="3" t="s">
        <v>76</v>
      </c>
      <c r="L16" s="3"/>
      <c r="M16" s="3"/>
      <c r="N16" s="3"/>
      <c r="O16" s="3"/>
      <c r="P16" s="26" t="s">
        <v>64</v>
      </c>
      <c r="Q16" s="3" t="s">
        <v>59</v>
      </c>
      <c r="R16" s="26" t="s">
        <v>5</v>
      </c>
      <c r="T16" s="26" t="s">
        <v>64</v>
      </c>
      <c r="U16" s="3" t="s">
        <v>59</v>
      </c>
      <c r="V16" s="26" t="s">
        <v>5</v>
      </c>
      <c r="X16" s="2"/>
      <c r="Y16" s="3" t="s">
        <v>6</v>
      </c>
      <c r="Z16" s="3"/>
      <c r="AA16" s="3" t="s">
        <v>8</v>
      </c>
      <c r="AB16" s="3"/>
    </row>
    <row r="17" spans="1:28" x14ac:dyDescent="0.2">
      <c r="A17" s="3" t="s">
        <v>51</v>
      </c>
      <c r="B17" s="3"/>
      <c r="C17" s="3"/>
      <c r="D17" s="3"/>
      <c r="E17" s="3" t="s">
        <v>70</v>
      </c>
      <c r="F17" s="26" t="s">
        <v>71</v>
      </c>
      <c r="G17" s="52"/>
      <c r="H17" s="55"/>
      <c r="I17" s="3" t="s">
        <v>70</v>
      </c>
      <c r="J17" s="3" t="s">
        <v>70</v>
      </c>
      <c r="K17" s="26" t="s">
        <v>71</v>
      </c>
      <c r="L17" s="3"/>
      <c r="M17" s="3"/>
      <c r="N17" s="3"/>
      <c r="O17" s="3"/>
      <c r="P17" s="82" t="s">
        <v>3</v>
      </c>
      <c r="Q17" s="83" t="s">
        <v>3</v>
      </c>
      <c r="R17" s="82" t="s">
        <v>4</v>
      </c>
      <c r="T17" s="82" t="s">
        <v>3</v>
      </c>
      <c r="U17" s="83" t="s">
        <v>3</v>
      </c>
      <c r="V17" s="82" t="s">
        <v>4</v>
      </c>
      <c r="X17" s="2"/>
      <c r="Y17" s="3" t="s">
        <v>7</v>
      </c>
      <c r="Z17" s="3"/>
      <c r="AA17" s="3" t="s">
        <v>7</v>
      </c>
      <c r="AB17" s="3"/>
    </row>
    <row r="18" spans="1:28" x14ac:dyDescent="0.2">
      <c r="A18" s="3"/>
      <c r="B18" s="3"/>
      <c r="C18" s="3"/>
      <c r="D18" s="3"/>
      <c r="E18" s="222" t="str">
        <f>("[ "&amp;D13&amp;" - "&amp;C13&amp;" ]")</f>
        <v>[ B - A ]</v>
      </c>
      <c r="F18" s="222" t="str">
        <f>("[ "&amp;E13&amp;" / "&amp;C13&amp;" ]")</f>
        <v>[ C / A ]</v>
      </c>
      <c r="G18" s="52"/>
      <c r="H18" s="52"/>
      <c r="I18" s="222" t="str">
        <f>("["&amp;C13&amp;"+"&amp;$G$13&amp;"+"&amp;$H$13&amp;"]")</f>
        <v>[A+E+F]</v>
      </c>
      <c r="J18" s="222" t="str">
        <f>("["&amp;D13&amp;"+"&amp;$G$13&amp;"+"&amp;$H$13&amp;"]")</f>
        <v>[B+E+F]</v>
      </c>
      <c r="K18" s="222" t="str">
        <f>("[("&amp;J13&amp;"-"&amp;I13&amp;")/"&amp;I13&amp;"]")</f>
        <v>[(H-G)/G]</v>
      </c>
      <c r="L18" s="3"/>
      <c r="M18" s="3"/>
      <c r="N18" s="3"/>
      <c r="O18" s="3"/>
      <c r="P18" s="26"/>
      <c r="Q18" s="33">
        <f>+INPUT!$P$6</f>
        <v>7.6579999999999995E-2</v>
      </c>
      <c r="R18" s="26"/>
      <c r="T18" s="26"/>
      <c r="U18" s="33">
        <f>INPUT!$P$27</f>
        <v>7.6590000000000005E-2</v>
      </c>
      <c r="V18" s="26"/>
      <c r="X18" s="2"/>
      <c r="Y18" s="3"/>
      <c r="Z18" s="3"/>
      <c r="AA18" s="3"/>
      <c r="AB18" s="3"/>
    </row>
    <row r="19" spans="1:28" x14ac:dyDescent="0.2">
      <c r="A19" s="3"/>
      <c r="B19" s="3"/>
      <c r="C19" s="3"/>
      <c r="D19" s="3"/>
      <c r="E19" s="3"/>
      <c r="F19" s="3"/>
      <c r="G19" s="30"/>
      <c r="H19" s="30"/>
      <c r="I19" s="3"/>
      <c r="J19" s="3"/>
      <c r="K19" s="3"/>
      <c r="L19" s="3"/>
      <c r="M19" s="3"/>
      <c r="N19" s="3"/>
      <c r="O19" s="3"/>
      <c r="P19" s="26"/>
      <c r="Q19" s="3" t="s">
        <v>14</v>
      </c>
      <c r="R19" s="26"/>
      <c r="T19" s="26"/>
      <c r="U19" s="3" t="s">
        <v>14</v>
      </c>
      <c r="V19" s="26"/>
      <c r="X19" s="2"/>
      <c r="Y19" s="3"/>
      <c r="Z19" s="3"/>
      <c r="AA19" s="3"/>
      <c r="AB19" s="3"/>
    </row>
    <row r="20" spans="1:28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Q20" s="3"/>
      <c r="R20" s="3"/>
      <c r="U20" s="3"/>
      <c r="V20" s="3"/>
    </row>
    <row r="21" spans="1:28" x14ac:dyDescent="0.2">
      <c r="A21" s="1">
        <v>50</v>
      </c>
      <c r="C21" s="6">
        <f>+R21</f>
        <v>7.0789999999999997</v>
      </c>
      <c r="D21" s="6">
        <f>+V21</f>
        <v>7.8295000000000003</v>
      </c>
      <c r="E21" s="29">
        <f>+D21-C21</f>
        <v>0.75050000000000061</v>
      </c>
      <c r="F21" s="57">
        <f>ROUND(+E21/C21,4)</f>
        <v>0.106</v>
      </c>
      <c r="G21" s="29">
        <f>ROUND($Q$10*$A21,2)</f>
        <v>-0.02</v>
      </c>
      <c r="H21" s="29">
        <f>ROUND($Q$11*$A21,2)</f>
        <v>0.46</v>
      </c>
      <c r="I21" s="29">
        <f>+C21+G21+H21</f>
        <v>7.5190000000000001</v>
      </c>
      <c r="J21" s="29">
        <f>+D21+G21+H21</f>
        <v>8.2695000000000007</v>
      </c>
      <c r="K21" s="57">
        <f>ROUND((J21-I21)/I21,4)</f>
        <v>9.98E-2</v>
      </c>
      <c r="P21" s="7">
        <f>+INPUT!$P$4</f>
        <v>3.25</v>
      </c>
      <c r="Q21" s="6">
        <f>A21*$Q$18</f>
        <v>3.8289999999999997</v>
      </c>
      <c r="R21" s="6">
        <f>P21+Q21</f>
        <v>7.0789999999999997</v>
      </c>
      <c r="T21" s="7">
        <f>INPUT!$P$25</f>
        <v>4</v>
      </c>
      <c r="U21" s="6">
        <f>A21*$U$18</f>
        <v>3.8295000000000003</v>
      </c>
      <c r="V21" s="6">
        <f>T21+U21</f>
        <v>7.8295000000000003</v>
      </c>
      <c r="Y21" s="6">
        <f>V21-R21</f>
        <v>0.75050000000000061</v>
      </c>
      <c r="AA21" s="8">
        <f>V21/R21-1</f>
        <v>0.1060177991241702</v>
      </c>
      <c r="AB21" s="8"/>
    </row>
    <row r="22" spans="1:28" x14ac:dyDescent="0.2">
      <c r="A22" s="1"/>
      <c r="P22" s="7"/>
      <c r="Q22" s="6"/>
      <c r="R22" s="6"/>
      <c r="T22" s="7"/>
      <c r="U22" s="6"/>
      <c r="V22" s="6"/>
      <c r="AA22" s="8"/>
      <c r="AB22" s="8"/>
    </row>
    <row r="23" spans="1:28" x14ac:dyDescent="0.2">
      <c r="A23" s="1">
        <v>100</v>
      </c>
      <c r="C23" s="6">
        <f>+R23</f>
        <v>10.907999999999999</v>
      </c>
      <c r="D23" s="6">
        <f>+V23</f>
        <v>11.659000000000001</v>
      </c>
      <c r="E23" s="29">
        <f>+D23-C23</f>
        <v>0.75100000000000122</v>
      </c>
      <c r="F23" s="57">
        <f>ROUND(+E23/C23,4)</f>
        <v>6.88E-2</v>
      </c>
      <c r="G23" s="29">
        <f>ROUND($Q$10*$A23,2)</f>
        <v>-0.04</v>
      </c>
      <c r="H23" s="29">
        <f>ROUND($Q$11*$A23,2)</f>
        <v>0.92</v>
      </c>
      <c r="I23" s="29">
        <f>+C23+G23+H23</f>
        <v>11.788</v>
      </c>
      <c r="J23" s="29">
        <f>+D23+G23+H23</f>
        <v>12.539000000000001</v>
      </c>
      <c r="K23" s="57">
        <f>ROUND((J23-I23)/I23,4)</f>
        <v>6.3700000000000007E-2</v>
      </c>
      <c r="P23" s="7">
        <f>$P$21</f>
        <v>3.25</v>
      </c>
      <c r="Q23" s="6">
        <f>A23*$Q$18</f>
        <v>7.6579999999999995</v>
      </c>
      <c r="R23" s="6">
        <f>P23+Q23</f>
        <v>10.907999999999999</v>
      </c>
      <c r="T23" s="7">
        <f>+$T$21</f>
        <v>4</v>
      </c>
      <c r="U23" s="6">
        <f>A23*$U$18</f>
        <v>7.6590000000000007</v>
      </c>
      <c r="V23" s="6">
        <f>T23+U23</f>
        <v>11.659000000000001</v>
      </c>
      <c r="Y23" s="6">
        <f>V23-R23</f>
        <v>0.75100000000000122</v>
      </c>
      <c r="AA23" s="8">
        <f>V23/R23-1</f>
        <v>6.8848551521818901E-2</v>
      </c>
      <c r="AB23" s="8"/>
    </row>
    <row r="24" spans="1:28" x14ac:dyDescent="0.2">
      <c r="A24" s="1"/>
      <c r="C24" s="6"/>
      <c r="D24" s="6"/>
      <c r="E24" s="29"/>
      <c r="F24" s="57"/>
      <c r="G24" s="29"/>
      <c r="H24" s="29"/>
      <c r="I24" s="29"/>
      <c r="J24" s="29"/>
      <c r="K24" s="57"/>
      <c r="P24" s="58"/>
      <c r="Q24" s="6"/>
      <c r="R24" s="6"/>
      <c r="T24" s="7"/>
      <c r="U24" s="6"/>
      <c r="V24" s="6"/>
      <c r="AA24" s="27"/>
      <c r="AB24" s="27"/>
    </row>
    <row r="25" spans="1:28" s="10" customFormat="1" x14ac:dyDescent="0.2">
      <c r="A25" s="1">
        <v>200</v>
      </c>
      <c r="B25"/>
      <c r="C25" s="6">
        <f>+R25</f>
        <v>18.565999999999999</v>
      </c>
      <c r="D25" s="6">
        <f>+V25</f>
        <v>19.318000000000001</v>
      </c>
      <c r="E25" s="29">
        <f>+D25-C25</f>
        <v>0.75200000000000244</v>
      </c>
      <c r="F25" s="57">
        <f>ROUND(+E25/C25,4)</f>
        <v>4.0500000000000001E-2</v>
      </c>
      <c r="G25" s="29">
        <f>ROUND($Q$10*$A25,2)</f>
        <v>-0.08</v>
      </c>
      <c r="H25" s="29">
        <f>ROUND($Q$11*$A25,2)</f>
        <v>1.83</v>
      </c>
      <c r="I25" s="29">
        <f>+C25+G25+H25</f>
        <v>20.316000000000003</v>
      </c>
      <c r="J25" s="29">
        <f>+D25+G25+H25</f>
        <v>21.068000000000005</v>
      </c>
      <c r="K25" s="57">
        <f>ROUND((J25-I25)/I25,4)</f>
        <v>3.6999999999999998E-2</v>
      </c>
      <c r="P25" s="58">
        <f>$P$21</f>
        <v>3.25</v>
      </c>
      <c r="Q25" s="6">
        <f>A25*$Q$18</f>
        <v>15.315999999999999</v>
      </c>
      <c r="R25" s="11">
        <f>P25+Q25</f>
        <v>18.565999999999999</v>
      </c>
      <c r="T25" s="7">
        <f>+$T$21</f>
        <v>4</v>
      </c>
      <c r="U25" s="6">
        <f>A25*$U$18</f>
        <v>15.318000000000001</v>
      </c>
      <c r="V25" s="11">
        <f>T25+U25</f>
        <v>19.318000000000001</v>
      </c>
      <c r="Y25" s="11">
        <f>V25-R25</f>
        <v>0.75200000000000244</v>
      </c>
      <c r="AA25" s="27">
        <f>V25/R25-1</f>
        <v>4.0504147366153376E-2</v>
      </c>
      <c r="AB25" s="27"/>
    </row>
    <row r="26" spans="1:28" x14ac:dyDescent="0.2">
      <c r="A26" s="1"/>
      <c r="P26" s="7"/>
      <c r="Q26" s="6"/>
      <c r="R26" s="6"/>
      <c r="T26" s="7"/>
      <c r="U26" s="6"/>
      <c r="V26" s="6"/>
      <c r="AA26" s="8"/>
      <c r="AB26" s="8"/>
    </row>
    <row r="27" spans="1:28" x14ac:dyDescent="0.2">
      <c r="A27" s="1">
        <v>300</v>
      </c>
      <c r="C27" s="6">
        <f>+R27</f>
        <v>26.224</v>
      </c>
      <c r="D27" s="6">
        <f>+V27</f>
        <v>26.977</v>
      </c>
      <c r="E27" s="29">
        <f>+D27-C27</f>
        <v>0.75300000000000011</v>
      </c>
      <c r="F27" s="57">
        <f>ROUND(+E27/C27,4)</f>
        <v>2.87E-2</v>
      </c>
      <c r="G27" s="29">
        <f>ROUND($Q$10*$A27,2)</f>
        <v>-0.12</v>
      </c>
      <c r="H27" s="29">
        <f>ROUND($Q$11*$A27,2)</f>
        <v>2.75</v>
      </c>
      <c r="I27" s="29">
        <f>+C27+G27+H27</f>
        <v>28.853999999999999</v>
      </c>
      <c r="J27" s="29">
        <f>+D27+G27+H27</f>
        <v>29.606999999999999</v>
      </c>
      <c r="K27" s="57">
        <f>ROUND((J27-I27)/I27,4)</f>
        <v>2.6100000000000002E-2</v>
      </c>
      <c r="P27" s="7">
        <f>$P$21</f>
        <v>3.25</v>
      </c>
      <c r="Q27" s="6">
        <f>A27*$Q$18</f>
        <v>22.974</v>
      </c>
      <c r="R27" s="6">
        <f>P27+Q27</f>
        <v>26.224</v>
      </c>
      <c r="T27" s="7">
        <f>+$T$21</f>
        <v>4</v>
      </c>
      <c r="U27" s="6">
        <f>A27*$U$18</f>
        <v>22.977</v>
      </c>
      <c r="V27" s="6">
        <f>T27+U27</f>
        <v>26.977</v>
      </c>
      <c r="Y27" s="6">
        <f>V27-R27</f>
        <v>0.75300000000000011</v>
      </c>
      <c r="AA27" s="8">
        <f>V27/R27-1</f>
        <v>2.8714154972544259E-2</v>
      </c>
      <c r="AB27" s="8"/>
    </row>
    <row r="28" spans="1:28" x14ac:dyDescent="0.2">
      <c r="P28" s="7"/>
      <c r="Q28" s="6"/>
      <c r="R28" s="6"/>
      <c r="T28" s="7"/>
      <c r="U28" s="6"/>
      <c r="V28" s="6"/>
      <c r="AA28" s="8"/>
      <c r="AB28" s="8"/>
    </row>
    <row r="29" spans="1:28" x14ac:dyDescent="0.2">
      <c r="A29" s="1">
        <v>400</v>
      </c>
      <c r="C29" s="6">
        <f>+R29</f>
        <v>33.881999999999998</v>
      </c>
      <c r="D29" s="6">
        <f>+V29</f>
        <v>34.636000000000003</v>
      </c>
      <c r="E29" s="29">
        <f>+D29-C29</f>
        <v>0.75400000000000489</v>
      </c>
      <c r="F29" s="57">
        <f>ROUND(+E29/C29,4)</f>
        <v>2.23E-2</v>
      </c>
      <c r="G29" s="29">
        <f>ROUND($Q$10*$A29,2)</f>
        <v>-0.16</v>
      </c>
      <c r="H29" s="29">
        <f>ROUND($Q$11*$A29,2)</f>
        <v>3.67</v>
      </c>
      <c r="I29" s="29">
        <f>+C29+G29+H29</f>
        <v>37.392000000000003</v>
      </c>
      <c r="J29" s="29">
        <f>+D29+G29+H29</f>
        <v>38.146000000000008</v>
      </c>
      <c r="K29" s="57">
        <f>ROUND((J29-I29)/I29,4)</f>
        <v>2.0199999999999999E-2</v>
      </c>
      <c r="P29" s="7">
        <f>$P$21</f>
        <v>3.25</v>
      </c>
      <c r="Q29" s="6">
        <f>A29*$Q$18</f>
        <v>30.631999999999998</v>
      </c>
      <c r="R29" s="6">
        <f>P29+Q29</f>
        <v>33.881999999999998</v>
      </c>
      <c r="T29" s="7">
        <f>+$T$21</f>
        <v>4</v>
      </c>
      <c r="U29" s="6">
        <f>A29*$U$18</f>
        <v>30.636000000000003</v>
      </c>
      <c r="V29" s="6">
        <f>T29+U29</f>
        <v>34.636000000000003</v>
      </c>
      <c r="Y29" s="6">
        <f>V29-R29</f>
        <v>0.75400000000000489</v>
      </c>
      <c r="AA29" s="8">
        <f>V29/R29-1</f>
        <v>2.2253704031639288E-2</v>
      </c>
      <c r="AB29" s="8"/>
    </row>
    <row r="30" spans="1:28" x14ac:dyDescent="0.2">
      <c r="A30" s="1"/>
      <c r="P30" s="7"/>
      <c r="Q30" s="6"/>
      <c r="R30" s="6"/>
      <c r="T30" s="7"/>
      <c r="U30" s="6"/>
      <c r="V30" s="6"/>
      <c r="AA30" s="8"/>
      <c r="AB30" s="8"/>
    </row>
    <row r="31" spans="1:28" x14ac:dyDescent="0.2">
      <c r="A31" s="1">
        <v>500</v>
      </c>
      <c r="C31" s="6">
        <f>+R31</f>
        <v>41.54</v>
      </c>
      <c r="D31" s="6">
        <f>+V31</f>
        <v>42.295000000000002</v>
      </c>
      <c r="E31" s="29">
        <f>+D31-C31</f>
        <v>0.75500000000000256</v>
      </c>
      <c r="F31" s="57">
        <f>ROUND(+E31/C31,4)</f>
        <v>1.8200000000000001E-2</v>
      </c>
      <c r="G31" s="29">
        <f>ROUND($Q$10*$A31,2)</f>
        <v>-0.2</v>
      </c>
      <c r="H31" s="29">
        <f>ROUND($Q$11*$A31,2)</f>
        <v>4.58</v>
      </c>
      <c r="I31" s="29">
        <f>+C31+G31+H31</f>
        <v>45.919999999999995</v>
      </c>
      <c r="J31" s="29">
        <f>+D31+G31+H31</f>
        <v>46.674999999999997</v>
      </c>
      <c r="K31" s="57">
        <f>ROUND((J31-I31)/I31,4)</f>
        <v>1.6400000000000001E-2</v>
      </c>
      <c r="P31" s="7">
        <f>$P$21</f>
        <v>3.25</v>
      </c>
      <c r="Q31" s="6">
        <f>A31*$Q$18</f>
        <v>38.29</v>
      </c>
      <c r="R31" s="6">
        <f>P31+Q31</f>
        <v>41.54</v>
      </c>
      <c r="T31" s="7">
        <f>+$T$21</f>
        <v>4</v>
      </c>
      <c r="U31" s="6">
        <f>A31*$U$18</f>
        <v>38.295000000000002</v>
      </c>
      <c r="V31" s="6">
        <f>T31+U31</f>
        <v>42.295000000000002</v>
      </c>
      <c r="Y31" s="6">
        <f>V31-R31</f>
        <v>0.75500000000000256</v>
      </c>
      <c r="AA31" s="8">
        <f>V31/R31-1</f>
        <v>1.8175252768416028E-2</v>
      </c>
      <c r="AB31" s="8"/>
    </row>
    <row r="32" spans="1:28" x14ac:dyDescent="0.2">
      <c r="P32" s="7"/>
      <c r="Q32" s="6"/>
      <c r="R32" s="6"/>
      <c r="T32" s="7"/>
      <c r="U32" s="6"/>
      <c r="V32" s="6"/>
      <c r="AA32" s="8"/>
      <c r="AB32" s="8"/>
    </row>
    <row r="33" spans="1:28" x14ac:dyDescent="0.2">
      <c r="A33" s="1">
        <v>1000</v>
      </c>
      <c r="C33" s="6">
        <f>+R33</f>
        <v>79.83</v>
      </c>
      <c r="D33" s="6">
        <f>+V33</f>
        <v>80.59</v>
      </c>
      <c r="E33" s="29">
        <f>+D33-C33</f>
        <v>0.76000000000000512</v>
      </c>
      <c r="F33" s="57">
        <f>ROUND(+E33/C33,4)</f>
        <v>9.4999999999999998E-3</v>
      </c>
      <c r="G33" s="29">
        <f>ROUND($Q$10*$A33,2)</f>
        <v>-0.41</v>
      </c>
      <c r="H33" s="29">
        <f>ROUND($Q$11*$A33,2)</f>
        <v>9.16</v>
      </c>
      <c r="I33" s="29">
        <f>+C33+G33+H33</f>
        <v>88.58</v>
      </c>
      <c r="J33" s="29">
        <f>+D33+G33+H33</f>
        <v>89.34</v>
      </c>
      <c r="K33" s="57">
        <f>ROUND((J33-I33)/I33,4)</f>
        <v>8.6E-3</v>
      </c>
      <c r="P33" s="7">
        <f>$P$21</f>
        <v>3.25</v>
      </c>
      <c r="Q33" s="6">
        <f>A33*$Q$18</f>
        <v>76.58</v>
      </c>
      <c r="R33" s="6">
        <f>P33+Q33</f>
        <v>79.83</v>
      </c>
      <c r="T33" s="7">
        <f>+$T$21</f>
        <v>4</v>
      </c>
      <c r="U33" s="6">
        <f>A33*$U$18</f>
        <v>76.59</v>
      </c>
      <c r="V33" s="6">
        <f>T33+U33</f>
        <v>80.59</v>
      </c>
      <c r="Y33" s="6">
        <f>V33-R33</f>
        <v>0.76000000000000512</v>
      </c>
      <c r="AA33" s="8">
        <f>V33/R33-1</f>
        <v>9.5202304897907819E-3</v>
      </c>
      <c r="AB33" s="8"/>
    </row>
    <row r="34" spans="1:28" x14ac:dyDescent="0.2">
      <c r="P34" s="7"/>
      <c r="Q34" s="6"/>
      <c r="R34" s="6"/>
      <c r="T34" s="7"/>
      <c r="U34" s="6"/>
      <c r="V34" s="6"/>
      <c r="AA34" s="8"/>
      <c r="AB34" s="8"/>
    </row>
    <row r="35" spans="1:28" x14ac:dyDescent="0.2">
      <c r="A35" s="1">
        <v>5000</v>
      </c>
      <c r="C35" s="6">
        <f>+R35</f>
        <v>386.15</v>
      </c>
      <c r="D35" s="6">
        <f>+V35</f>
        <v>386.95000000000005</v>
      </c>
      <c r="E35" s="29">
        <f>+D35-C35</f>
        <v>0.80000000000006821</v>
      </c>
      <c r="F35" s="57">
        <f>ROUND(+E35/C35,4)</f>
        <v>2.0999999999999999E-3</v>
      </c>
      <c r="G35" s="29">
        <f>ROUND($Q$10*$A35,2)</f>
        <v>-2.0499999999999998</v>
      </c>
      <c r="H35" s="29">
        <f>ROUND($Q$11*$A35,2)</f>
        <v>45.82</v>
      </c>
      <c r="I35" s="29">
        <f>+C35+G35+H35</f>
        <v>429.91999999999996</v>
      </c>
      <c r="J35" s="29">
        <f>+D35+G35+H35</f>
        <v>430.72</v>
      </c>
      <c r="K35" s="57">
        <f>ROUND((J35-I35)/I35,4)</f>
        <v>1.9E-3</v>
      </c>
      <c r="P35" s="7">
        <f>$P$21</f>
        <v>3.25</v>
      </c>
      <c r="Q35" s="6">
        <f>A35*$Q$18</f>
        <v>382.9</v>
      </c>
      <c r="R35" s="6">
        <f>P35+Q35</f>
        <v>386.15</v>
      </c>
      <c r="T35" s="7">
        <f>+$T$21</f>
        <v>4</v>
      </c>
      <c r="U35" s="6">
        <f>A35*$U$18</f>
        <v>382.95000000000005</v>
      </c>
      <c r="V35" s="6">
        <f>T35+U35</f>
        <v>386.95000000000005</v>
      </c>
      <c r="Y35" s="6">
        <f>V35-R35</f>
        <v>0.80000000000006821</v>
      </c>
      <c r="AA35" s="8">
        <f>V35/R35-1</f>
        <v>2.0717337822091508E-3</v>
      </c>
      <c r="AB35" s="8"/>
    </row>
    <row r="37" spans="1:28" x14ac:dyDescent="0.2">
      <c r="A37" s="17" t="s">
        <v>373</v>
      </c>
    </row>
    <row r="38" spans="1:28" s="17" customFormat="1" x14ac:dyDescent="0.2">
      <c r="A38" s="228" t="str">
        <f>("Average usage = "&amp;INPUT!P19&amp;" kWh per month")</f>
        <v>Average usage = 286 kWh per month</v>
      </c>
    </row>
    <row r="39" spans="1:28" s="17" customFormat="1" x14ac:dyDescent="0.2">
      <c r="A39" s="230" t="s">
        <v>375</v>
      </c>
    </row>
    <row r="40" spans="1:28" x14ac:dyDescent="0.2">
      <c r="A40" s="229" t="s">
        <v>379</v>
      </c>
    </row>
    <row r="41" spans="1:28" ht="12" customHeight="1" x14ac:dyDescent="0.2">
      <c r="A41" s="229" t="str">
        <f>+'Rate Case Constants'!C26</f>
        <v>Calculations may vary from other schedules due to rounding</v>
      </c>
    </row>
  </sheetData>
  <mergeCells count="5">
    <mergeCell ref="G15:H15"/>
    <mergeCell ref="A1:K1"/>
    <mergeCell ref="A2:K2"/>
    <mergeCell ref="A3:K3"/>
    <mergeCell ref="A4:K4"/>
  </mergeCells>
  <printOptions horizontalCentered="1"/>
  <pageMargins left="0.25" right="0.25" top="1" bottom="0.5" header="1" footer="0.5"/>
  <pageSetup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L48"/>
  <sheetViews>
    <sheetView zoomScale="75" zoomScaleNormal="75" workbookViewId="0">
      <selection activeCell="J27" sqref="J27"/>
    </sheetView>
  </sheetViews>
  <sheetFormatPr defaultRowHeight="12.75" x14ac:dyDescent="0.2"/>
  <cols>
    <col min="1" max="1" width="39.140625" customWidth="1"/>
    <col min="2" max="2" width="3.5703125" customWidth="1"/>
    <col min="3" max="3" width="39.140625" customWidth="1"/>
    <col min="10" max="10" width="10.42578125" customWidth="1"/>
    <col min="11" max="11" width="11.42578125" customWidth="1"/>
    <col min="12" max="12" width="15.5703125" customWidth="1"/>
  </cols>
  <sheetData>
    <row r="1" spans="1:12" ht="15.75" x14ac:dyDescent="0.25">
      <c r="A1" s="371" t="s">
        <v>323</v>
      </c>
      <c r="B1" s="371"/>
      <c r="C1" s="371"/>
    </row>
    <row r="2" spans="1:12" ht="15.75" x14ac:dyDescent="0.25">
      <c r="A2" s="371" t="s">
        <v>324</v>
      </c>
      <c r="B2" s="371"/>
      <c r="C2" s="371"/>
    </row>
    <row r="3" spans="1:12" ht="15.75" x14ac:dyDescent="0.25">
      <c r="A3" s="371" t="s">
        <v>325</v>
      </c>
      <c r="B3" s="371"/>
      <c r="C3" s="371"/>
    </row>
    <row r="8" spans="1:12" ht="15" x14ac:dyDescent="0.25">
      <c r="A8" s="198" t="s">
        <v>326</v>
      </c>
      <c r="B8" s="196"/>
      <c r="C8" s="196"/>
      <c r="J8">
        <v>1</v>
      </c>
      <c r="K8" s="47" t="s">
        <v>380</v>
      </c>
      <c r="L8" t="str">
        <f t="shared" ref="L8:L25" si="0">("PAGE "&amp;J8&amp;" of "&amp;$J$31)</f>
        <v>PAGE 1 of 22</v>
      </c>
    </row>
    <row r="9" spans="1:12" ht="15" x14ac:dyDescent="0.25">
      <c r="A9" s="197" t="s">
        <v>327</v>
      </c>
      <c r="B9" s="196"/>
      <c r="C9" s="199" t="s">
        <v>323</v>
      </c>
      <c r="J9">
        <f>1+J8</f>
        <v>2</v>
      </c>
      <c r="K9" s="47" t="s">
        <v>381</v>
      </c>
      <c r="L9" t="str">
        <f t="shared" si="0"/>
        <v>PAGE 2 of 22</v>
      </c>
    </row>
    <row r="10" spans="1:12" ht="15" x14ac:dyDescent="0.25">
      <c r="A10" s="197" t="s">
        <v>328</v>
      </c>
      <c r="B10" s="196"/>
      <c r="C10" s="201" t="s">
        <v>329</v>
      </c>
      <c r="J10">
        <f t="shared" ref="J10:J29" si="1">1+J9</f>
        <v>3</v>
      </c>
      <c r="K10" s="30" t="s">
        <v>382</v>
      </c>
      <c r="L10" t="str">
        <f t="shared" si="0"/>
        <v>PAGE 3 of 22</v>
      </c>
    </row>
    <row r="11" spans="1:12" ht="15" x14ac:dyDescent="0.25">
      <c r="A11" s="197" t="s">
        <v>330</v>
      </c>
      <c r="B11" s="196"/>
      <c r="C11" s="199" t="s">
        <v>331</v>
      </c>
      <c r="J11">
        <f t="shared" si="1"/>
        <v>4</v>
      </c>
      <c r="K11" s="30" t="s">
        <v>305</v>
      </c>
      <c r="L11" t="str">
        <f t="shared" si="0"/>
        <v>PAGE 4 of 22</v>
      </c>
    </row>
    <row r="12" spans="1:12" ht="15" x14ac:dyDescent="0.25">
      <c r="A12" s="196"/>
      <c r="B12" s="196"/>
      <c r="C12" s="199" t="s">
        <v>332</v>
      </c>
      <c r="J12">
        <f t="shared" si="1"/>
        <v>5</v>
      </c>
      <c r="K12" s="30" t="s">
        <v>383</v>
      </c>
      <c r="L12" t="str">
        <f t="shared" si="0"/>
        <v>PAGE 5 of 22</v>
      </c>
    </row>
    <row r="13" spans="1:12" ht="15" x14ac:dyDescent="0.25">
      <c r="A13" s="196"/>
      <c r="B13" s="196"/>
      <c r="C13" s="199" t="s">
        <v>333</v>
      </c>
      <c r="J13">
        <f t="shared" si="1"/>
        <v>6</v>
      </c>
      <c r="K13" s="30" t="s">
        <v>297</v>
      </c>
      <c r="L13" t="str">
        <f t="shared" si="0"/>
        <v>PAGE 6 of 22</v>
      </c>
    </row>
    <row r="14" spans="1:12" ht="15" x14ac:dyDescent="0.25">
      <c r="A14" s="196"/>
      <c r="B14" s="196"/>
      <c r="C14" s="199" t="s">
        <v>334</v>
      </c>
      <c r="J14">
        <f t="shared" si="1"/>
        <v>7</v>
      </c>
      <c r="K14" s="30" t="s">
        <v>298</v>
      </c>
      <c r="L14" t="str">
        <f t="shared" si="0"/>
        <v>PAGE 7 of 22</v>
      </c>
    </row>
    <row r="15" spans="1:12" ht="15" x14ac:dyDescent="0.25">
      <c r="A15" s="196"/>
      <c r="B15" s="196"/>
      <c r="C15" s="199" t="s">
        <v>335</v>
      </c>
      <c r="J15">
        <f t="shared" si="1"/>
        <v>8</v>
      </c>
      <c r="K15" s="47" t="s">
        <v>299</v>
      </c>
      <c r="L15" t="str">
        <f t="shared" si="0"/>
        <v>PAGE 8 of 22</v>
      </c>
    </row>
    <row r="16" spans="1:12" ht="15" x14ac:dyDescent="0.25">
      <c r="A16" s="196"/>
      <c r="B16" s="196"/>
      <c r="C16" s="199" t="s">
        <v>336</v>
      </c>
      <c r="J16">
        <f t="shared" si="1"/>
        <v>9</v>
      </c>
      <c r="K16" s="30" t="s">
        <v>301</v>
      </c>
      <c r="L16" t="str">
        <f t="shared" si="0"/>
        <v>PAGE 9 of 22</v>
      </c>
    </row>
    <row r="17" spans="1:12" ht="15" x14ac:dyDescent="0.25">
      <c r="A17" s="197" t="s">
        <v>337</v>
      </c>
      <c r="B17" s="196"/>
      <c r="C17" s="199" t="s">
        <v>338</v>
      </c>
      <c r="J17">
        <f t="shared" si="1"/>
        <v>10</v>
      </c>
      <c r="K17" s="30" t="s">
        <v>302</v>
      </c>
      <c r="L17" t="str">
        <f t="shared" si="0"/>
        <v>PAGE 10 of 22</v>
      </c>
    </row>
    <row r="18" spans="1:12" ht="15" x14ac:dyDescent="0.25">
      <c r="A18" s="196"/>
      <c r="B18" s="196"/>
      <c r="C18" s="199" t="s">
        <v>339</v>
      </c>
      <c r="J18">
        <f t="shared" si="1"/>
        <v>11</v>
      </c>
      <c r="K18" s="30" t="s">
        <v>121</v>
      </c>
      <c r="L18" t="str">
        <f t="shared" si="0"/>
        <v>PAGE 11 of 22</v>
      </c>
    </row>
    <row r="19" spans="1:12" ht="15" x14ac:dyDescent="0.25">
      <c r="A19" s="196"/>
      <c r="B19" s="196"/>
      <c r="C19" s="199" t="s">
        <v>340</v>
      </c>
      <c r="J19">
        <f t="shared" si="1"/>
        <v>12</v>
      </c>
      <c r="K19" s="30" t="s">
        <v>122</v>
      </c>
      <c r="L19" t="str">
        <f t="shared" si="0"/>
        <v>PAGE 12 of 22</v>
      </c>
    </row>
    <row r="20" spans="1:12" ht="15" x14ac:dyDescent="0.25">
      <c r="A20" s="196"/>
      <c r="B20" s="196"/>
      <c r="C20" s="199" t="s">
        <v>341</v>
      </c>
      <c r="J20">
        <f t="shared" si="1"/>
        <v>13</v>
      </c>
      <c r="K20" s="30" t="s">
        <v>122</v>
      </c>
      <c r="L20" t="str">
        <f t="shared" si="0"/>
        <v>PAGE 13 of 22</v>
      </c>
    </row>
    <row r="21" spans="1:12" ht="15" x14ac:dyDescent="0.25">
      <c r="A21" s="196"/>
      <c r="B21" s="196"/>
      <c r="C21" s="199" t="s">
        <v>342</v>
      </c>
      <c r="J21">
        <f t="shared" si="1"/>
        <v>14</v>
      </c>
      <c r="K21" s="30" t="s">
        <v>384</v>
      </c>
      <c r="L21" t="str">
        <f t="shared" si="0"/>
        <v>PAGE 14 of 22</v>
      </c>
    </row>
    <row r="22" spans="1:12" ht="15" x14ac:dyDescent="0.25">
      <c r="A22" s="196"/>
      <c r="B22" s="196"/>
      <c r="C22" s="199" t="s">
        <v>343</v>
      </c>
      <c r="J22">
        <f t="shared" si="1"/>
        <v>15</v>
      </c>
      <c r="K22" s="30" t="s">
        <v>384</v>
      </c>
      <c r="L22" t="str">
        <f t="shared" si="0"/>
        <v>PAGE 15 of 22</v>
      </c>
    </row>
    <row r="23" spans="1:12" x14ac:dyDescent="0.2">
      <c r="J23">
        <f t="shared" si="1"/>
        <v>16</v>
      </c>
      <c r="K23" s="30" t="s">
        <v>384</v>
      </c>
      <c r="L23" t="str">
        <f t="shared" si="0"/>
        <v>PAGE 16 of 22</v>
      </c>
    </row>
    <row r="24" spans="1:12" ht="15" x14ac:dyDescent="0.25">
      <c r="A24" s="202" t="s">
        <v>344</v>
      </c>
      <c r="B24" s="196"/>
      <c r="C24" s="195" t="s">
        <v>361</v>
      </c>
      <c r="J24">
        <f t="shared" si="1"/>
        <v>17</v>
      </c>
      <c r="K24" s="30" t="s">
        <v>384</v>
      </c>
      <c r="L24" t="str">
        <f t="shared" si="0"/>
        <v>PAGE 17 of 22</v>
      </c>
    </row>
    <row r="25" spans="1:12" ht="15" x14ac:dyDescent="0.25">
      <c r="A25" s="202" t="s">
        <v>345</v>
      </c>
      <c r="B25" s="196"/>
      <c r="C25" s="195" t="s">
        <v>399</v>
      </c>
      <c r="J25">
        <f t="shared" si="1"/>
        <v>18</v>
      </c>
      <c r="K25" s="30" t="s">
        <v>384</v>
      </c>
      <c r="L25" t="str">
        <f t="shared" si="0"/>
        <v>PAGE 18 of 22</v>
      </c>
    </row>
    <row r="26" spans="1:12" ht="15" x14ac:dyDescent="0.25">
      <c r="A26" s="333" t="s">
        <v>373</v>
      </c>
      <c r="B26" s="196"/>
      <c r="C26" s="334" t="s">
        <v>400</v>
      </c>
      <c r="J26">
        <f t="shared" si="1"/>
        <v>19</v>
      </c>
      <c r="K26" s="30" t="s">
        <v>384</v>
      </c>
      <c r="L26" t="str">
        <f t="shared" ref="L26" si="2">("PAGE "&amp;J26&amp;" of "&amp;$J$31)</f>
        <v>PAGE 19 of 22</v>
      </c>
    </row>
    <row r="27" spans="1:12" ht="15" x14ac:dyDescent="0.25">
      <c r="A27" s="196"/>
      <c r="B27" s="196"/>
      <c r="C27" s="203"/>
      <c r="J27">
        <f t="shared" si="1"/>
        <v>20</v>
      </c>
      <c r="K27" s="30" t="s">
        <v>385</v>
      </c>
      <c r="L27" t="str">
        <f t="shared" ref="L27:L29" si="3">("PAGE "&amp;J27&amp;" of "&amp;$J$31)</f>
        <v>PAGE 20 of 22</v>
      </c>
    </row>
    <row r="28" spans="1:12" ht="15" x14ac:dyDescent="0.25">
      <c r="A28" s="198" t="s">
        <v>346</v>
      </c>
      <c r="B28" s="196"/>
      <c r="C28" s="200"/>
      <c r="J28">
        <f t="shared" si="1"/>
        <v>21</v>
      </c>
      <c r="K28" s="30" t="s">
        <v>386</v>
      </c>
      <c r="L28" t="str">
        <f t="shared" si="3"/>
        <v>PAGE 21 of 22</v>
      </c>
    </row>
    <row r="29" spans="1:12" ht="15" x14ac:dyDescent="0.25">
      <c r="A29" s="197" t="s">
        <v>347</v>
      </c>
      <c r="B29" s="196"/>
      <c r="C29" s="197" t="s">
        <v>348</v>
      </c>
      <c r="J29">
        <f t="shared" si="1"/>
        <v>22</v>
      </c>
      <c r="K29" s="30" t="s">
        <v>387</v>
      </c>
      <c r="L29" t="str">
        <f t="shared" si="3"/>
        <v>PAGE 22 of 22</v>
      </c>
    </row>
    <row r="30" spans="1:12" ht="15" x14ac:dyDescent="0.25">
      <c r="A30" s="197" t="s">
        <v>349</v>
      </c>
      <c r="B30" s="196"/>
      <c r="C30" s="197" t="s">
        <v>350</v>
      </c>
    </row>
    <row r="31" spans="1:12" ht="15" x14ac:dyDescent="0.25">
      <c r="A31" s="197" t="s">
        <v>351</v>
      </c>
      <c r="B31" s="196"/>
      <c r="C31" s="197" t="s">
        <v>352</v>
      </c>
      <c r="J31">
        <f>COUNT(J8:J29)</f>
        <v>22</v>
      </c>
    </row>
    <row r="33" spans="1:3" ht="15" x14ac:dyDescent="0.25">
      <c r="A33" s="196"/>
      <c r="B33" s="196"/>
      <c r="C33" s="203" t="s">
        <v>353</v>
      </c>
    </row>
    <row r="34" spans="1:3" ht="15" x14ac:dyDescent="0.25">
      <c r="A34" s="196"/>
      <c r="B34" s="196"/>
      <c r="C34" s="203" t="s">
        <v>354</v>
      </c>
    </row>
    <row r="35" spans="1:3" ht="15" x14ac:dyDescent="0.25">
      <c r="A35" s="198" t="s">
        <v>355</v>
      </c>
      <c r="B35" s="196"/>
      <c r="C35" s="196"/>
    </row>
    <row r="36" spans="1:3" ht="15" x14ac:dyDescent="0.25">
      <c r="A36" s="197" t="s">
        <v>356</v>
      </c>
      <c r="B36" s="196"/>
      <c r="C36" s="197" t="s">
        <v>357</v>
      </c>
    </row>
    <row r="37" spans="1:3" ht="15" x14ac:dyDescent="0.25">
      <c r="A37" s="197" t="s">
        <v>358</v>
      </c>
      <c r="B37" s="196"/>
      <c r="C37" s="197" t="s">
        <v>359</v>
      </c>
    </row>
    <row r="38" spans="1:3" ht="15" x14ac:dyDescent="0.25">
      <c r="A38" s="196"/>
      <c r="B38" s="196"/>
      <c r="C38" s="197" t="s">
        <v>360</v>
      </c>
    </row>
    <row r="39" spans="1:3" ht="15" x14ac:dyDescent="0.25">
      <c r="A39" s="196"/>
      <c r="B39" s="196"/>
      <c r="C39" s="197" t="s">
        <v>360</v>
      </c>
    </row>
    <row r="40" spans="1:3" ht="15" x14ac:dyDescent="0.25">
      <c r="A40" s="196"/>
      <c r="B40" s="196"/>
      <c r="C40" s="197" t="s">
        <v>360</v>
      </c>
    </row>
    <row r="41" spans="1:3" ht="15" x14ac:dyDescent="0.25">
      <c r="A41" s="196"/>
      <c r="B41" s="196"/>
      <c r="C41" s="197" t="s">
        <v>360</v>
      </c>
    </row>
    <row r="42" spans="1:3" ht="15" x14ac:dyDescent="0.25">
      <c r="A42" s="196"/>
      <c r="B42" s="196"/>
      <c r="C42" s="197" t="s">
        <v>360</v>
      </c>
    </row>
    <row r="43" spans="1:3" ht="15" x14ac:dyDescent="0.25">
      <c r="A43" s="196"/>
      <c r="B43" s="196"/>
      <c r="C43" s="197" t="s">
        <v>360</v>
      </c>
    </row>
    <row r="44" spans="1:3" ht="15" x14ac:dyDescent="0.25">
      <c r="A44" s="196"/>
      <c r="B44" s="196"/>
      <c r="C44" s="197" t="s">
        <v>360</v>
      </c>
    </row>
    <row r="45" spans="1:3" ht="15" x14ac:dyDescent="0.25">
      <c r="A45" s="196"/>
      <c r="B45" s="196"/>
      <c r="C45" s="197" t="s">
        <v>360</v>
      </c>
    </row>
    <row r="46" spans="1:3" ht="15" x14ac:dyDescent="0.25">
      <c r="A46" s="196"/>
      <c r="B46" s="196"/>
      <c r="C46" s="197" t="s">
        <v>360</v>
      </c>
    </row>
    <row r="47" spans="1:3" ht="15" x14ac:dyDescent="0.25">
      <c r="A47" s="196"/>
      <c r="B47" s="196"/>
      <c r="C47" s="197" t="s">
        <v>360</v>
      </c>
    </row>
    <row r="48" spans="1:3" ht="15" x14ac:dyDescent="0.25">
      <c r="A48" s="196"/>
      <c r="B48" s="196"/>
      <c r="C48" s="197" t="s">
        <v>360</v>
      </c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"/>
  <sheetViews>
    <sheetView view="pageBreakPreview" topLeftCell="A7" zoomScaleNormal="80" zoomScaleSheetLayoutView="100" workbookViewId="0">
      <selection activeCell="R33" sqref="R33"/>
    </sheetView>
  </sheetViews>
  <sheetFormatPr defaultRowHeight="12.75" x14ac:dyDescent="0.2"/>
  <cols>
    <col min="1" max="1" width="26.85546875" customWidth="1"/>
    <col min="2" max="2" width="3.5703125" customWidth="1"/>
    <col min="3" max="4" width="13.140625" customWidth="1"/>
    <col min="5" max="5" width="12.85546875" bestFit="1" customWidth="1"/>
    <col min="6" max="6" width="9.28515625" bestFit="1" customWidth="1"/>
    <col min="7" max="7" width="6.42578125" customWidth="1"/>
    <col min="8" max="8" width="7.85546875" customWidth="1"/>
    <col min="9" max="9" width="11.28515625" customWidth="1"/>
    <col min="10" max="10" width="3.5703125" customWidth="1"/>
    <col min="11" max="11" width="11.85546875" customWidth="1"/>
    <col min="12" max="12" width="9.85546875" customWidth="1"/>
    <col min="13" max="13" width="11.140625" bestFit="1" customWidth="1"/>
    <col min="14" max="14" width="7.140625" customWidth="1"/>
    <col min="15" max="15" width="11.5703125" customWidth="1"/>
    <col min="16" max="16" width="9.5703125" customWidth="1"/>
    <col min="17" max="17" width="11.140625" bestFit="1" customWidth="1"/>
    <col min="18" max="19" width="3" customWidth="1"/>
    <col min="21" max="21" width="2.7109375" customWidth="1"/>
  </cols>
  <sheetData>
    <row r="1" spans="1:23" x14ac:dyDescent="0.2">
      <c r="A1" s="377" t="str">
        <f>+'Rate Case Constants'!C9</f>
        <v>LOUISVILLE GAS AND ELECTRIC COMPANY</v>
      </c>
      <c r="B1" s="377"/>
      <c r="C1" s="377"/>
      <c r="D1" s="377"/>
      <c r="E1" s="377"/>
      <c r="F1" s="377"/>
      <c r="G1" s="377"/>
      <c r="H1" s="377"/>
    </row>
    <row r="2" spans="1:23" x14ac:dyDescent="0.2">
      <c r="A2" s="377" t="str">
        <f>+'Rate Case Constants'!C10</f>
        <v>CASE NO. 2014-00372</v>
      </c>
      <c r="B2" s="377"/>
      <c r="C2" s="377"/>
      <c r="D2" s="377"/>
      <c r="E2" s="377"/>
      <c r="F2" s="377"/>
      <c r="G2" s="377"/>
      <c r="H2" s="377"/>
    </row>
    <row r="3" spans="1:23" x14ac:dyDescent="0.2">
      <c r="A3" s="378" t="str">
        <f>+'Rate Case Constants'!C24</f>
        <v>Typical Electric Bill Comparison under Present &amp; Proposed Rates</v>
      </c>
      <c r="B3" s="378"/>
      <c r="C3" s="378"/>
      <c r="D3" s="378"/>
      <c r="E3" s="378"/>
      <c r="F3" s="378"/>
      <c r="G3" s="378"/>
      <c r="H3" s="378"/>
    </row>
    <row r="4" spans="1:23" x14ac:dyDescent="0.2">
      <c r="A4" s="377" t="str">
        <f>+'Rate Case Constants'!C21</f>
        <v>FORECAST PERIOD FOR THE 12 MONTHS ENDED JUNE 30, 2016</v>
      </c>
      <c r="B4" s="377"/>
      <c r="C4" s="377"/>
      <c r="D4" s="377"/>
      <c r="E4" s="377"/>
      <c r="F4" s="377"/>
      <c r="G4" s="377"/>
      <c r="H4" s="377"/>
    </row>
    <row r="7" spans="1:23" x14ac:dyDescent="0.2">
      <c r="A7" t="str">
        <f>+'Rate Case Constants'!C33</f>
        <v>DATA: ____BASE PERIOD__X___FORECASTED PERIOD</v>
      </c>
      <c r="H7" s="208" t="str">
        <f>+'Rate Case Constants'!C25</f>
        <v>SCHEDULE N (Electric)</v>
      </c>
    </row>
    <row r="8" spans="1:23" x14ac:dyDescent="0.2">
      <c r="A8" t="str">
        <f>+'Rate Case Constants'!C29</f>
        <v>TYPE OF FILING: __X__ ORIGINAL  _____ UPDATED  _____ REVISED</v>
      </c>
      <c r="H8" s="209" t="str">
        <f>+'Rate Case Constants'!L29</f>
        <v>PAGE 22 of 22</v>
      </c>
      <c r="L8" s="209"/>
    </row>
    <row r="9" spans="1:23" x14ac:dyDescent="0.2">
      <c r="A9" t="str">
        <f>+'Rate Case Constants'!C34</f>
        <v>WORKPAPER REFERENCE NO(S):________</v>
      </c>
      <c r="H9" s="209" t="str">
        <f>+'Rate Case Constants'!C37</f>
        <v>WITNESS:   R. M. CONROY</v>
      </c>
    </row>
    <row r="10" spans="1:23" x14ac:dyDescent="0.2">
      <c r="A10" s="16"/>
      <c r="B10" s="16"/>
      <c r="C10" s="16"/>
      <c r="D10" s="16"/>
      <c r="E10" s="16"/>
      <c r="F10" s="16"/>
      <c r="G10" s="16"/>
      <c r="H10" s="16"/>
    </row>
    <row r="11" spans="1:23" x14ac:dyDescent="0.2">
      <c r="A11" s="45" t="s">
        <v>113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4"/>
      <c r="P11" s="30"/>
      <c r="Q11" s="30"/>
    </row>
    <row r="12" spans="1:23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</row>
    <row r="13" spans="1:23" x14ac:dyDescent="0.2">
      <c r="A13" s="30"/>
      <c r="B13" s="30"/>
      <c r="C13" s="3" t="s">
        <v>362</v>
      </c>
      <c r="D13" s="3" t="s">
        <v>363</v>
      </c>
      <c r="E13" s="26" t="s">
        <v>364</v>
      </c>
      <c r="F13" s="3" t="s">
        <v>365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4" spans="1:23" x14ac:dyDescent="0.2">
      <c r="K14" s="50" t="s">
        <v>62</v>
      </c>
      <c r="L14" s="50"/>
      <c r="M14" s="50"/>
      <c r="O14" s="50" t="s">
        <v>63</v>
      </c>
      <c r="P14" s="50"/>
      <c r="Q14" s="50"/>
    </row>
    <row r="15" spans="1:23" x14ac:dyDescent="0.2">
      <c r="C15" s="3" t="s">
        <v>1</v>
      </c>
      <c r="D15" s="3" t="s">
        <v>75</v>
      </c>
      <c r="E15" s="3"/>
      <c r="F15" s="3"/>
      <c r="K15" s="26" t="s">
        <v>65</v>
      </c>
      <c r="L15" s="3"/>
      <c r="M15" s="26"/>
      <c r="O15" s="26" t="s">
        <v>65</v>
      </c>
      <c r="P15" s="3"/>
      <c r="Q15" s="26"/>
    </row>
    <row r="16" spans="1:23" x14ac:dyDescent="0.2">
      <c r="A16" s="3"/>
      <c r="B16" s="3"/>
      <c r="C16" s="3" t="s">
        <v>4</v>
      </c>
      <c r="D16" s="3" t="s">
        <v>4</v>
      </c>
      <c r="E16" s="3" t="s">
        <v>76</v>
      </c>
      <c r="F16" s="3" t="s">
        <v>76</v>
      </c>
      <c r="G16" s="3"/>
      <c r="H16" s="3"/>
      <c r="I16" s="3"/>
      <c r="J16" s="3"/>
      <c r="K16" s="26" t="s">
        <v>64</v>
      </c>
      <c r="L16" s="3" t="s">
        <v>59</v>
      </c>
      <c r="M16" s="26" t="s">
        <v>5</v>
      </c>
      <c r="O16" s="26" t="s">
        <v>64</v>
      </c>
      <c r="P16" s="3" t="s">
        <v>59</v>
      </c>
      <c r="Q16" s="26" t="s">
        <v>5</v>
      </c>
      <c r="S16" s="2"/>
      <c r="T16" s="3" t="s">
        <v>6</v>
      </c>
      <c r="U16" s="3"/>
      <c r="V16" s="3" t="s">
        <v>8</v>
      </c>
      <c r="W16" s="3"/>
    </row>
    <row r="17" spans="1:23" x14ac:dyDescent="0.2">
      <c r="A17" s="3" t="s">
        <v>114</v>
      </c>
      <c r="B17" s="3"/>
      <c r="C17" s="3"/>
      <c r="D17" s="3"/>
      <c r="E17" s="3" t="s">
        <v>70</v>
      </c>
      <c r="F17" s="26" t="s">
        <v>71</v>
      </c>
      <c r="G17" s="3"/>
      <c r="H17" s="3"/>
      <c r="I17" s="3"/>
      <c r="J17" s="3"/>
      <c r="K17" s="82" t="s">
        <v>3</v>
      </c>
      <c r="L17" s="83" t="s">
        <v>3</v>
      </c>
      <c r="M17" s="82" t="s">
        <v>4</v>
      </c>
      <c r="O17" s="82" t="s">
        <v>3</v>
      </c>
      <c r="P17" s="83" t="s">
        <v>3</v>
      </c>
      <c r="Q17" s="82" t="s">
        <v>4</v>
      </c>
      <c r="S17" s="2"/>
      <c r="T17" s="3" t="s">
        <v>7</v>
      </c>
      <c r="U17" s="3"/>
      <c r="V17" s="3" t="s">
        <v>7</v>
      </c>
      <c r="W17" s="3"/>
    </row>
    <row r="18" spans="1:23" x14ac:dyDescent="0.2">
      <c r="A18" s="3" t="s">
        <v>115</v>
      </c>
      <c r="B18" s="3"/>
      <c r="C18" s="3"/>
      <c r="D18" s="3"/>
      <c r="E18" s="222" t="str">
        <f>("[ "&amp;D13&amp;" - "&amp;C13&amp;" ]")</f>
        <v>[ B - A ]</v>
      </c>
      <c r="F18" s="222" t="str">
        <f>("[ "&amp;E13&amp;" / "&amp;C13&amp;" ]")</f>
        <v>[ C / A ]</v>
      </c>
      <c r="G18" s="3"/>
      <c r="H18" s="3"/>
      <c r="I18" s="3"/>
      <c r="J18" s="3"/>
      <c r="K18" s="111">
        <f>+INPUT!$Q$4</f>
        <v>9.11</v>
      </c>
      <c r="L18" s="33">
        <v>0</v>
      </c>
      <c r="M18" s="26"/>
      <c r="O18" s="111">
        <f>+INPUT!$Q$4</f>
        <v>9.11</v>
      </c>
      <c r="P18" s="33">
        <v>0</v>
      </c>
      <c r="Q18" s="26"/>
      <c r="S18" s="2"/>
      <c r="T18" s="3"/>
      <c r="U18" s="3"/>
      <c r="V18" s="3"/>
      <c r="W18" s="3"/>
    </row>
    <row r="19" spans="1:23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26" t="s">
        <v>116</v>
      </c>
      <c r="L19" s="3" t="s">
        <v>14</v>
      </c>
      <c r="M19" s="26"/>
      <c r="O19" s="26" t="s">
        <v>116</v>
      </c>
      <c r="P19" s="3" t="s">
        <v>14</v>
      </c>
      <c r="Q19" s="26"/>
      <c r="S19" s="2"/>
      <c r="T19" s="3"/>
      <c r="U19" s="3"/>
      <c r="V19" s="3"/>
      <c r="W19" s="3"/>
    </row>
    <row r="20" spans="1:23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L20" s="3"/>
      <c r="M20" s="3"/>
      <c r="P20" s="3"/>
      <c r="Q20" s="3"/>
    </row>
    <row r="21" spans="1:23" x14ac:dyDescent="0.2">
      <c r="A21" s="110">
        <v>1000</v>
      </c>
      <c r="C21" s="29">
        <f>+M21</f>
        <v>9110</v>
      </c>
      <c r="D21" s="29">
        <f>+Q21</f>
        <v>9110</v>
      </c>
      <c r="E21" s="29">
        <f>+D21-C21</f>
        <v>0</v>
      </c>
      <c r="F21" s="57">
        <f>ROUND(+E21/C21,4)</f>
        <v>0</v>
      </c>
      <c r="K21" s="7">
        <f>+$K$18*$A21</f>
        <v>9110</v>
      </c>
      <c r="L21" s="6"/>
      <c r="M21" s="6">
        <f>K21+L21</f>
        <v>9110</v>
      </c>
      <c r="O21" s="7">
        <f>+$O$18*$A21</f>
        <v>9110</v>
      </c>
      <c r="P21" s="6"/>
      <c r="Q21" s="6">
        <f>O21+P21</f>
        <v>9110</v>
      </c>
      <c r="T21" s="6">
        <f>Q21-M21</f>
        <v>0</v>
      </c>
      <c r="V21" s="8">
        <f>Q21/M21-1</f>
        <v>0</v>
      </c>
      <c r="W21" s="8"/>
    </row>
    <row r="22" spans="1:23" x14ac:dyDescent="0.2">
      <c r="A22" s="110"/>
      <c r="C22" s="29"/>
      <c r="D22" s="29"/>
      <c r="E22" s="29"/>
      <c r="K22" s="7"/>
      <c r="L22" s="6"/>
      <c r="M22" s="6"/>
      <c r="O22" s="7"/>
      <c r="P22" s="6"/>
      <c r="Q22" s="6"/>
      <c r="V22" s="8"/>
      <c r="W22" s="8"/>
    </row>
    <row r="23" spans="1:23" x14ac:dyDescent="0.2">
      <c r="A23" s="110">
        <v>5000</v>
      </c>
      <c r="C23" s="29">
        <f>+M23</f>
        <v>45550</v>
      </c>
      <c r="D23" s="29">
        <f>+Q23</f>
        <v>45550</v>
      </c>
      <c r="E23" s="29">
        <f>+D23-C23</f>
        <v>0</v>
      </c>
      <c r="F23" s="57">
        <f>ROUND(+E23/C23,4)</f>
        <v>0</v>
      </c>
      <c r="K23" s="7">
        <f>+$K$18*$A23</f>
        <v>45550</v>
      </c>
      <c r="L23" s="6"/>
      <c r="M23" s="6">
        <f>K23+L23</f>
        <v>45550</v>
      </c>
      <c r="O23" s="7">
        <f>+$O$18*$A23</f>
        <v>45550</v>
      </c>
      <c r="P23" s="6"/>
      <c r="Q23" s="6">
        <f>O23+P23</f>
        <v>45550</v>
      </c>
      <c r="T23" s="6">
        <f>Q23-M23</f>
        <v>0</v>
      </c>
      <c r="V23" s="8">
        <f>Q23/M23-1</f>
        <v>0</v>
      </c>
      <c r="W23" s="8"/>
    </row>
    <row r="24" spans="1:23" x14ac:dyDescent="0.2">
      <c r="A24" s="110"/>
      <c r="C24" s="29"/>
      <c r="D24" s="29"/>
      <c r="E24" s="29"/>
      <c r="F24" s="57"/>
      <c r="K24" s="58"/>
      <c r="L24" s="6"/>
      <c r="M24" s="6"/>
      <c r="O24" s="7"/>
      <c r="P24" s="6"/>
      <c r="Q24" s="6"/>
      <c r="V24" s="27"/>
      <c r="W24" s="27"/>
    </row>
    <row r="25" spans="1:23" s="10" customFormat="1" x14ac:dyDescent="0.2">
      <c r="A25" s="110">
        <v>10000</v>
      </c>
      <c r="B25"/>
      <c r="C25" s="29">
        <f>+M25</f>
        <v>91100</v>
      </c>
      <c r="D25" s="29">
        <f>+Q25</f>
        <v>91100</v>
      </c>
      <c r="E25" s="29">
        <f>+D25-C25</f>
        <v>0</v>
      </c>
      <c r="F25" s="57">
        <f>ROUND(+E25/C25,4)</f>
        <v>0</v>
      </c>
      <c r="K25" s="7">
        <f>+$K$18*$A25</f>
        <v>91100</v>
      </c>
      <c r="L25" s="6"/>
      <c r="M25" s="11">
        <f>K25+L25</f>
        <v>91100</v>
      </c>
      <c r="O25" s="7">
        <f>+$O$18*$A25</f>
        <v>91100</v>
      </c>
      <c r="P25" s="6"/>
      <c r="Q25" s="11">
        <f>O25+P25</f>
        <v>91100</v>
      </c>
      <c r="T25" s="11">
        <f>Q25-M25</f>
        <v>0</v>
      </c>
      <c r="V25" s="27">
        <f>Q25/M25-1</f>
        <v>0</v>
      </c>
      <c r="W25" s="27"/>
    </row>
    <row r="26" spans="1:23" x14ac:dyDescent="0.2">
      <c r="A26" s="110"/>
      <c r="C26" s="29"/>
      <c r="D26" s="29"/>
      <c r="E26" s="29"/>
      <c r="K26" s="7"/>
      <c r="L26" s="6"/>
      <c r="M26" s="6"/>
      <c r="O26" s="7"/>
      <c r="P26" s="6"/>
      <c r="Q26" s="6"/>
      <c r="V26" s="8"/>
      <c r="W26" s="8"/>
    </row>
    <row r="27" spans="1:23" s="10" customFormat="1" x14ac:dyDescent="0.2">
      <c r="A27" s="110">
        <v>20000</v>
      </c>
      <c r="B27"/>
      <c r="C27" s="29">
        <f>+M27</f>
        <v>182200</v>
      </c>
      <c r="D27" s="29">
        <f>+Q27</f>
        <v>182200</v>
      </c>
      <c r="E27" s="29">
        <f>+D27-C27</f>
        <v>0</v>
      </c>
      <c r="F27" s="57">
        <f>ROUND(+E27/C27,4)</f>
        <v>0</v>
      </c>
      <c r="K27" s="7">
        <f>+$K$18*$A27</f>
        <v>182200</v>
      </c>
      <c r="L27" s="6"/>
      <c r="M27" s="11">
        <f>K27+L27</f>
        <v>182200</v>
      </c>
      <c r="O27" s="7">
        <f>+$O$18*$A27</f>
        <v>182200</v>
      </c>
      <c r="P27" s="6"/>
      <c r="Q27" s="11">
        <f>O27+P27</f>
        <v>182200</v>
      </c>
      <c r="T27" s="11">
        <f>Q27-M27</f>
        <v>0</v>
      </c>
      <c r="V27" s="27">
        <f>Q27/M27-1</f>
        <v>0</v>
      </c>
      <c r="W27" s="27"/>
    </row>
    <row r="28" spans="1:23" x14ac:dyDescent="0.2">
      <c r="A28" s="110"/>
      <c r="C28" s="29"/>
      <c r="D28" s="29"/>
      <c r="E28" s="29"/>
      <c r="K28" s="7"/>
      <c r="L28" s="6"/>
      <c r="M28" s="6"/>
      <c r="O28" s="7"/>
      <c r="P28" s="6"/>
      <c r="Q28" s="6"/>
      <c r="V28" s="8"/>
      <c r="W28" s="8"/>
    </row>
    <row r="29" spans="1:23" x14ac:dyDescent="0.2">
      <c r="A29" s="110">
        <v>30000</v>
      </c>
      <c r="C29" s="29">
        <f>+M29</f>
        <v>273300</v>
      </c>
      <c r="D29" s="29">
        <f>+Q29</f>
        <v>273300</v>
      </c>
      <c r="E29" s="29">
        <f>+D29-C29</f>
        <v>0</v>
      </c>
      <c r="F29" s="57">
        <f>ROUND(+E29/C29,4)</f>
        <v>0</v>
      </c>
      <c r="K29" s="7">
        <f>+$K$18*$A29</f>
        <v>273300</v>
      </c>
      <c r="L29" s="6"/>
      <c r="M29" s="6">
        <f>K29+L29</f>
        <v>273300</v>
      </c>
      <c r="O29" s="7">
        <f>+$O$18*$A29</f>
        <v>273300</v>
      </c>
      <c r="P29" s="6"/>
      <c r="Q29" s="6">
        <f>O29+P29</f>
        <v>273300</v>
      </c>
      <c r="T29" s="6">
        <f>Q29-M29</f>
        <v>0</v>
      </c>
      <c r="V29" s="8">
        <f>Q29/M29-1</f>
        <v>0</v>
      </c>
      <c r="W29" s="8"/>
    </row>
    <row r="30" spans="1:23" x14ac:dyDescent="0.2">
      <c r="A30" s="5"/>
      <c r="C30" s="29"/>
      <c r="D30" s="29"/>
      <c r="E30" s="29"/>
      <c r="K30" s="7"/>
      <c r="L30" s="6"/>
      <c r="M30" s="6"/>
      <c r="O30" s="7"/>
      <c r="P30" s="6"/>
      <c r="Q30" s="6"/>
      <c r="V30" s="8"/>
      <c r="W30" s="8"/>
    </row>
    <row r="31" spans="1:23" x14ac:dyDescent="0.2">
      <c r="A31" s="110">
        <v>40000</v>
      </c>
      <c r="C31" s="29">
        <f>+M31</f>
        <v>364400</v>
      </c>
      <c r="D31" s="29">
        <f>+Q31</f>
        <v>364400</v>
      </c>
      <c r="E31" s="29">
        <f>+D31-C31</f>
        <v>0</v>
      </c>
      <c r="F31" s="57">
        <f>ROUND(+E31/C31,4)</f>
        <v>0</v>
      </c>
      <c r="K31" s="7">
        <f>+$K$18*$A31</f>
        <v>364400</v>
      </c>
      <c r="L31" s="6"/>
      <c r="M31" s="6">
        <f>K31+L31</f>
        <v>364400</v>
      </c>
      <c r="O31" s="7">
        <f>+$O$18*$A31</f>
        <v>364400</v>
      </c>
      <c r="P31" s="6"/>
      <c r="Q31" s="6">
        <f>O31+P31</f>
        <v>364400</v>
      </c>
      <c r="T31" s="6">
        <f>Q31-M31</f>
        <v>0</v>
      </c>
      <c r="V31" s="8">
        <f>Q31/M31-1</f>
        <v>0</v>
      </c>
      <c r="W31" s="8"/>
    </row>
    <row r="32" spans="1:23" x14ac:dyDescent="0.2">
      <c r="A32" s="110"/>
      <c r="C32" s="29"/>
      <c r="D32" s="29"/>
      <c r="E32" s="29"/>
      <c r="K32" s="7"/>
      <c r="L32" s="6"/>
      <c r="M32" s="6"/>
      <c r="O32" s="7"/>
      <c r="P32" s="6"/>
      <c r="Q32" s="6"/>
      <c r="V32" s="8"/>
      <c r="W32" s="8"/>
    </row>
    <row r="33" spans="1:23" x14ac:dyDescent="0.2">
      <c r="A33" s="110">
        <v>50000</v>
      </c>
      <c r="C33" s="29">
        <f>+M33</f>
        <v>455500</v>
      </c>
      <c r="D33" s="29">
        <f>+Q33</f>
        <v>455500</v>
      </c>
      <c r="E33" s="29">
        <f>+D33-C33</f>
        <v>0</v>
      </c>
      <c r="F33" s="57">
        <f>ROUND(+E33/C33,4)</f>
        <v>0</v>
      </c>
      <c r="K33" s="7">
        <f>+$K$18*$A33</f>
        <v>455500</v>
      </c>
      <c r="L33" s="6"/>
      <c r="M33" s="6">
        <f>K33+L33</f>
        <v>455500</v>
      </c>
      <c r="O33" s="7">
        <f>+$O$18*$A33</f>
        <v>455500</v>
      </c>
      <c r="P33" s="6"/>
      <c r="Q33" s="6">
        <f>O33+P33</f>
        <v>455500</v>
      </c>
      <c r="T33" s="6">
        <f>Q33-M33</f>
        <v>0</v>
      </c>
      <c r="V33" s="8">
        <f>Q33/M33-1</f>
        <v>0</v>
      </c>
      <c r="W33" s="8"/>
    </row>
    <row r="34" spans="1:23" x14ac:dyDescent="0.2">
      <c r="A34" s="5"/>
      <c r="C34" s="29"/>
      <c r="D34" s="29"/>
      <c r="E34" s="29"/>
      <c r="K34" s="7"/>
      <c r="L34" s="6"/>
      <c r="M34" s="6"/>
      <c r="O34" s="7"/>
      <c r="P34" s="6"/>
      <c r="Q34" s="6"/>
      <c r="V34" s="8"/>
      <c r="W34" s="8"/>
    </row>
    <row r="35" spans="1:23" x14ac:dyDescent="0.2">
      <c r="A35" s="110">
        <v>100000</v>
      </c>
      <c r="C35" s="29">
        <f>+M35</f>
        <v>911000</v>
      </c>
      <c r="D35" s="29">
        <f>+Q35</f>
        <v>911000</v>
      </c>
      <c r="E35" s="29">
        <f>+D35-C35</f>
        <v>0</v>
      </c>
      <c r="F35" s="57">
        <f>ROUND(+E35/C35,4)</f>
        <v>0</v>
      </c>
      <c r="K35" s="7">
        <f>+$K$18*$A35</f>
        <v>911000</v>
      </c>
      <c r="L35" s="6"/>
      <c r="M35" s="6">
        <f>K35+L35</f>
        <v>911000</v>
      </c>
      <c r="O35" s="7">
        <f>+$O$18*$A35</f>
        <v>911000</v>
      </c>
      <c r="P35" s="6"/>
      <c r="Q35" s="6">
        <f>O35+P35</f>
        <v>911000</v>
      </c>
      <c r="T35" s="6">
        <f>Q35-M35</f>
        <v>0</v>
      </c>
      <c r="V35" s="8">
        <f>Q35/M35-1</f>
        <v>0</v>
      </c>
      <c r="W35" s="8"/>
    </row>
    <row r="36" spans="1:23" x14ac:dyDescent="0.2">
      <c r="A36" s="5"/>
      <c r="C36" s="29"/>
      <c r="D36" s="29"/>
      <c r="E36" s="29"/>
      <c r="K36" s="7"/>
      <c r="L36" s="6"/>
      <c r="M36" s="6"/>
      <c r="O36" s="7"/>
      <c r="P36" s="6"/>
      <c r="Q36" s="6"/>
      <c r="V36" s="8"/>
      <c r="W36" s="8"/>
    </row>
    <row r="37" spans="1:23" x14ac:dyDescent="0.2">
      <c r="A37" s="30" t="s">
        <v>398</v>
      </c>
      <c r="C37" s="6"/>
      <c r="D37" s="6"/>
      <c r="E37" s="29"/>
      <c r="F37" s="57"/>
      <c r="K37" s="7"/>
      <c r="L37" s="6"/>
      <c r="M37" s="6"/>
      <c r="O37" s="7"/>
      <c r="P37" s="6"/>
      <c r="Q37" s="6"/>
      <c r="T37" s="6"/>
      <c r="V37" s="8"/>
      <c r="W37" s="8"/>
    </row>
    <row r="39" spans="1:23" x14ac:dyDescent="0.2">
      <c r="K39" s="7"/>
    </row>
    <row r="41" spans="1:23" s="17" customFormat="1" x14ac:dyDescent="0.2">
      <c r="A41" s="84"/>
    </row>
    <row r="42" spans="1:23" s="17" customFormat="1" x14ac:dyDescent="0.2"/>
    <row r="44" spans="1:23" ht="12" customHeight="1" x14ac:dyDescent="0.2"/>
  </sheetData>
  <mergeCells count="4">
    <mergeCell ref="A1:H1"/>
    <mergeCell ref="A2:H2"/>
    <mergeCell ref="A3:H3"/>
    <mergeCell ref="A4:H4"/>
  </mergeCells>
  <printOptions horizontalCentered="1"/>
  <pageMargins left="0.25" right="0.25" top="1" bottom="0.5" header="1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"/>
  <sheetViews>
    <sheetView topLeftCell="A2" workbookViewId="0">
      <selection activeCell="C47" sqref="C47"/>
    </sheetView>
  </sheetViews>
  <sheetFormatPr defaultRowHeight="12.75" x14ac:dyDescent="0.2"/>
  <cols>
    <col min="1" max="16384" width="9.140625" style="314"/>
  </cols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3"/>
  <sheetViews>
    <sheetView view="pageBreakPreview" zoomScaleNormal="80" zoomScaleSheetLayoutView="100" workbookViewId="0">
      <selection activeCell="R1" sqref="R1"/>
    </sheetView>
  </sheetViews>
  <sheetFormatPr defaultRowHeight="12.75" x14ac:dyDescent="0.2"/>
  <cols>
    <col min="1" max="1" width="10" style="17" customWidth="1"/>
    <col min="2" max="2" width="3.5703125" style="17" customWidth="1"/>
    <col min="3" max="4" width="10.140625" style="17" bestFit="1" customWidth="1"/>
    <col min="5" max="6" width="9.28515625" style="17" bestFit="1" customWidth="1"/>
    <col min="7" max="7" width="10.7109375" style="17" bestFit="1" customWidth="1"/>
    <col min="8" max="8" width="10" style="17" bestFit="1" customWidth="1"/>
    <col min="9" max="9" width="10" style="17" customWidth="1"/>
    <col min="10" max="11" width="10.5703125" style="17" bestFit="1" customWidth="1"/>
    <col min="12" max="12" width="9.28515625" style="17" bestFit="1" customWidth="1"/>
    <col min="13" max="13" width="10.42578125" style="17" customWidth="1"/>
    <col min="14" max="14" width="10.140625" style="17" customWidth="1"/>
    <col min="15" max="16" width="3.5703125" style="17" customWidth="1"/>
    <col min="17" max="17" width="11.85546875" style="17" customWidth="1"/>
    <col min="18" max="18" width="9.85546875" style="17" customWidth="1"/>
    <col min="19" max="19" width="9.5703125" style="17" customWidth="1"/>
    <col min="20" max="20" width="7.140625" style="17" customWidth="1"/>
    <col min="21" max="21" width="11.5703125" style="17" customWidth="1"/>
    <col min="22" max="22" width="9.5703125" style="17" customWidth="1"/>
    <col min="23" max="23" width="9.140625" style="17"/>
    <col min="24" max="25" width="3" style="17" customWidth="1"/>
    <col min="26" max="26" width="9.140625" style="17"/>
    <col min="27" max="27" width="2.7109375" style="17" customWidth="1"/>
    <col min="28" max="16384" width="9.140625" style="17"/>
  </cols>
  <sheetData>
    <row r="1" spans="1:29" x14ac:dyDescent="0.2">
      <c r="A1" s="374" t="str">
        <f>+'Rate Case Constants'!C9</f>
        <v>LOUISVILLE GAS AND ELECTRIC COMPANY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29" x14ac:dyDescent="0.2">
      <c r="A2" s="374" t="str">
        <f>+'Rate Case Constants'!C10</f>
        <v>CASE NO. 2014-00372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</row>
    <row r="3" spans="1:29" x14ac:dyDescent="0.2">
      <c r="A3" s="376" t="str">
        <f>+'Rate Case Constants'!C24</f>
        <v>Typical Electric Bill Comparison under Present &amp; Proposed Rates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</row>
    <row r="4" spans="1:29" x14ac:dyDescent="0.2">
      <c r="A4" s="374" t="str">
        <f>+'Rate Case Constants'!C21</f>
        <v>FORECAST PERIOD FOR THE 12 MONTHS ENDED JUNE 30, 2016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</row>
    <row r="7" spans="1:29" x14ac:dyDescent="0.2">
      <c r="A7" s="17" t="str">
        <f>+'Rate Case Constants'!C33</f>
        <v>DATA: ____BASE PERIOD__X___FORECASTED PERIOD</v>
      </c>
      <c r="L7" s="207" t="str">
        <f>+'Rate Case Constants'!C25</f>
        <v>SCHEDULE N (Electric)</v>
      </c>
    </row>
    <row r="8" spans="1:29" x14ac:dyDescent="0.2">
      <c r="A8" s="17" t="str">
        <f>+'Rate Case Constants'!C29</f>
        <v>TYPE OF FILING: __X__ ORIGINAL  _____ UPDATED  _____ REVISED</v>
      </c>
      <c r="L8" s="99" t="str">
        <f>+'Rate Case Constants'!L8</f>
        <v>PAGE 1 of 22</v>
      </c>
    </row>
    <row r="9" spans="1:29" x14ac:dyDescent="0.2">
      <c r="A9" s="17" t="str">
        <f>+'Rate Case Constants'!C34</f>
        <v>WORKPAPER REFERENCE NO(S):________</v>
      </c>
      <c r="L9" s="99" t="str">
        <f>+'Rate Case Constants'!C37</f>
        <v>WITNESS:   R. M. CONROY</v>
      </c>
    </row>
    <row r="10" spans="1:29" x14ac:dyDescent="0.2">
      <c r="A10" s="204"/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Q10" s="86" t="s">
        <v>72</v>
      </c>
      <c r="R10" s="86">
        <f>+INPUT!$G$48</f>
        <v>-1.9405635785474653E-4</v>
      </c>
    </row>
    <row r="11" spans="1:29" x14ac:dyDescent="0.2">
      <c r="A11" s="88" t="s">
        <v>106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86" t="s">
        <v>74</v>
      </c>
      <c r="R11" s="86">
        <f>+INPUT!$H$48</f>
        <v>1.8615357854059587E-3</v>
      </c>
      <c r="S11" s="91"/>
      <c r="T11" s="91"/>
      <c r="U11" s="117"/>
      <c r="V11" s="91"/>
      <c r="W11" s="91"/>
    </row>
    <row r="12" spans="1:29" x14ac:dyDescent="0.2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86" t="s">
        <v>73</v>
      </c>
      <c r="R12" s="86">
        <f>+INPUT!$I$48</f>
        <v>8.835577448532023E-3</v>
      </c>
      <c r="S12" s="91"/>
      <c r="T12" s="91"/>
      <c r="U12" s="91"/>
      <c r="V12" s="91"/>
      <c r="W12" s="91"/>
    </row>
    <row r="13" spans="1:29" x14ac:dyDescent="0.2">
      <c r="A13" s="91"/>
      <c r="B13" s="91"/>
      <c r="C13" s="222" t="s">
        <v>362</v>
      </c>
      <c r="D13" s="223" t="s">
        <v>363</v>
      </c>
      <c r="E13" s="223" t="s">
        <v>364</v>
      </c>
      <c r="F13" s="222" t="s">
        <v>365</v>
      </c>
      <c r="G13" s="222" t="s">
        <v>366</v>
      </c>
      <c r="H13" s="222" t="s">
        <v>367</v>
      </c>
      <c r="I13" s="223" t="s">
        <v>368</v>
      </c>
      <c r="J13" s="222" t="s">
        <v>369</v>
      </c>
      <c r="K13" s="222" t="s">
        <v>370</v>
      </c>
      <c r="L13" s="222" t="s">
        <v>371</v>
      </c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</row>
    <row r="14" spans="1:29" x14ac:dyDescent="0.2">
      <c r="C14" s="351" t="s">
        <v>406</v>
      </c>
      <c r="D14" s="351" t="s">
        <v>406</v>
      </c>
      <c r="E14" s="226"/>
      <c r="F14" s="226"/>
      <c r="G14" s="226"/>
      <c r="H14" s="226"/>
      <c r="I14" s="226"/>
      <c r="J14" s="222" t="s">
        <v>5</v>
      </c>
      <c r="K14" s="222" t="s">
        <v>5</v>
      </c>
      <c r="L14" s="226"/>
      <c r="Q14" s="118" t="s">
        <v>62</v>
      </c>
      <c r="R14" s="118"/>
      <c r="S14" s="118"/>
      <c r="U14" s="118" t="s">
        <v>63</v>
      </c>
      <c r="V14" s="118"/>
      <c r="W14" s="118"/>
    </row>
    <row r="15" spans="1:29" x14ac:dyDescent="0.2">
      <c r="C15" s="222" t="s">
        <v>1</v>
      </c>
      <c r="D15" s="222" t="s">
        <v>75</v>
      </c>
      <c r="E15" s="222"/>
      <c r="F15" s="222"/>
      <c r="G15" s="372" t="s">
        <v>136</v>
      </c>
      <c r="H15" s="372"/>
      <c r="I15" s="373"/>
      <c r="J15" s="222" t="s">
        <v>1</v>
      </c>
      <c r="K15" s="222" t="s">
        <v>75</v>
      </c>
      <c r="L15" s="222"/>
      <c r="M15" s="89" t="s">
        <v>1</v>
      </c>
      <c r="N15" s="89" t="s">
        <v>75</v>
      </c>
      <c r="Q15" s="90" t="s">
        <v>65</v>
      </c>
      <c r="R15" s="89"/>
      <c r="S15" s="90"/>
      <c r="U15" s="90" t="s">
        <v>65</v>
      </c>
      <c r="V15" s="89"/>
      <c r="W15" s="90"/>
    </row>
    <row r="16" spans="1:29" x14ac:dyDescent="0.2">
      <c r="A16" s="89"/>
      <c r="B16" s="89"/>
      <c r="C16" s="222" t="s">
        <v>4</v>
      </c>
      <c r="D16" s="222" t="s">
        <v>4</v>
      </c>
      <c r="E16" s="222" t="s">
        <v>76</v>
      </c>
      <c r="F16" s="222" t="s">
        <v>76</v>
      </c>
      <c r="G16" s="222" t="s">
        <v>72</v>
      </c>
      <c r="H16" s="222" t="s">
        <v>74</v>
      </c>
      <c r="I16" s="222" t="s">
        <v>73</v>
      </c>
      <c r="J16" s="222" t="s">
        <v>4</v>
      </c>
      <c r="K16" s="222" t="s">
        <v>4</v>
      </c>
      <c r="L16" s="222" t="s">
        <v>76</v>
      </c>
      <c r="M16" s="89" t="s">
        <v>4</v>
      </c>
      <c r="N16" s="89" t="s">
        <v>4</v>
      </c>
      <c r="O16" s="89"/>
      <c r="P16" s="89"/>
      <c r="Q16" s="90" t="s">
        <v>64</v>
      </c>
      <c r="R16" s="89" t="s">
        <v>59</v>
      </c>
      <c r="S16" s="90" t="s">
        <v>5</v>
      </c>
      <c r="U16" s="90" t="s">
        <v>64</v>
      </c>
      <c r="V16" s="89" t="s">
        <v>59</v>
      </c>
      <c r="W16" s="90" t="s">
        <v>5</v>
      </c>
      <c r="Y16" s="86"/>
      <c r="Z16" s="89" t="s">
        <v>6</v>
      </c>
      <c r="AA16" s="89"/>
      <c r="AB16" s="89" t="s">
        <v>8</v>
      </c>
      <c r="AC16" s="89"/>
    </row>
    <row r="17" spans="1:29" x14ac:dyDescent="0.2">
      <c r="A17" s="89" t="s">
        <v>51</v>
      </c>
      <c r="B17" s="89"/>
      <c r="C17" s="222"/>
      <c r="D17" s="222"/>
      <c r="E17" s="222" t="s">
        <v>70</v>
      </c>
      <c r="F17" s="223" t="s">
        <v>71</v>
      </c>
      <c r="G17" s="224"/>
      <c r="H17" s="224"/>
      <c r="I17" s="225"/>
      <c r="J17" s="222" t="s">
        <v>70</v>
      </c>
      <c r="K17" s="222" t="s">
        <v>70</v>
      </c>
      <c r="L17" s="223" t="s">
        <v>71</v>
      </c>
      <c r="M17" s="89" t="s">
        <v>390</v>
      </c>
      <c r="N17" s="89" t="s">
        <v>390</v>
      </c>
      <c r="O17" s="89"/>
      <c r="P17" s="89"/>
      <c r="Q17" s="112" t="s">
        <v>3</v>
      </c>
      <c r="R17" s="113" t="s">
        <v>3</v>
      </c>
      <c r="S17" s="112" t="s">
        <v>4</v>
      </c>
      <c r="U17" s="112" t="s">
        <v>3</v>
      </c>
      <c r="V17" s="113" t="s">
        <v>3</v>
      </c>
      <c r="W17" s="112" t="s">
        <v>4</v>
      </c>
      <c r="Y17" s="86"/>
      <c r="Z17" s="89" t="s">
        <v>7</v>
      </c>
      <c r="AA17" s="89"/>
      <c r="AB17" s="89" t="s">
        <v>7</v>
      </c>
      <c r="AC17" s="89"/>
    </row>
    <row r="18" spans="1:29" x14ac:dyDescent="0.2">
      <c r="A18" s="89"/>
      <c r="B18" s="89"/>
      <c r="C18" s="222"/>
      <c r="D18" s="222"/>
      <c r="E18" s="222" t="str">
        <f>("[ "&amp;D13&amp;" - "&amp;C13&amp;" ]")</f>
        <v>[ B - A ]</v>
      </c>
      <c r="F18" s="222" t="str">
        <f>("[ "&amp;E13&amp;" / "&amp;C13&amp;" ]")</f>
        <v>[ C / A ]</v>
      </c>
      <c r="G18" s="224"/>
      <c r="H18" s="224"/>
      <c r="I18" s="224"/>
      <c r="J18" s="222" t="str">
        <f>("["&amp;C13&amp;"+"&amp;$G$13&amp;"+"&amp;$H$13&amp;"+"&amp;$I$13&amp;"]")</f>
        <v>[A+E+F+G]</v>
      </c>
      <c r="K18" s="222" t="str">
        <f>("["&amp;D13&amp;"+"&amp;$G$13&amp;"+"&amp;$H$13&amp;"+"&amp;$I$13&amp;"]")</f>
        <v>[B+E+F+G]</v>
      </c>
      <c r="L18" s="222" t="str">
        <f>("[("&amp;K13&amp;" - "&amp;J13&amp;")/"&amp;J13&amp;"]")</f>
        <v>[(I - H)/H]</v>
      </c>
      <c r="M18" s="89"/>
      <c r="N18" s="89"/>
      <c r="O18" s="89"/>
      <c r="P18" s="222"/>
      <c r="Q18" s="90"/>
      <c r="R18" s="119">
        <f>+INPUT!$B$6</f>
        <v>8.0759999999999998E-2</v>
      </c>
      <c r="S18" s="90"/>
      <c r="U18" s="90"/>
      <c r="V18" s="119">
        <f>INPUT!$B$27</f>
        <v>7.6179999999999998E-2</v>
      </c>
      <c r="W18" s="90"/>
      <c r="Y18" s="86"/>
      <c r="Z18" s="89"/>
      <c r="AA18" s="89"/>
      <c r="AB18" s="89"/>
      <c r="AC18" s="89"/>
    </row>
    <row r="19" spans="1:29" x14ac:dyDescent="0.2">
      <c r="A19" s="89"/>
      <c r="B19" s="89"/>
      <c r="C19" s="3"/>
      <c r="D19" s="3"/>
      <c r="E19" s="222"/>
      <c r="F19" s="222"/>
      <c r="G19" s="3"/>
      <c r="H19" s="3"/>
      <c r="I19" s="3"/>
      <c r="J19" s="222"/>
      <c r="K19" s="3"/>
      <c r="L19" s="222"/>
      <c r="M19" s="89"/>
      <c r="N19" s="89"/>
      <c r="O19" s="89"/>
      <c r="P19" s="89"/>
      <c r="Q19" s="90"/>
      <c r="R19" s="89" t="s">
        <v>14</v>
      </c>
      <c r="S19" s="90"/>
      <c r="U19" s="90"/>
      <c r="V19" s="89" t="s">
        <v>14</v>
      </c>
      <c r="W19" s="90"/>
      <c r="Y19" s="86"/>
      <c r="Z19" s="89"/>
      <c r="AA19" s="89"/>
      <c r="AB19" s="89"/>
      <c r="AC19" s="89"/>
    </row>
    <row r="20" spans="1:29" x14ac:dyDescent="0.2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R20" s="89"/>
      <c r="S20" s="89"/>
      <c r="V20" s="89"/>
      <c r="W20" s="89"/>
    </row>
    <row r="21" spans="1:29" x14ac:dyDescent="0.2">
      <c r="A21" s="85">
        <v>500</v>
      </c>
      <c r="C21" s="93">
        <f>+S21</f>
        <v>51.13</v>
      </c>
      <c r="D21" s="93">
        <f>+W21</f>
        <v>56.089999999999996</v>
      </c>
      <c r="E21" s="93">
        <f>+D21-C21</f>
        <v>4.9599999999999937</v>
      </c>
      <c r="F21" s="94">
        <f>ROUND(+E21/C21,4)</f>
        <v>9.7000000000000003E-2</v>
      </c>
      <c r="G21" s="93">
        <f>ROUND($R$10*$A21,2)</f>
        <v>-0.1</v>
      </c>
      <c r="H21" s="93">
        <f>ROUND($R$11*$A21,2)</f>
        <v>0.93</v>
      </c>
      <c r="I21" s="93">
        <f>ROUND($R$12*$A21,2)</f>
        <v>4.42</v>
      </c>
      <c r="J21" s="93">
        <f>+C21+G21+H21+I21</f>
        <v>56.38</v>
      </c>
      <c r="K21" s="93">
        <f>+D21+G21+H21+I21</f>
        <v>61.339999999999996</v>
      </c>
      <c r="L21" s="94">
        <f>ROUND((K21-J21)/J21,4)</f>
        <v>8.7999999999999995E-2</v>
      </c>
      <c r="N21" s="120"/>
      <c r="Q21" s="41">
        <f>+INPUT!$B$4</f>
        <v>10.75</v>
      </c>
      <c r="R21" s="87">
        <f>A21*$R$18</f>
        <v>40.380000000000003</v>
      </c>
      <c r="S21" s="87">
        <f>Q21+R21</f>
        <v>51.13</v>
      </c>
      <c r="U21" s="41">
        <f>INPUT!$B$25</f>
        <v>18</v>
      </c>
      <c r="V21" s="87">
        <f>A21*$V$18</f>
        <v>38.089999999999996</v>
      </c>
      <c r="W21" s="87">
        <f>U21+V21</f>
        <v>56.089999999999996</v>
      </c>
      <c r="Z21" s="87">
        <f>W21-S21</f>
        <v>4.9599999999999937</v>
      </c>
      <c r="AB21" s="120">
        <f>W21/S21-1</f>
        <v>9.7007627615880887E-2</v>
      </c>
      <c r="AC21" s="120"/>
    </row>
    <row r="22" spans="1:29" x14ac:dyDescent="0.2">
      <c r="A22" s="85"/>
      <c r="Q22" s="41"/>
      <c r="R22" s="87"/>
      <c r="S22" s="87"/>
      <c r="U22" s="41"/>
      <c r="V22" s="87"/>
      <c r="W22" s="87"/>
      <c r="AB22" s="120"/>
      <c r="AC22" s="120"/>
    </row>
    <row r="23" spans="1:29" x14ac:dyDescent="0.2">
      <c r="A23" s="85">
        <v>750</v>
      </c>
      <c r="C23" s="93">
        <f>+S23</f>
        <v>71.319999999999993</v>
      </c>
      <c r="D23" s="93">
        <f>+W23</f>
        <v>75.134999999999991</v>
      </c>
      <c r="E23" s="93">
        <f>+D23-C23</f>
        <v>3.8149999999999977</v>
      </c>
      <c r="F23" s="94">
        <f>ROUND(+E23/C23,4)</f>
        <v>5.3499999999999999E-2</v>
      </c>
      <c r="G23" s="93">
        <f>ROUND($R$10*$A23,2)</f>
        <v>-0.15</v>
      </c>
      <c r="H23" s="93">
        <f>ROUND($R$11*$A23,2)</f>
        <v>1.4</v>
      </c>
      <c r="I23" s="93">
        <f>ROUND($R$12*$A23,2)</f>
        <v>6.63</v>
      </c>
      <c r="J23" s="93">
        <f>+C23+G23+H23+I23</f>
        <v>79.199999999999989</v>
      </c>
      <c r="K23" s="93">
        <f>+D23+G23+H23+I23</f>
        <v>83.014999999999986</v>
      </c>
      <c r="L23" s="94">
        <f>ROUND((K23-J23)/J23,4)</f>
        <v>4.82E-2</v>
      </c>
      <c r="Q23" s="41">
        <f>$Q$21</f>
        <v>10.75</v>
      </c>
      <c r="R23" s="87">
        <f>A23*$R$18</f>
        <v>60.57</v>
      </c>
      <c r="S23" s="87">
        <f>Q23+R23</f>
        <v>71.319999999999993</v>
      </c>
      <c r="U23" s="41">
        <f>INPUT!$B$25</f>
        <v>18</v>
      </c>
      <c r="V23" s="87">
        <f>A23*$V$18</f>
        <v>57.134999999999998</v>
      </c>
      <c r="W23" s="87">
        <f>U23+V23</f>
        <v>75.134999999999991</v>
      </c>
      <c r="Z23" s="87">
        <f>W23-S23</f>
        <v>3.8149999999999977</v>
      </c>
      <c r="AB23" s="120">
        <f>W23/S23-1</f>
        <v>5.3491306786315196E-2</v>
      </c>
      <c r="AC23" s="120"/>
    </row>
    <row r="24" spans="1:29" x14ac:dyDescent="0.2">
      <c r="A24" s="85"/>
      <c r="C24" s="93"/>
      <c r="D24" s="93"/>
      <c r="E24" s="93"/>
      <c r="F24" s="94"/>
      <c r="G24" s="93"/>
      <c r="H24" s="93"/>
      <c r="I24" s="93"/>
      <c r="J24" s="93"/>
      <c r="K24" s="93"/>
      <c r="L24" s="94"/>
      <c r="Q24" s="121"/>
      <c r="R24" s="87"/>
      <c r="S24" s="87"/>
      <c r="U24" s="41"/>
      <c r="V24" s="87"/>
      <c r="W24" s="87"/>
      <c r="AB24" s="122"/>
      <c r="AC24" s="122"/>
    </row>
    <row r="25" spans="1:29" s="123" customFormat="1" x14ac:dyDescent="0.2">
      <c r="A25" s="125">
        <v>984</v>
      </c>
      <c r="B25" s="126"/>
      <c r="C25" s="127">
        <f>+S25</f>
        <v>90.217839999999995</v>
      </c>
      <c r="D25" s="127">
        <f>+W25</f>
        <v>92.961119999999994</v>
      </c>
      <c r="E25" s="127">
        <f>+D25-C25</f>
        <v>2.7432799999999986</v>
      </c>
      <c r="F25" s="128">
        <f>ROUND(+E25/C25,4)</f>
        <v>3.04E-2</v>
      </c>
      <c r="G25" s="127">
        <f>ROUND($R$10*$A25,2)</f>
        <v>-0.19</v>
      </c>
      <c r="H25" s="127">
        <f>ROUND($R$11*$A25,2)</f>
        <v>1.83</v>
      </c>
      <c r="I25" s="127">
        <f>ROUND($R$12*$A25,2)</f>
        <v>8.69</v>
      </c>
      <c r="J25" s="127">
        <f>+C25+G25+H25+I25</f>
        <v>100.54783999999999</v>
      </c>
      <c r="K25" s="127">
        <f>+D25+G25+H25+I25</f>
        <v>103.29111999999999</v>
      </c>
      <c r="L25" s="324">
        <f>ROUND((K25-J25)/J25,4)</f>
        <v>2.7300000000000001E-2</v>
      </c>
      <c r="M25" s="316">
        <f>+J25/A25</f>
        <v>0.10218276422764228</v>
      </c>
      <c r="N25" s="316">
        <f>+K25/A25</f>
        <v>0.10497065040650405</v>
      </c>
      <c r="Q25" s="121">
        <f>$Q$21</f>
        <v>10.75</v>
      </c>
      <c r="R25" s="87">
        <f>A25*$R$18</f>
        <v>79.467839999999995</v>
      </c>
      <c r="S25" s="124">
        <f>Q25+R25</f>
        <v>90.217839999999995</v>
      </c>
      <c r="U25" s="121">
        <f>INPUT!$B$25</f>
        <v>18</v>
      </c>
      <c r="V25" s="87">
        <f>A25*$V$18</f>
        <v>74.961119999999994</v>
      </c>
      <c r="W25" s="124">
        <f>U25+V25</f>
        <v>92.961119999999994</v>
      </c>
      <c r="Z25" s="124">
        <f>W25-S25</f>
        <v>2.7432799999999986</v>
      </c>
      <c r="AB25" s="122">
        <f>W25/S25-1</f>
        <v>3.0407289733383136E-2</v>
      </c>
      <c r="AC25" s="122"/>
    </row>
    <row r="26" spans="1:29" x14ac:dyDescent="0.2">
      <c r="A26" s="85"/>
      <c r="K26" s="93"/>
      <c r="Q26" s="41"/>
      <c r="R26" s="87"/>
      <c r="S26" s="87"/>
      <c r="U26" s="41"/>
      <c r="V26" s="87"/>
      <c r="W26" s="87"/>
      <c r="AB26" s="120"/>
      <c r="AC26" s="120"/>
    </row>
    <row r="27" spans="1:29" x14ac:dyDescent="0.2">
      <c r="A27" s="85">
        <v>1200</v>
      </c>
      <c r="C27" s="93">
        <f>+S27</f>
        <v>107.66199999999999</v>
      </c>
      <c r="D27" s="93">
        <f>+W27</f>
        <v>109.416</v>
      </c>
      <c r="E27" s="93">
        <f>+D27-C27</f>
        <v>1.7540000000000049</v>
      </c>
      <c r="F27" s="94">
        <f>ROUND(+E27/C27,4)</f>
        <v>1.6299999999999999E-2</v>
      </c>
      <c r="G27" s="93">
        <f>ROUND($R$10*$A27,2)</f>
        <v>-0.23</v>
      </c>
      <c r="H27" s="93">
        <f>ROUND($R$11*$A27,2)</f>
        <v>2.23</v>
      </c>
      <c r="I27" s="93">
        <f>ROUND($R$12*$A27,2)</f>
        <v>10.6</v>
      </c>
      <c r="J27" s="93">
        <f>+C27+G27+H27+I27</f>
        <v>120.26199999999999</v>
      </c>
      <c r="K27" s="93">
        <f>+D27+G27+H27+I27</f>
        <v>122.01599999999999</v>
      </c>
      <c r="L27" s="94">
        <f>ROUND((K27-J27)/J27,4)</f>
        <v>1.46E-2</v>
      </c>
      <c r="M27" s="123"/>
      <c r="N27" s="123"/>
      <c r="O27" s="123"/>
      <c r="P27" s="123"/>
      <c r="Q27" s="121">
        <f>$Q$21</f>
        <v>10.75</v>
      </c>
      <c r="R27" s="87">
        <f>A27*$R$18</f>
        <v>96.911999999999992</v>
      </c>
      <c r="S27" s="124">
        <f>Q27+R27</f>
        <v>107.66199999999999</v>
      </c>
      <c r="T27" s="123"/>
      <c r="U27" s="121">
        <f>INPUT!$B$25</f>
        <v>18</v>
      </c>
      <c r="V27" s="87">
        <f>A27*$V$18</f>
        <v>91.415999999999997</v>
      </c>
      <c r="W27" s="124">
        <f>U27+V27</f>
        <v>109.416</v>
      </c>
      <c r="X27" s="123"/>
      <c r="Y27" s="123"/>
      <c r="Z27" s="124">
        <f>W27-S27</f>
        <v>1.7540000000000049</v>
      </c>
      <c r="AA27" s="123"/>
      <c r="AB27" s="122">
        <f>W27/S27-1</f>
        <v>1.6291727814828016E-2</v>
      </c>
      <c r="AC27" s="120"/>
    </row>
    <row r="28" spans="1:29" x14ac:dyDescent="0.2">
      <c r="A28" s="85"/>
      <c r="Q28" s="41"/>
      <c r="R28" s="87"/>
      <c r="S28" s="87"/>
      <c r="U28" s="41"/>
      <c r="V28" s="87"/>
      <c r="W28" s="87"/>
      <c r="AB28" s="120"/>
      <c r="AC28" s="120"/>
    </row>
    <row r="29" spans="1:29" x14ac:dyDescent="0.2">
      <c r="A29" s="85">
        <v>1500</v>
      </c>
      <c r="C29" s="93">
        <f>+S29</f>
        <v>131.88999999999999</v>
      </c>
      <c r="D29" s="93">
        <f>+W29</f>
        <v>132.26999999999998</v>
      </c>
      <c r="E29" s="93">
        <f>+D29-C29</f>
        <v>0.37999999999999545</v>
      </c>
      <c r="F29" s="94">
        <f>ROUND(+E29/C29,4)</f>
        <v>2.8999999999999998E-3</v>
      </c>
      <c r="G29" s="93">
        <f>ROUND($R$10*$A29,2)</f>
        <v>-0.28999999999999998</v>
      </c>
      <c r="H29" s="93">
        <f>ROUND($R$11*$A29,2)</f>
        <v>2.79</v>
      </c>
      <c r="I29" s="93">
        <f>ROUND($R$12*$A29,2)</f>
        <v>13.25</v>
      </c>
      <c r="J29" s="93">
        <f>+C29+G29+H29+I29</f>
        <v>147.63999999999999</v>
      </c>
      <c r="K29" s="93">
        <f>+D29+G29+H29+I29</f>
        <v>148.01999999999998</v>
      </c>
      <c r="L29" s="94">
        <f>ROUND((K29-J29)/J29,4)</f>
        <v>2.5999999999999999E-3</v>
      </c>
      <c r="Q29" s="41">
        <f>$Q$21</f>
        <v>10.75</v>
      </c>
      <c r="R29" s="87">
        <f>A29*$R$18</f>
        <v>121.14</v>
      </c>
      <c r="S29" s="87">
        <f>Q29+R29</f>
        <v>131.88999999999999</v>
      </c>
      <c r="U29" s="41">
        <f>INPUT!$B$25</f>
        <v>18</v>
      </c>
      <c r="V29" s="87">
        <f>A29*$V$18</f>
        <v>114.27</v>
      </c>
      <c r="W29" s="87">
        <f>U29+V29</f>
        <v>132.26999999999998</v>
      </c>
      <c r="Z29" s="87">
        <f>W29-S29</f>
        <v>0.37999999999999545</v>
      </c>
      <c r="AB29" s="120">
        <f>W29/S29-1</f>
        <v>2.8811888695123855E-3</v>
      </c>
      <c r="AC29" s="120"/>
    </row>
    <row r="30" spans="1:29" x14ac:dyDescent="0.2">
      <c r="Q30" s="41"/>
      <c r="R30" s="87"/>
      <c r="S30" s="87"/>
      <c r="U30" s="41"/>
      <c r="V30" s="87"/>
      <c r="W30" s="87"/>
      <c r="AB30" s="120"/>
      <c r="AC30" s="120"/>
    </row>
    <row r="31" spans="1:29" x14ac:dyDescent="0.2">
      <c r="A31" s="85">
        <v>2000</v>
      </c>
      <c r="C31" s="93">
        <f>+S31</f>
        <v>172.27</v>
      </c>
      <c r="D31" s="93">
        <f>+W31</f>
        <v>170.35999999999999</v>
      </c>
      <c r="E31" s="93">
        <f>+D31-C31</f>
        <v>-1.910000000000025</v>
      </c>
      <c r="F31" s="94">
        <f>ROUND(+E31/C31,4)</f>
        <v>-1.11E-2</v>
      </c>
      <c r="G31" s="93">
        <f>ROUND($R$10*$A31,2)</f>
        <v>-0.39</v>
      </c>
      <c r="H31" s="93">
        <f>ROUND($R$11*$A31,2)</f>
        <v>3.72</v>
      </c>
      <c r="I31" s="93">
        <f>ROUND($R$12*$A31,2)</f>
        <v>17.670000000000002</v>
      </c>
      <c r="J31" s="93">
        <f>+C31+G31+H31+I31</f>
        <v>193.27000000000004</v>
      </c>
      <c r="K31" s="93">
        <f>+D31+G31+H31+I31</f>
        <v>191.36</v>
      </c>
      <c r="L31" s="94">
        <f>ROUND((K31-J31)/J31,4)</f>
        <v>-9.9000000000000008E-3</v>
      </c>
      <c r="Q31" s="41">
        <f>$Q$21</f>
        <v>10.75</v>
      </c>
      <c r="R31" s="87">
        <f>A31*$R$18</f>
        <v>161.52000000000001</v>
      </c>
      <c r="S31" s="87">
        <f>Q31+R31</f>
        <v>172.27</v>
      </c>
      <c r="U31" s="41">
        <f>INPUT!$B$25</f>
        <v>18</v>
      </c>
      <c r="V31" s="87">
        <f>A31*$V$18</f>
        <v>152.35999999999999</v>
      </c>
      <c r="W31" s="87">
        <f>U31+V31</f>
        <v>170.35999999999999</v>
      </c>
      <c r="Z31" s="87">
        <f>W31-S31</f>
        <v>-1.910000000000025</v>
      </c>
      <c r="AB31" s="120">
        <f>W31/S31-1</f>
        <v>-1.1087246763801129E-2</v>
      </c>
      <c r="AC31" s="120"/>
    </row>
    <row r="32" spans="1:29" x14ac:dyDescent="0.2">
      <c r="A32" s="85"/>
      <c r="Q32" s="41"/>
      <c r="R32" s="87"/>
      <c r="S32" s="87"/>
      <c r="U32" s="41"/>
      <c r="V32" s="87"/>
      <c r="W32" s="87"/>
      <c r="AB32" s="120"/>
      <c r="AC32" s="120"/>
    </row>
    <row r="33" spans="1:29" x14ac:dyDescent="0.2">
      <c r="A33" s="85">
        <v>2500</v>
      </c>
      <c r="C33" s="93">
        <f>+S33</f>
        <v>212.65</v>
      </c>
      <c r="D33" s="93">
        <f>+W33</f>
        <v>208.45</v>
      </c>
      <c r="E33" s="93">
        <f>+D33-C33</f>
        <v>-4.2000000000000171</v>
      </c>
      <c r="F33" s="94">
        <f>ROUND(+E33/C33,4)</f>
        <v>-1.9800000000000002E-2</v>
      </c>
      <c r="G33" s="93">
        <f>ROUND($R$10*$A33,2)</f>
        <v>-0.49</v>
      </c>
      <c r="H33" s="93">
        <f>ROUND($R$11*$A33,2)</f>
        <v>4.6500000000000004</v>
      </c>
      <c r="I33" s="93">
        <f>ROUND($R$12*$A33,2)</f>
        <v>22.09</v>
      </c>
      <c r="J33" s="93">
        <f>+C33+G33+H33+I33</f>
        <v>238.9</v>
      </c>
      <c r="K33" s="93">
        <f>+D33+G33+H33+I33</f>
        <v>234.7</v>
      </c>
      <c r="L33" s="94">
        <f>ROUND((K33-J33)/J33,4)</f>
        <v>-1.7600000000000001E-2</v>
      </c>
      <c r="Q33" s="41">
        <f>$Q$21</f>
        <v>10.75</v>
      </c>
      <c r="R33" s="87">
        <f>A33*$R$18</f>
        <v>201.9</v>
      </c>
      <c r="S33" s="87">
        <f>Q33+R33</f>
        <v>212.65</v>
      </c>
      <c r="U33" s="41">
        <f>INPUT!$B$25</f>
        <v>18</v>
      </c>
      <c r="V33" s="87">
        <f>A33*$V$18</f>
        <v>190.45</v>
      </c>
      <c r="W33" s="87">
        <f>U33+V33</f>
        <v>208.45</v>
      </c>
      <c r="Z33" s="87">
        <f>W33-S33</f>
        <v>-4.2000000000000171</v>
      </c>
      <c r="AB33" s="120">
        <f>W33/S33-1</f>
        <v>-1.9750764166470813E-2</v>
      </c>
      <c r="AC33" s="120"/>
    </row>
    <row r="34" spans="1:29" x14ac:dyDescent="0.2">
      <c r="Q34" s="41"/>
      <c r="R34" s="87"/>
      <c r="S34" s="87"/>
      <c r="U34" s="41"/>
      <c r="V34" s="87"/>
      <c r="W34" s="87"/>
      <c r="AB34" s="120"/>
      <c r="AC34" s="120"/>
    </row>
    <row r="35" spans="1:29" x14ac:dyDescent="0.2">
      <c r="A35" s="85">
        <v>3000</v>
      </c>
      <c r="C35" s="93">
        <f>+S35</f>
        <v>253.03</v>
      </c>
      <c r="D35" s="93">
        <f>+W35</f>
        <v>246.54</v>
      </c>
      <c r="E35" s="93">
        <f>+D35-C35</f>
        <v>-6.4900000000000091</v>
      </c>
      <c r="F35" s="94">
        <f>ROUND(+E35/C35,4)</f>
        <v>-2.5600000000000001E-2</v>
      </c>
      <c r="G35" s="93">
        <f>ROUND($R$10*$A35,2)</f>
        <v>-0.57999999999999996</v>
      </c>
      <c r="H35" s="93">
        <f>ROUND($R$11*$A35,2)</f>
        <v>5.58</v>
      </c>
      <c r="I35" s="93">
        <f>ROUND($R$12*$A35,2)</f>
        <v>26.51</v>
      </c>
      <c r="J35" s="93">
        <f>+C35+G35+H35+I35</f>
        <v>284.53999999999996</v>
      </c>
      <c r="K35" s="93">
        <f>+D35+G35+H35+I35</f>
        <v>278.05</v>
      </c>
      <c r="L35" s="94">
        <f>ROUND((K35-J35)/J35,4)</f>
        <v>-2.2800000000000001E-2</v>
      </c>
      <c r="Q35" s="41">
        <f>$Q$21</f>
        <v>10.75</v>
      </c>
      <c r="R35" s="87">
        <f>A35*$R$18</f>
        <v>242.28</v>
      </c>
      <c r="S35" s="87">
        <f>Q35+R35</f>
        <v>253.03</v>
      </c>
      <c r="U35" s="41">
        <f>INPUT!$B$25</f>
        <v>18</v>
      </c>
      <c r="V35" s="87">
        <f>A35*$V$18</f>
        <v>228.54</v>
      </c>
      <c r="W35" s="87">
        <f>U35+V35</f>
        <v>246.54</v>
      </c>
      <c r="Z35" s="87">
        <f>W35-S35</f>
        <v>-6.4900000000000091</v>
      </c>
      <c r="AB35" s="120">
        <f>W35/S35-1</f>
        <v>-2.5649132513931194E-2</v>
      </c>
      <c r="AC35" s="120"/>
    </row>
    <row r="36" spans="1:29" x14ac:dyDescent="0.2">
      <c r="A36" s="85"/>
      <c r="C36" s="93"/>
      <c r="D36" s="93"/>
      <c r="E36" s="93"/>
      <c r="F36" s="94"/>
      <c r="G36" s="93"/>
      <c r="H36" s="93"/>
      <c r="I36" s="93"/>
      <c r="J36" s="93"/>
      <c r="K36" s="93"/>
      <c r="L36" s="94"/>
      <c r="Q36" s="41"/>
      <c r="R36" s="87"/>
      <c r="S36" s="87"/>
      <c r="U36" s="41"/>
      <c r="V36" s="87"/>
      <c r="W36" s="87"/>
      <c r="Z36" s="87"/>
      <c r="AB36" s="120"/>
      <c r="AC36" s="120"/>
    </row>
    <row r="37" spans="1:29" x14ac:dyDescent="0.2">
      <c r="A37" s="17" t="s">
        <v>373</v>
      </c>
      <c r="Q37" s="41"/>
      <c r="R37" s="87"/>
      <c r="S37" s="87"/>
      <c r="U37" s="41"/>
      <c r="V37" s="87"/>
      <c r="W37" s="87"/>
      <c r="AB37" s="120"/>
      <c r="AC37" s="120"/>
    </row>
    <row r="38" spans="1:29" x14ac:dyDescent="0.2">
      <c r="A38" s="228" t="str">
        <f>("Average usage = "&amp;INPUT!B19&amp;" kWh per month")</f>
        <v>Average usage = 984 kWh per month</v>
      </c>
      <c r="Q38" s="41"/>
    </row>
    <row r="39" spans="1:29" x14ac:dyDescent="0.2">
      <c r="A39" s="230" t="s">
        <v>375</v>
      </c>
    </row>
    <row r="40" spans="1:29" x14ac:dyDescent="0.2">
      <c r="A40" s="230" t="str">
        <f>+'Rate Case Constants'!C26</f>
        <v>Calculations may vary from other schedules due to rounding</v>
      </c>
    </row>
    <row r="43" spans="1:29" ht="12" customHeight="1" x14ac:dyDescent="0.2"/>
  </sheetData>
  <mergeCells count="5">
    <mergeCell ref="G15:I15"/>
    <mergeCell ref="A1:L1"/>
    <mergeCell ref="A2:L2"/>
    <mergeCell ref="A3:L3"/>
    <mergeCell ref="A4:L4"/>
  </mergeCells>
  <phoneticPr fontId="5" type="noConversion"/>
  <printOptions horizontalCentered="1"/>
  <pageMargins left="0.25" right="0.25" top="1" bottom="0.5" header="1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5"/>
  <sheetViews>
    <sheetView view="pageBreakPreview" topLeftCell="A4" zoomScaleNormal="80" zoomScaleSheetLayoutView="100" workbookViewId="0">
      <selection activeCell="R33" sqref="R33"/>
    </sheetView>
  </sheetViews>
  <sheetFormatPr defaultRowHeight="12.75" x14ac:dyDescent="0.2"/>
  <cols>
    <col min="1" max="1" width="10" customWidth="1"/>
    <col min="2" max="2" width="3.5703125" customWidth="1"/>
    <col min="3" max="3" width="10.28515625" bestFit="1" customWidth="1"/>
    <col min="4" max="4" width="10.140625" bestFit="1" customWidth="1"/>
    <col min="5" max="6" width="9.28515625" bestFit="1" customWidth="1"/>
    <col min="7" max="7" width="10.7109375" bestFit="1" customWidth="1"/>
    <col min="8" max="8" width="10" bestFit="1" customWidth="1"/>
    <col min="9" max="9" width="10" customWidth="1"/>
    <col min="10" max="11" width="10.5703125" bestFit="1" customWidth="1"/>
    <col min="12" max="12" width="9.28515625" bestFit="1" customWidth="1"/>
    <col min="13" max="13" width="8.5703125" customWidth="1"/>
    <col min="14" max="16" width="3.5703125" customWidth="1"/>
    <col min="17" max="19" width="11.85546875" customWidth="1"/>
    <col min="20" max="20" width="9.85546875" customWidth="1"/>
    <col min="21" max="22" width="9.5703125" customWidth="1"/>
    <col min="23" max="23" width="7.140625" customWidth="1"/>
    <col min="24" max="24" width="11.5703125" customWidth="1"/>
    <col min="25" max="27" width="9.5703125" customWidth="1"/>
    <col min="31" max="32" width="3" customWidth="1"/>
    <col min="34" max="34" width="2.7109375" customWidth="1"/>
  </cols>
  <sheetData>
    <row r="1" spans="1:36" x14ac:dyDescent="0.2">
      <c r="A1" s="374" t="str">
        <f>+'Rate Case Constants'!C9</f>
        <v>LOUISVILLE GAS AND ELECTRIC COMPANY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36" x14ac:dyDescent="0.2">
      <c r="A2" s="374" t="str">
        <f>+'Rate Case Constants'!C10</f>
        <v>CASE NO. 2014-00372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</row>
    <row r="3" spans="1:36" x14ac:dyDescent="0.2">
      <c r="A3" s="376" t="str">
        <f>+'Rate Case Constants'!C24</f>
        <v>Typical Electric Bill Comparison under Present &amp; Proposed Rates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</row>
    <row r="4" spans="1:36" x14ac:dyDescent="0.2">
      <c r="A4" s="374" t="str">
        <f>+'Rate Case Constants'!C21</f>
        <v>FORECAST PERIOD FOR THE 12 MONTHS ENDED JUNE 30, 2016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</row>
    <row r="7" spans="1:36" x14ac:dyDescent="0.2">
      <c r="A7" t="str">
        <f>+'Rate Case Constants'!C33</f>
        <v>DATA: ____BASE PERIOD__X___FORECASTED PERIOD</v>
      </c>
      <c r="L7" s="208" t="str">
        <f>+'Rate Case Constants'!C25</f>
        <v>SCHEDULE N (Electric)</v>
      </c>
    </row>
    <row r="8" spans="1:36" x14ac:dyDescent="0.2">
      <c r="A8" t="str">
        <f>+'Rate Case Constants'!C29</f>
        <v>TYPE OF FILING: __X__ ORIGINAL  _____ UPDATED  _____ REVISED</v>
      </c>
      <c r="L8" s="209" t="str">
        <f>+'Rate Case Constants'!L9</f>
        <v>PAGE 2 of 22</v>
      </c>
    </row>
    <row r="9" spans="1:36" x14ac:dyDescent="0.2">
      <c r="A9" t="str">
        <f>+'Rate Case Constants'!C34</f>
        <v>WORKPAPER REFERENCE NO(S):________</v>
      </c>
      <c r="L9" s="209" t="str">
        <f>+'Rate Case Constants'!C37</f>
        <v>WITNESS:   R. M. CONROY</v>
      </c>
    </row>
    <row r="10" spans="1:36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Q10" s="86" t="s">
        <v>72</v>
      </c>
      <c r="R10" s="86">
        <f>+INPUT!$G$49</f>
        <v>-1.1769925125168627E-4</v>
      </c>
    </row>
    <row r="11" spans="1:36" x14ac:dyDescent="0.2">
      <c r="A11" s="45" t="s">
        <v>414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86" t="s">
        <v>74</v>
      </c>
      <c r="R11" s="86">
        <f>+INPUT!$H$49</f>
        <v>1.1166339221313824E-3</v>
      </c>
      <c r="S11" s="30"/>
      <c r="T11" s="30"/>
      <c r="U11" s="30"/>
      <c r="V11" s="30"/>
      <c r="W11" s="30"/>
      <c r="X11" s="34"/>
      <c r="Y11" s="30"/>
      <c r="Z11" s="30"/>
      <c r="AA11" s="30"/>
      <c r="AB11" s="30"/>
      <c r="AC11" s="30"/>
      <c r="AD11" s="30"/>
    </row>
    <row r="12" spans="1:36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86" t="s">
        <v>73</v>
      </c>
      <c r="R12" s="86">
        <f>+INPUT!$I$49</f>
        <v>5.3025021653644302E-3</v>
      </c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</row>
    <row r="13" spans="1:36" x14ac:dyDescent="0.2">
      <c r="A13" s="30"/>
      <c r="B13" s="30"/>
      <c r="C13" s="222" t="s">
        <v>362</v>
      </c>
      <c r="D13" s="223" t="s">
        <v>363</v>
      </c>
      <c r="E13" s="223" t="s">
        <v>364</v>
      </c>
      <c r="F13" s="222" t="s">
        <v>365</v>
      </c>
      <c r="G13" s="222" t="s">
        <v>366</v>
      </c>
      <c r="H13" s="222" t="s">
        <v>367</v>
      </c>
      <c r="I13" s="223" t="s">
        <v>368</v>
      </c>
      <c r="J13" s="222" t="s">
        <v>369</v>
      </c>
      <c r="K13" s="222" t="s">
        <v>370</v>
      </c>
      <c r="L13" s="222" t="s">
        <v>371</v>
      </c>
      <c r="M13" s="30"/>
      <c r="N13" s="30"/>
      <c r="O13" s="30"/>
      <c r="P13" s="30"/>
      <c r="Q13" s="30"/>
      <c r="R13" s="30"/>
      <c r="S13" s="30"/>
      <c r="T13" s="30"/>
      <c r="U13" s="30"/>
      <c r="W13" s="30"/>
      <c r="X13" s="30"/>
      <c r="Y13" s="30"/>
      <c r="Z13" s="30"/>
      <c r="AA13" s="30"/>
      <c r="AB13" s="30"/>
      <c r="AC13" s="30"/>
      <c r="AD13" s="30"/>
    </row>
    <row r="14" spans="1:36" x14ac:dyDescent="0.2">
      <c r="C14" s="351" t="s">
        <v>406</v>
      </c>
      <c r="D14" s="351" t="s">
        <v>406</v>
      </c>
      <c r="E14" s="226"/>
      <c r="F14" s="226"/>
      <c r="G14" s="226"/>
      <c r="H14" s="226"/>
      <c r="I14" s="226"/>
      <c r="J14" s="222" t="s">
        <v>5</v>
      </c>
      <c r="K14" s="222" t="s">
        <v>5</v>
      </c>
      <c r="L14" s="226"/>
      <c r="Q14" s="115" t="s">
        <v>310</v>
      </c>
      <c r="R14" s="50"/>
      <c r="S14" s="50"/>
      <c r="T14" s="50"/>
      <c r="U14" s="50"/>
      <c r="V14" s="3"/>
      <c r="X14" s="50" t="s">
        <v>63</v>
      </c>
      <c r="Y14" s="50"/>
      <c r="Z14" s="50"/>
      <c r="AA14" s="50"/>
      <c r="AB14" s="50"/>
      <c r="AC14" s="3"/>
      <c r="AD14" s="59"/>
    </row>
    <row r="15" spans="1:36" x14ac:dyDescent="0.2">
      <c r="C15" s="222" t="s">
        <v>1</v>
      </c>
      <c r="D15" s="222" t="s">
        <v>75</v>
      </c>
      <c r="E15" s="222"/>
      <c r="F15" s="222"/>
      <c r="G15" s="372" t="s">
        <v>136</v>
      </c>
      <c r="H15" s="372"/>
      <c r="I15" s="373"/>
      <c r="J15" s="222" t="s">
        <v>1</v>
      </c>
      <c r="K15" s="222" t="s">
        <v>75</v>
      </c>
      <c r="L15" s="222"/>
      <c r="Q15" s="26" t="s">
        <v>65</v>
      </c>
      <c r="R15" s="26" t="s">
        <v>59</v>
      </c>
      <c r="S15" s="26" t="s">
        <v>59</v>
      </c>
      <c r="T15" s="26" t="s">
        <v>59</v>
      </c>
      <c r="U15" s="26"/>
      <c r="V15" s="3"/>
      <c r="X15" s="26" t="s">
        <v>65</v>
      </c>
      <c r="Y15" s="26" t="s">
        <v>59</v>
      </c>
      <c r="Z15" s="172" t="s">
        <v>59</v>
      </c>
      <c r="AA15" s="26" t="s">
        <v>59</v>
      </c>
      <c r="AB15" s="26"/>
      <c r="AC15" s="3"/>
      <c r="AD15" s="26"/>
    </row>
    <row r="16" spans="1:36" x14ac:dyDescent="0.2">
      <c r="A16" s="3"/>
      <c r="B16" s="3"/>
      <c r="C16" s="222" t="s">
        <v>4</v>
      </c>
      <c r="D16" s="222" t="s">
        <v>4</v>
      </c>
      <c r="E16" s="222" t="s">
        <v>76</v>
      </c>
      <c r="F16" s="222" t="s">
        <v>76</v>
      </c>
      <c r="G16" s="222" t="s">
        <v>72</v>
      </c>
      <c r="H16" s="222" t="s">
        <v>74</v>
      </c>
      <c r="I16" s="222" t="s">
        <v>73</v>
      </c>
      <c r="J16" s="222" t="s">
        <v>4</v>
      </c>
      <c r="K16" s="222" t="s">
        <v>4</v>
      </c>
      <c r="L16" s="222" t="s">
        <v>76</v>
      </c>
      <c r="M16" s="3"/>
      <c r="N16" s="3"/>
      <c r="O16" s="3"/>
      <c r="P16" s="3"/>
      <c r="Q16" s="26" t="s">
        <v>64</v>
      </c>
      <c r="R16" s="26" t="s">
        <v>22</v>
      </c>
      <c r="S16" s="26" t="s">
        <v>86</v>
      </c>
      <c r="T16" s="26" t="s">
        <v>34</v>
      </c>
      <c r="U16" s="26" t="s">
        <v>5</v>
      </c>
      <c r="V16" s="3"/>
      <c r="X16" s="26" t="s">
        <v>64</v>
      </c>
      <c r="Y16" s="26" t="s">
        <v>22</v>
      </c>
      <c r="Z16" s="172" t="s">
        <v>86</v>
      </c>
      <c r="AA16" s="26" t="s">
        <v>34</v>
      </c>
      <c r="AB16" s="26" t="s">
        <v>5</v>
      </c>
      <c r="AC16" s="3"/>
      <c r="AD16" s="26"/>
      <c r="AF16" s="2"/>
      <c r="AG16" s="3" t="s">
        <v>6</v>
      </c>
      <c r="AH16" s="3"/>
      <c r="AI16" s="3" t="s">
        <v>8</v>
      </c>
      <c r="AJ16" s="3"/>
    </row>
    <row r="17" spans="1:36" x14ac:dyDescent="0.2">
      <c r="A17" s="3" t="s">
        <v>51</v>
      </c>
      <c r="B17" s="3"/>
      <c r="C17" s="26" t="s">
        <v>408</v>
      </c>
      <c r="D17" s="222"/>
      <c r="E17" s="222" t="s">
        <v>70</v>
      </c>
      <c r="F17" s="223" t="s">
        <v>71</v>
      </c>
      <c r="G17" s="224"/>
      <c r="H17" s="224"/>
      <c r="I17" s="225"/>
      <c r="J17" s="222" t="s">
        <v>70</v>
      </c>
      <c r="K17" s="222" t="s">
        <v>70</v>
      </c>
      <c r="L17" s="223" t="s">
        <v>71</v>
      </c>
      <c r="M17" s="3"/>
      <c r="N17" s="3"/>
      <c r="O17" s="3"/>
      <c r="P17" s="3"/>
      <c r="Q17" s="56" t="s">
        <v>3</v>
      </c>
      <c r="R17" s="83" t="s">
        <v>3</v>
      </c>
      <c r="S17" s="83" t="s">
        <v>3</v>
      </c>
      <c r="T17" s="83" t="s">
        <v>3</v>
      </c>
      <c r="U17" s="56" t="s">
        <v>4</v>
      </c>
      <c r="V17" s="35"/>
      <c r="X17" s="56" t="s">
        <v>3</v>
      </c>
      <c r="Y17" s="35" t="s">
        <v>3</v>
      </c>
      <c r="Z17" s="173" t="s">
        <v>3</v>
      </c>
      <c r="AA17" s="35" t="s">
        <v>3</v>
      </c>
      <c r="AB17" s="56" t="s">
        <v>4</v>
      </c>
      <c r="AC17" s="35"/>
      <c r="AD17" s="60"/>
      <c r="AF17" s="2"/>
      <c r="AG17" s="3" t="s">
        <v>7</v>
      </c>
      <c r="AH17" s="3"/>
      <c r="AI17" s="3" t="s">
        <v>7</v>
      </c>
      <c r="AJ17" s="3"/>
    </row>
    <row r="18" spans="1:36" x14ac:dyDescent="0.2">
      <c r="A18" s="3"/>
      <c r="B18" s="3"/>
      <c r="C18" s="222"/>
      <c r="D18" s="222"/>
      <c r="E18" s="222" t="str">
        <f>("[ "&amp;D13&amp;" - "&amp;C13&amp;" ]")</f>
        <v>[ B - A ]</v>
      </c>
      <c r="F18" s="222" t="str">
        <f>("[ "&amp;E13&amp;" / "&amp;C13&amp;" ]")</f>
        <v>[ C / A ]</v>
      </c>
      <c r="G18" s="224"/>
      <c r="H18" s="224"/>
      <c r="I18" s="224"/>
      <c r="J18" s="222" t="str">
        <f>("["&amp;C13&amp;"+"&amp;$G$13&amp;"+"&amp;$H$13&amp;"+"&amp;$I$13&amp;"]")</f>
        <v>[A+E+F+G]</v>
      </c>
      <c r="K18" s="222" t="str">
        <f>("["&amp;D13&amp;"+"&amp;$G$13&amp;"+"&amp;$H$13&amp;"+"&amp;$I$13&amp;"]")</f>
        <v>[B+E+F+G]</v>
      </c>
      <c r="L18" s="222" t="str">
        <f>("[("&amp;K13&amp;" - "&amp;J13&amp;")/"&amp;J13&amp;"]")</f>
        <v>[(I - H)/H]</v>
      </c>
      <c r="M18" s="3"/>
      <c r="N18" s="3"/>
      <c r="O18" s="3"/>
      <c r="P18" s="222"/>
      <c r="Q18" s="26"/>
      <c r="R18" s="33">
        <f>+INPUT!$C$9</f>
        <v>5.8200000000000002E-2</v>
      </c>
      <c r="S18" s="33">
        <f>+INPUT!$C$8</f>
        <v>7.8990000000000005E-2</v>
      </c>
      <c r="T18" s="33">
        <f>+INPUT!$C$7</f>
        <v>0.14451</v>
      </c>
      <c r="U18" s="26"/>
      <c r="V18" s="43"/>
      <c r="X18" s="26"/>
      <c r="Y18" s="33">
        <f>INPUT!$C$30</f>
        <v>5.271E-2</v>
      </c>
      <c r="Z18" s="174">
        <f>INPUT!$C$29</f>
        <v>0</v>
      </c>
      <c r="AA18" s="33">
        <f>INPUT!$C$28</f>
        <v>0.21482999999999999</v>
      </c>
      <c r="AB18" s="26"/>
      <c r="AC18" s="43"/>
      <c r="AD18" s="26"/>
      <c r="AF18" s="2"/>
      <c r="AG18" s="3"/>
      <c r="AH18" s="3"/>
      <c r="AI18" s="3"/>
      <c r="AJ18" s="3"/>
    </row>
    <row r="19" spans="1:36" x14ac:dyDescent="0.2">
      <c r="A19" s="3"/>
      <c r="B19" s="3"/>
      <c r="C19" s="3"/>
      <c r="D19" s="3"/>
      <c r="E19" s="222"/>
      <c r="F19" s="222"/>
      <c r="G19" s="3"/>
      <c r="H19" s="3"/>
      <c r="I19" s="3"/>
      <c r="J19" s="222"/>
      <c r="K19" s="3"/>
      <c r="L19" s="222"/>
      <c r="M19" s="3"/>
      <c r="N19" s="3"/>
      <c r="O19" s="3"/>
      <c r="P19" s="3"/>
      <c r="Q19" s="26"/>
      <c r="R19" s="3" t="s">
        <v>14</v>
      </c>
      <c r="S19" s="3" t="s">
        <v>14</v>
      </c>
      <c r="T19" s="3" t="s">
        <v>14</v>
      </c>
      <c r="U19" s="26"/>
      <c r="V19" s="3"/>
      <c r="X19" s="26"/>
      <c r="Y19" s="3" t="s">
        <v>14</v>
      </c>
      <c r="Z19" s="175" t="s">
        <v>14</v>
      </c>
      <c r="AA19" s="3" t="s">
        <v>14</v>
      </c>
      <c r="AB19" s="26"/>
      <c r="AC19" s="3"/>
      <c r="AD19" s="26"/>
      <c r="AF19" s="2"/>
      <c r="AG19" s="3"/>
      <c r="AH19" s="3"/>
      <c r="AI19" s="3"/>
      <c r="AJ19" s="3"/>
    </row>
    <row r="20" spans="1:36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T20" s="3"/>
      <c r="U20" s="3"/>
      <c r="V20" s="3"/>
      <c r="Y20" s="3"/>
      <c r="Z20" s="3"/>
      <c r="AA20" s="3"/>
      <c r="AB20" s="3"/>
      <c r="AC20" s="3"/>
      <c r="AD20" s="3"/>
    </row>
    <row r="21" spans="1:36" x14ac:dyDescent="0.2">
      <c r="A21" s="1">
        <v>500</v>
      </c>
      <c r="C21" s="29">
        <f>+U21</f>
        <v>50.691224570171386</v>
      </c>
      <c r="D21" s="29">
        <f>+AB21</f>
        <v>59.829038985613529</v>
      </c>
      <c r="E21" s="29">
        <f>+D21-C21</f>
        <v>9.1378144154421435</v>
      </c>
      <c r="F21" s="57">
        <f>ROUND(+E21/C21,4)</f>
        <v>0.18029999999999999</v>
      </c>
      <c r="G21" s="93">
        <f>ROUND($R$10*$A21,2)</f>
        <v>-0.06</v>
      </c>
      <c r="H21" s="93">
        <f>ROUND($R$11*$A21,2)</f>
        <v>0.56000000000000005</v>
      </c>
      <c r="I21" s="93">
        <f>ROUND($R$12*$A21,2)</f>
        <v>2.65</v>
      </c>
      <c r="J21" s="29">
        <f>+C21+G21+H21+I21</f>
        <v>53.841224570171384</v>
      </c>
      <c r="K21" s="29">
        <f>+D21+G21+H21+I21</f>
        <v>62.979038985613528</v>
      </c>
      <c r="L21" s="57">
        <f>ROUND((K21-J21)/J21,4)</f>
        <v>0.16969999999999999</v>
      </c>
      <c r="Q21" s="7">
        <f>+INPUT!$C$4</f>
        <v>10.75</v>
      </c>
      <c r="R21" s="6">
        <f>(+$A21*$R$39)*R$18</f>
        <v>16.25773782039094</v>
      </c>
      <c r="S21" s="6">
        <f>(+$A21*$S$39)*S$18</f>
        <v>9.8902880462829668</v>
      </c>
      <c r="T21" s="6">
        <f>(+$A21*$T$39)*T$18</f>
        <v>13.793198703497479</v>
      </c>
      <c r="U21" s="6">
        <f>SUM(Q21:T21)</f>
        <v>50.691224570171386</v>
      </c>
      <c r="V21" s="6"/>
      <c r="X21" s="7">
        <f>INPUT!$C$25</f>
        <v>18</v>
      </c>
      <c r="Y21" s="6">
        <f>(+$A21*$Y$40)*Y$18</f>
        <v>21.323932920480573</v>
      </c>
      <c r="Z21" s="6"/>
      <c r="AA21" s="6">
        <f>(+$A21*$AA$39)*AA$18</f>
        <v>20.505106065132956</v>
      </c>
      <c r="AB21" s="6">
        <f>SUM(X21:AA21)</f>
        <v>59.829038985613529</v>
      </c>
      <c r="AC21" s="6"/>
      <c r="AD21" s="6"/>
      <c r="AG21" s="6">
        <f>AB21-U21</f>
        <v>9.1378144154421435</v>
      </c>
      <c r="AI21" s="8">
        <f>AB21/U21-1</f>
        <v>0.18026422705162215</v>
      </c>
      <c r="AJ21" s="8"/>
    </row>
    <row r="22" spans="1:36" x14ac:dyDescent="0.2">
      <c r="A22" s="1"/>
      <c r="Q22" s="7"/>
      <c r="R22" s="7"/>
      <c r="S22" s="7"/>
      <c r="T22" s="7"/>
      <c r="U22" s="6"/>
      <c r="V22" s="6"/>
      <c r="X22" s="7"/>
      <c r="Y22" s="7"/>
      <c r="Z22" s="7"/>
      <c r="AA22" s="7"/>
      <c r="AB22" s="6"/>
      <c r="AC22" s="6"/>
      <c r="AD22" s="6"/>
      <c r="AI22" s="8"/>
      <c r="AJ22" s="8"/>
    </row>
    <row r="23" spans="1:36" x14ac:dyDescent="0.2">
      <c r="A23" s="1">
        <v>750</v>
      </c>
      <c r="C23" s="29">
        <f>+U23</f>
        <v>70.661836855257093</v>
      </c>
      <c r="D23" s="29">
        <f>+AB23</f>
        <v>80.743558478420297</v>
      </c>
      <c r="E23" s="29">
        <f>+D23-C23</f>
        <v>10.081721623163205</v>
      </c>
      <c r="F23" s="57">
        <f>ROUND(+E23/C23,4)</f>
        <v>0.14269999999999999</v>
      </c>
      <c r="G23" s="93">
        <f>ROUND($R$10*$A23,2)</f>
        <v>-0.09</v>
      </c>
      <c r="H23" s="93">
        <f>ROUND($R$11*$A23,2)</f>
        <v>0.84</v>
      </c>
      <c r="I23" s="93">
        <f>ROUND($R$12*$A23,2)</f>
        <v>3.98</v>
      </c>
      <c r="J23" s="29">
        <f>+C23+G23+H23+I23</f>
        <v>75.391836855257097</v>
      </c>
      <c r="K23" s="29">
        <f>+D23+G23+H23+I23</f>
        <v>85.473558478420301</v>
      </c>
      <c r="L23" s="57">
        <f>ROUND((K23-J23)/J23,4)</f>
        <v>0.13370000000000001</v>
      </c>
      <c r="Q23" s="7">
        <f>$Q$21</f>
        <v>10.75</v>
      </c>
      <c r="R23" s="6">
        <f>(+$A23*$R$39)*R$18</f>
        <v>24.386606730586415</v>
      </c>
      <c r="S23" s="6">
        <f>(+$A23*$S$39)*S$18</f>
        <v>14.835432069424451</v>
      </c>
      <c r="T23" s="6">
        <f>(+$A23*$T$39)*T$18</f>
        <v>20.689798055246222</v>
      </c>
      <c r="U23" s="6">
        <f>SUM(Q23:T23)</f>
        <v>70.661836855257093</v>
      </c>
      <c r="V23" s="6"/>
      <c r="X23" s="7">
        <f>+$X$21</f>
        <v>18</v>
      </c>
      <c r="Y23" s="6">
        <f>(+$A23*$Y$40)*Y$18</f>
        <v>31.985899380720859</v>
      </c>
      <c r="Z23" s="6"/>
      <c r="AA23" s="6">
        <f>(+$A23*$AA$39)*AA$18</f>
        <v>30.757659097699435</v>
      </c>
      <c r="AB23" s="6">
        <f>SUM(X23:AA23)</f>
        <v>80.743558478420297</v>
      </c>
      <c r="AC23" s="6"/>
      <c r="AD23" s="6"/>
      <c r="AG23" s="6">
        <f>AB23-U23</f>
        <v>10.081721623163205</v>
      </c>
      <c r="AI23" s="8">
        <f>AB23/U23-1</f>
        <v>0.14267562338939044</v>
      </c>
      <c r="AJ23" s="8"/>
    </row>
    <row r="24" spans="1:36" x14ac:dyDescent="0.2">
      <c r="A24" s="1"/>
      <c r="C24" s="29"/>
      <c r="D24" s="29"/>
      <c r="E24" s="29"/>
      <c r="F24" s="57"/>
      <c r="G24" s="29"/>
      <c r="H24" s="29"/>
      <c r="I24" s="29"/>
      <c r="J24" s="29"/>
      <c r="K24" s="29"/>
      <c r="L24" s="57"/>
      <c r="Q24" s="58"/>
      <c r="R24" s="58"/>
      <c r="S24" s="58"/>
      <c r="T24" s="58"/>
      <c r="U24" s="6"/>
      <c r="V24" s="6"/>
      <c r="X24" s="7"/>
      <c r="Y24" s="58"/>
      <c r="Z24" s="58"/>
      <c r="AA24" s="58"/>
      <c r="AB24" s="6"/>
      <c r="AC24" s="6"/>
      <c r="AD24" s="6"/>
      <c r="AI24" s="27"/>
      <c r="AJ24" s="27"/>
    </row>
    <row r="25" spans="1:36" s="10" customFormat="1" x14ac:dyDescent="0.2">
      <c r="A25" s="1">
        <v>1000</v>
      </c>
      <c r="B25"/>
      <c r="C25" s="29">
        <f>+U25</f>
        <v>90.632449140342771</v>
      </c>
      <c r="D25" s="29">
        <f>+AB25</f>
        <v>101.65807797122706</v>
      </c>
      <c r="E25" s="29">
        <f>+D25-C25</f>
        <v>11.025628830884287</v>
      </c>
      <c r="F25" s="57">
        <f>ROUND(+E25/C25,4)</f>
        <v>0.1217</v>
      </c>
      <c r="G25" s="93">
        <f>ROUND($R$10*$A25,2)</f>
        <v>-0.12</v>
      </c>
      <c r="H25" s="93">
        <f>ROUND($R$11*$A25,2)</f>
        <v>1.1200000000000001</v>
      </c>
      <c r="I25" s="93">
        <f>ROUND($R$12*$A25,2)</f>
        <v>5.3</v>
      </c>
      <c r="J25" s="29">
        <f>+C25+G25+H25+I25</f>
        <v>96.932449140342769</v>
      </c>
      <c r="K25" s="29">
        <f>+D25+G25+H25+I25</f>
        <v>107.95807797122706</v>
      </c>
      <c r="L25" s="57">
        <f>ROUND((K25-J25)/J25,4)</f>
        <v>0.1137</v>
      </c>
      <c r="Q25" s="58">
        <f>$Q$21</f>
        <v>10.75</v>
      </c>
      <c r="R25" s="6">
        <f>(+$A25*$R$39)*R$18</f>
        <v>32.515475640781879</v>
      </c>
      <c r="S25" s="6">
        <f>(+$A25*$S$39)*S$18</f>
        <v>19.780576092565934</v>
      </c>
      <c r="T25" s="6">
        <f>(+$A25*$T$39)*T$18</f>
        <v>27.586397406994958</v>
      </c>
      <c r="U25" s="6">
        <f>SUM(Q25:T25)</f>
        <v>90.632449140342771</v>
      </c>
      <c r="V25" s="6"/>
      <c r="X25" s="7">
        <f>+$X$21</f>
        <v>18</v>
      </c>
      <c r="Y25" s="6">
        <f>(+$A25*$Y$40)*Y$18</f>
        <v>42.647865840961146</v>
      </c>
      <c r="Z25" s="6"/>
      <c r="AA25" s="6">
        <f>(+$A25*$AA$39)*AA$18</f>
        <v>41.010212130265913</v>
      </c>
      <c r="AB25" s="6">
        <f>SUM(X25:AA25)</f>
        <v>101.65807797122706</v>
      </c>
      <c r="AC25" s="6"/>
      <c r="AD25" s="11"/>
      <c r="AG25" s="11">
        <f>AB25-U25</f>
        <v>11.025628830884287</v>
      </c>
      <c r="AI25" s="27">
        <f>AB25/U25-1</f>
        <v>0.12165211174875457</v>
      </c>
      <c r="AJ25" s="27"/>
    </row>
    <row r="26" spans="1:36" x14ac:dyDescent="0.2">
      <c r="A26" s="1"/>
      <c r="Q26" s="7"/>
      <c r="R26" s="7"/>
      <c r="S26" s="7"/>
      <c r="T26" s="7"/>
      <c r="U26" s="6"/>
      <c r="V26" s="6"/>
      <c r="X26" s="7"/>
      <c r="Y26" s="7"/>
      <c r="Z26" s="7"/>
      <c r="AA26" s="7"/>
      <c r="AB26" s="6"/>
      <c r="AC26" s="6"/>
      <c r="AD26" s="6"/>
      <c r="AI26" s="8"/>
      <c r="AJ26" s="8"/>
    </row>
    <row r="27" spans="1:36" x14ac:dyDescent="0.2">
      <c r="A27" s="325">
        <v>1364</v>
      </c>
      <c r="B27" s="326"/>
      <c r="C27" s="327">
        <f>+U27</f>
        <v>119.70966062742754</v>
      </c>
      <c r="D27" s="327">
        <f>+AB27</f>
        <v>132.1096183527537</v>
      </c>
      <c r="E27" s="327">
        <f>+D27-C27</f>
        <v>12.399957725326161</v>
      </c>
      <c r="F27" s="328">
        <f>ROUND(+E27/C27,4)</f>
        <v>0.1036</v>
      </c>
      <c r="G27" s="127">
        <f>ROUND($R$10*$A27,2)</f>
        <v>-0.16</v>
      </c>
      <c r="H27" s="127">
        <f>ROUND($R$11*$A27,2)</f>
        <v>1.52</v>
      </c>
      <c r="I27" s="127">
        <f>ROUND($R$12*$A27,2)</f>
        <v>7.23</v>
      </c>
      <c r="J27" s="327">
        <f>+C27+G27+H27+I27</f>
        <v>128.29966062742753</v>
      </c>
      <c r="K27" s="327">
        <f>+D27+G27+H27+I27</f>
        <v>140.6996183527537</v>
      </c>
      <c r="L27" s="329">
        <f>ROUND((K27-J27)/J27,4)</f>
        <v>9.6600000000000005E-2</v>
      </c>
      <c r="M27" s="29"/>
      <c r="Q27" s="7">
        <f>$Q$21</f>
        <v>10.75</v>
      </c>
      <c r="R27" s="6">
        <f>(+$A27*$R$39)*R$18</f>
        <v>44.351108774026486</v>
      </c>
      <c r="S27" s="6">
        <f>(+$A27*$S$39)*S$18</f>
        <v>26.980705790259933</v>
      </c>
      <c r="T27" s="6">
        <f>(+$A27*$T$39)*T$18</f>
        <v>37.627846063141121</v>
      </c>
      <c r="U27" s="6">
        <f>SUM(Q27:T27)</f>
        <v>119.70966062742754</v>
      </c>
      <c r="V27" s="6"/>
      <c r="X27" s="7">
        <f>+$X$21</f>
        <v>18</v>
      </c>
      <c r="Y27" s="6">
        <f>(+$A27*$Y$40)*Y$18</f>
        <v>58.171689007071009</v>
      </c>
      <c r="Z27" s="6"/>
      <c r="AA27" s="6">
        <f>(+$A27*$AA$39)*AA$18</f>
        <v>55.937929345682697</v>
      </c>
      <c r="AB27" s="6">
        <f>SUM(X27:AA27)</f>
        <v>132.1096183527537</v>
      </c>
      <c r="AC27" s="6"/>
      <c r="AD27" s="6"/>
      <c r="AG27" s="6">
        <f>AB27-U27</f>
        <v>12.399957725326161</v>
      </c>
      <c r="AI27" s="8">
        <f>AB27/U27-1</f>
        <v>0.10358360102547248</v>
      </c>
      <c r="AJ27" s="8"/>
    </row>
    <row r="28" spans="1:36" x14ac:dyDescent="0.2">
      <c r="Q28" s="7"/>
      <c r="R28" s="7"/>
      <c r="S28" s="7"/>
      <c r="T28" s="7"/>
      <c r="U28" s="6"/>
      <c r="V28" s="6"/>
      <c r="X28" s="7"/>
      <c r="Y28" s="7"/>
      <c r="Z28" s="7"/>
      <c r="AA28" s="7"/>
      <c r="AB28" s="6"/>
      <c r="AC28" s="6"/>
      <c r="AD28" s="6"/>
      <c r="AI28" s="8"/>
      <c r="AJ28" s="8"/>
    </row>
    <row r="29" spans="1:36" x14ac:dyDescent="0.2">
      <c r="A29" s="1">
        <v>1500</v>
      </c>
      <c r="C29" s="29">
        <f>+U29</f>
        <v>130.57367371051419</v>
      </c>
      <c r="D29" s="29">
        <f>+AB29</f>
        <v>143.48711695684059</v>
      </c>
      <c r="E29" s="29">
        <f>+D29-C29</f>
        <v>12.913443246326409</v>
      </c>
      <c r="F29" s="57">
        <f>ROUND(+E29/C29,4)</f>
        <v>9.8900000000000002E-2</v>
      </c>
      <c r="G29" s="93">
        <f>ROUND($R$10*$A29,2)</f>
        <v>-0.18</v>
      </c>
      <c r="H29" s="93">
        <f>ROUND($R$11*$A29,2)</f>
        <v>1.67</v>
      </c>
      <c r="I29" s="93">
        <f>ROUND($R$12*$A29,2)</f>
        <v>7.95</v>
      </c>
      <c r="J29" s="29">
        <f>+C29+G29+H29+I29</f>
        <v>140.01367371051415</v>
      </c>
      <c r="K29" s="29">
        <f>+D29+G29+H29+I29</f>
        <v>152.92711695684056</v>
      </c>
      <c r="L29" s="57">
        <f>ROUND((K29-J29)/J29,4)</f>
        <v>9.2200000000000004E-2</v>
      </c>
      <c r="Q29" s="7">
        <f>$Q$21</f>
        <v>10.75</v>
      </c>
      <c r="R29" s="6">
        <f>(+$A29*$R$39)*R$18</f>
        <v>48.77321346117283</v>
      </c>
      <c r="S29" s="6">
        <f>(+$A29*$S$39)*S$18</f>
        <v>29.670864138848902</v>
      </c>
      <c r="T29" s="6">
        <f>(+$A29*$T$39)*T$18</f>
        <v>41.379596110492443</v>
      </c>
      <c r="U29" s="6">
        <f>SUM(Q29:T29)</f>
        <v>130.57367371051419</v>
      </c>
      <c r="V29" s="6"/>
      <c r="X29" s="7">
        <f>+$X$21</f>
        <v>18</v>
      </c>
      <c r="Y29" s="6">
        <f>(+$A29*$Y$40)*Y$18</f>
        <v>63.971798761441718</v>
      </c>
      <c r="Z29" s="6"/>
      <c r="AA29" s="6">
        <f>(+$A29*$AA$39)*AA$18</f>
        <v>61.515318195398869</v>
      </c>
      <c r="AB29" s="6">
        <f>SUM(X29:AA29)</f>
        <v>143.48711695684059</v>
      </c>
      <c r="AC29" s="6"/>
      <c r="AD29" s="6"/>
      <c r="AG29" s="6">
        <f>AB29-U29</f>
        <v>12.913443246326409</v>
      </c>
      <c r="AI29" s="8">
        <f>AB29/U29-1</f>
        <v>9.8897755415505273E-2</v>
      </c>
      <c r="AJ29" s="8"/>
    </row>
    <row r="30" spans="1:36" x14ac:dyDescent="0.2">
      <c r="A30" s="1"/>
      <c r="Q30" s="7"/>
      <c r="R30" s="7"/>
      <c r="S30" s="7"/>
      <c r="T30" s="7"/>
      <c r="U30" s="6"/>
      <c r="V30" s="6"/>
      <c r="X30" s="7"/>
      <c r="Y30" s="7"/>
      <c r="Z30" s="7"/>
      <c r="AA30" s="7"/>
      <c r="AB30" s="6"/>
      <c r="AC30" s="6"/>
      <c r="AD30" s="6"/>
      <c r="AI30" s="8"/>
      <c r="AJ30" s="8"/>
    </row>
    <row r="31" spans="1:36" x14ac:dyDescent="0.2">
      <c r="A31" s="1">
        <v>2000</v>
      </c>
      <c r="C31" s="29">
        <f>+U31</f>
        <v>170.51489828068554</v>
      </c>
      <c r="D31" s="29">
        <f>+AB31</f>
        <v>185.31615594245412</v>
      </c>
      <c r="E31" s="29">
        <f>+D31-C31</f>
        <v>14.801257661768574</v>
      </c>
      <c r="F31" s="57">
        <f>ROUND(+E31/C31,4)</f>
        <v>8.6800000000000002E-2</v>
      </c>
      <c r="G31" s="93">
        <f>ROUND($R$10*$A31,2)</f>
        <v>-0.24</v>
      </c>
      <c r="H31" s="93">
        <f>ROUND($R$11*$A31,2)</f>
        <v>2.23</v>
      </c>
      <c r="I31" s="93">
        <f>ROUND($R$12*$A31,2)</f>
        <v>10.61</v>
      </c>
      <c r="J31" s="29">
        <f>+C31+G31+H31+I31</f>
        <v>183.11489828068551</v>
      </c>
      <c r="K31" s="29">
        <f>+D31+G31+H31+I31</f>
        <v>197.91615594245411</v>
      </c>
      <c r="L31" s="57">
        <f>ROUND((K31-J31)/J31,4)</f>
        <v>8.0799999999999997E-2</v>
      </c>
      <c r="Q31" s="7">
        <f>$Q$21</f>
        <v>10.75</v>
      </c>
      <c r="R31" s="6">
        <f>(+$A31*$R$39)*R$18</f>
        <v>65.030951281563759</v>
      </c>
      <c r="S31" s="6">
        <f>(+$A31*$S$39)*S$18</f>
        <v>39.561152185131867</v>
      </c>
      <c r="T31" s="6">
        <f>(+$A31*$T$39)*T$18</f>
        <v>55.172794813989917</v>
      </c>
      <c r="U31" s="6">
        <f>SUM(Q31:T31)</f>
        <v>170.51489828068554</v>
      </c>
      <c r="V31" s="6"/>
      <c r="X31" s="7">
        <f>+$X$21</f>
        <v>18</v>
      </c>
      <c r="Y31" s="6">
        <f>(+$A31*$Y$40)*Y$18</f>
        <v>85.295731681922291</v>
      </c>
      <c r="Z31" s="6"/>
      <c r="AA31" s="6">
        <f>(+$A31*$AA$39)*AA$18</f>
        <v>82.020424260531826</v>
      </c>
      <c r="AB31" s="6">
        <f>SUM(X31:AA31)</f>
        <v>185.31615594245412</v>
      </c>
      <c r="AC31" s="6"/>
      <c r="AD31" s="6"/>
      <c r="AG31" s="6">
        <f>AB31-U31</f>
        <v>14.801257661768574</v>
      </c>
      <c r="AI31" s="8">
        <f>AB31/U31-1</f>
        <v>8.6803310508411613E-2</v>
      </c>
      <c r="AJ31" s="8"/>
    </row>
    <row r="32" spans="1:36" x14ac:dyDescent="0.2">
      <c r="Q32" s="7"/>
      <c r="R32" s="7"/>
      <c r="S32" s="7"/>
      <c r="T32" s="7"/>
      <c r="U32" s="6"/>
      <c r="V32" s="6"/>
      <c r="X32" s="7"/>
      <c r="Y32" s="7"/>
      <c r="Z32" s="7"/>
      <c r="AA32" s="7"/>
      <c r="AB32" s="6"/>
      <c r="AC32" s="6"/>
      <c r="AD32" s="6"/>
      <c r="AI32" s="8"/>
      <c r="AJ32" s="8"/>
    </row>
    <row r="33" spans="1:36" x14ac:dyDescent="0.2">
      <c r="A33" s="1">
        <v>2500</v>
      </c>
      <c r="C33" s="29">
        <f>+U33</f>
        <v>210.45612285085693</v>
      </c>
      <c r="D33" s="29">
        <f>+AB33</f>
        <v>227.14519492806764</v>
      </c>
      <c r="E33" s="29">
        <f>+D33-C33</f>
        <v>16.68907207721071</v>
      </c>
      <c r="F33" s="57">
        <f>ROUND(+E33/C33,4)</f>
        <v>7.9299999999999995E-2</v>
      </c>
      <c r="G33" s="93">
        <f>ROUND($R$10*$A33,2)</f>
        <v>-0.28999999999999998</v>
      </c>
      <c r="H33" s="93">
        <f>ROUND($R$11*$A33,2)</f>
        <v>2.79</v>
      </c>
      <c r="I33" s="93">
        <f>ROUND($R$12*$A33,2)</f>
        <v>13.26</v>
      </c>
      <c r="J33" s="29">
        <f>+C33+G33+H33+I33</f>
        <v>226.21612285085692</v>
      </c>
      <c r="K33" s="29">
        <f>+D33+G33+H33+I33</f>
        <v>242.90519492806763</v>
      </c>
      <c r="L33" s="57">
        <f>ROUND((K33-J33)/J33,4)</f>
        <v>7.3800000000000004E-2</v>
      </c>
      <c r="Q33" s="7">
        <f>$Q$21</f>
        <v>10.75</v>
      </c>
      <c r="R33" s="6">
        <f>(+$A33*$R$39)*R$18</f>
        <v>81.288689101954702</v>
      </c>
      <c r="S33" s="6">
        <f>(+$A33*$S$39)*S$18</f>
        <v>49.451440231414836</v>
      </c>
      <c r="T33" s="6">
        <f>(+$A33*$T$39)*T$18</f>
        <v>68.965993517487391</v>
      </c>
      <c r="U33" s="6">
        <f>SUM(Q33:T33)</f>
        <v>210.45612285085693</v>
      </c>
      <c r="V33" s="6"/>
      <c r="X33" s="7">
        <f>+$X$21</f>
        <v>18</v>
      </c>
      <c r="Y33" s="6">
        <f>(+$A33*$Y$40)*Y$18</f>
        <v>106.61966460240286</v>
      </c>
      <c r="Z33" s="6"/>
      <c r="AA33" s="6">
        <f>(+$A33*$AA$39)*AA$18</f>
        <v>102.52553032566477</v>
      </c>
      <c r="AB33" s="6">
        <f>SUM(X33:AA33)</f>
        <v>227.14519492806764</v>
      </c>
      <c r="AC33" s="6"/>
      <c r="AD33" s="6"/>
      <c r="AI33" s="8"/>
      <c r="AJ33" s="8"/>
    </row>
    <row r="34" spans="1:36" x14ac:dyDescent="0.2">
      <c r="Q34" s="7"/>
      <c r="R34" s="7"/>
      <c r="S34" s="7"/>
      <c r="T34" s="7"/>
      <c r="U34" s="6"/>
      <c r="V34" s="6"/>
      <c r="X34" s="7"/>
      <c r="Y34" s="7"/>
      <c r="Z34" s="7"/>
      <c r="AA34" s="7"/>
      <c r="AB34" s="6"/>
      <c r="AC34" s="6"/>
      <c r="AD34" s="6"/>
      <c r="AI34" s="8"/>
      <c r="AJ34" s="8"/>
    </row>
    <row r="35" spans="1:36" x14ac:dyDescent="0.2">
      <c r="A35" s="1">
        <v>3000</v>
      </c>
      <c r="C35" s="29">
        <f>+U35</f>
        <v>250.39734742102834</v>
      </c>
      <c r="D35" s="29">
        <f>+AB35</f>
        <v>268.97423391368119</v>
      </c>
      <c r="E35" s="29">
        <f>+D35-C35</f>
        <v>18.576886492652847</v>
      </c>
      <c r="F35" s="57">
        <f>ROUND(+E35/C35,4)</f>
        <v>7.4200000000000002E-2</v>
      </c>
      <c r="G35" s="93">
        <f>ROUND($R$10*$A35,2)</f>
        <v>-0.35</v>
      </c>
      <c r="H35" s="93">
        <f>ROUND($R$11*$A35,2)</f>
        <v>3.35</v>
      </c>
      <c r="I35" s="93">
        <f>ROUND($R$12*$A35,2)</f>
        <v>15.91</v>
      </c>
      <c r="J35" s="29">
        <f>+C35+G35+H35+I35</f>
        <v>269.30734742102834</v>
      </c>
      <c r="K35" s="29">
        <f>+D35+G35+H35+I35</f>
        <v>287.88423391368121</v>
      </c>
      <c r="L35" s="57">
        <f>ROUND((K35-J35)/J35,4)</f>
        <v>6.9000000000000006E-2</v>
      </c>
      <c r="Q35" s="7">
        <f>$Q$21</f>
        <v>10.75</v>
      </c>
      <c r="R35" s="6">
        <f>(+$A35*$R$39)*R$18</f>
        <v>97.54642692234566</v>
      </c>
      <c r="S35" s="6">
        <f>(+$A35*$S$39)*S$18</f>
        <v>59.341728277697804</v>
      </c>
      <c r="T35" s="6">
        <f>(+$A35*$T$39)*T$18</f>
        <v>82.759192220984886</v>
      </c>
      <c r="U35" s="6">
        <f>SUM(Q35:T35)</f>
        <v>250.39734742102834</v>
      </c>
      <c r="V35" s="6"/>
      <c r="X35" s="7">
        <f>+$X$21</f>
        <v>18</v>
      </c>
      <c r="Y35" s="6">
        <f>(+$A35*$Y$40)*Y$18</f>
        <v>127.94359752288344</v>
      </c>
      <c r="Z35" s="6"/>
      <c r="AA35" s="6">
        <f>(+$A35*$AA$39)*AA$18</f>
        <v>123.03063639079774</v>
      </c>
      <c r="AB35" s="6">
        <f>SUM(X35:AA35)</f>
        <v>268.97423391368119</v>
      </c>
      <c r="AC35" s="6"/>
      <c r="AD35" s="6"/>
      <c r="AG35" s="6">
        <f>AB35-U35</f>
        <v>18.576886492652847</v>
      </c>
      <c r="AI35" s="8">
        <f>AB35/U35-1</f>
        <v>7.4189629738437013E-2</v>
      </c>
      <c r="AJ35" s="8"/>
    </row>
    <row r="36" spans="1:36" x14ac:dyDescent="0.2">
      <c r="A36" s="1"/>
      <c r="C36" s="29"/>
      <c r="D36" s="29"/>
      <c r="E36" s="29"/>
      <c r="F36" s="57"/>
      <c r="G36" s="93"/>
      <c r="H36" s="93"/>
      <c r="I36" s="93"/>
      <c r="J36" s="29"/>
      <c r="K36" s="29"/>
      <c r="L36" s="57"/>
      <c r="Q36" s="7"/>
      <c r="R36" s="6"/>
      <c r="S36" s="6"/>
      <c r="T36" s="6"/>
      <c r="U36" s="6"/>
      <c r="V36" s="6"/>
      <c r="X36" s="7"/>
      <c r="Y36" s="6"/>
      <c r="Z36" s="6"/>
      <c r="AA36" s="6"/>
      <c r="AB36" s="6"/>
      <c r="AC36" s="6"/>
      <c r="AD36" s="6"/>
      <c r="AG36" s="6"/>
      <c r="AI36" s="8"/>
      <c r="AJ36" s="8"/>
    </row>
    <row r="37" spans="1:36" x14ac:dyDescent="0.2">
      <c r="A37" s="17" t="s">
        <v>373</v>
      </c>
    </row>
    <row r="38" spans="1:36" x14ac:dyDescent="0.2">
      <c r="A38" s="228" t="str">
        <f>("Average usage = "&amp;TEXT(INPUT!C19*1,"0,000")&amp;" kWh per month - based on Rate LEV")</f>
        <v>Average usage = 1,364 kWh per month - based on Rate LEV</v>
      </c>
      <c r="Q38" s="7"/>
      <c r="R38" s="7"/>
      <c r="S38" s="7"/>
    </row>
    <row r="39" spans="1:36" x14ac:dyDescent="0.2">
      <c r="A39" s="230" t="s">
        <v>375</v>
      </c>
      <c r="Q39" s="30" t="s">
        <v>322</v>
      </c>
      <c r="R39" s="54">
        <v>0.55868514846704265</v>
      </c>
      <c r="S39" s="54">
        <v>0.25041873772079926</v>
      </c>
      <c r="T39" s="54">
        <v>0.19089611381215804</v>
      </c>
      <c r="X39" s="30" t="s">
        <v>322</v>
      </c>
      <c r="Y39" s="183">
        <v>0.55868514846704265</v>
      </c>
      <c r="Z39" s="183">
        <v>0.25041873772079926</v>
      </c>
      <c r="AA39" s="54">
        <v>0.19089611381215804</v>
      </c>
    </row>
    <row r="40" spans="1:36" x14ac:dyDescent="0.2">
      <c r="A40" s="229" t="s">
        <v>372</v>
      </c>
      <c r="Y40" s="184">
        <f>+Y39+Z39</f>
        <v>0.8091038861878419</v>
      </c>
    </row>
    <row r="41" spans="1:36" x14ac:dyDescent="0.2">
      <c r="A41" s="229" t="s">
        <v>413</v>
      </c>
    </row>
    <row r="42" spans="1:36" x14ac:dyDescent="0.2">
      <c r="A42" s="229" t="str">
        <f>+'Rate Case Constants'!C26</f>
        <v>Calculations may vary from other schedules due to rounding</v>
      </c>
    </row>
    <row r="43" spans="1:36" x14ac:dyDescent="0.2">
      <c r="A43" s="229"/>
    </row>
    <row r="44" spans="1:36" ht="12" customHeight="1" x14ac:dyDescent="0.2">
      <c r="A44" s="229"/>
    </row>
    <row r="45" spans="1:36" x14ac:dyDescent="0.2">
      <c r="A45" s="230"/>
    </row>
  </sheetData>
  <mergeCells count="5">
    <mergeCell ref="G15:I15"/>
    <mergeCell ref="A1:L1"/>
    <mergeCell ref="A2:L2"/>
    <mergeCell ref="A3:L3"/>
    <mergeCell ref="A4:L4"/>
  </mergeCells>
  <printOptions horizontalCentered="1"/>
  <pageMargins left="0.25" right="0.25" top="1" bottom="0.5" header="1" footer="0.5"/>
  <pageSetup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8"/>
  <sheetViews>
    <sheetView view="pageBreakPreview" topLeftCell="A4" zoomScaleNormal="100" zoomScaleSheetLayoutView="100" workbookViewId="0">
      <selection activeCell="R33" sqref="R33"/>
    </sheetView>
  </sheetViews>
  <sheetFormatPr defaultRowHeight="12.75" x14ac:dyDescent="0.2"/>
  <cols>
    <col min="1" max="1" width="7.140625" customWidth="1"/>
    <col min="2" max="2" width="3.7109375" customWidth="1"/>
    <col min="3" max="3" width="6.5703125" customWidth="1"/>
    <col min="4" max="4" width="1.85546875" customWidth="1"/>
    <col min="5" max="5" width="9.5703125" customWidth="1"/>
    <col min="6" max="6" width="2" customWidth="1"/>
    <col min="7" max="7" width="13.42578125" bestFit="1" customWidth="1"/>
    <col min="8" max="8" width="14.7109375" customWidth="1"/>
    <col min="9" max="10" width="9.85546875" customWidth="1"/>
    <col min="11" max="11" width="10.7109375" bestFit="1" customWidth="1"/>
    <col min="12" max="12" width="11.28515625" bestFit="1" customWidth="1"/>
    <col min="13" max="13" width="12.42578125" customWidth="1"/>
    <col min="14" max="15" width="13.42578125" bestFit="1" customWidth="1"/>
    <col min="16" max="18" width="9.85546875" customWidth="1"/>
    <col min="19" max="19" width="10" customWidth="1"/>
    <col min="20" max="20" width="13.5703125" customWidth="1"/>
    <col min="21" max="21" width="12.5703125" bestFit="1" customWidth="1"/>
    <col min="22" max="22" width="12.7109375" bestFit="1" customWidth="1"/>
    <col min="23" max="23" width="12" bestFit="1" customWidth="1"/>
    <col min="24" max="24" width="13" bestFit="1" customWidth="1"/>
    <col min="25" max="25" width="3.140625" customWidth="1"/>
    <col min="26" max="26" width="14.42578125" customWidth="1"/>
    <col min="27" max="27" width="3.85546875" customWidth="1"/>
    <col min="28" max="28" width="2.42578125" customWidth="1"/>
    <col min="29" max="29" width="14.42578125" bestFit="1" customWidth="1"/>
    <col min="30" max="30" width="12.7109375" bestFit="1" customWidth="1"/>
    <col min="31" max="31" width="11.5703125" bestFit="1" customWidth="1"/>
    <col min="32" max="32" width="13.85546875" bestFit="1" customWidth="1"/>
    <col min="33" max="33" width="11.5703125" bestFit="1" customWidth="1"/>
    <col min="34" max="34" width="12.7109375" bestFit="1" customWidth="1"/>
    <col min="35" max="35" width="12.7109375" customWidth="1"/>
    <col min="36" max="36" width="11.140625" customWidth="1"/>
    <col min="37" max="37" width="11.42578125" bestFit="1" customWidth="1"/>
    <col min="38" max="38" width="10.7109375" customWidth="1"/>
    <col min="39" max="39" width="11.42578125" bestFit="1" customWidth="1"/>
  </cols>
  <sheetData>
    <row r="1" spans="1:39" x14ac:dyDescent="0.2">
      <c r="A1" s="377" t="str">
        <f>+'Rate Case Constants'!C9</f>
        <v>LOUISVILLE GAS AND ELECTRIC COMPANY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</row>
    <row r="2" spans="1:39" x14ac:dyDescent="0.2">
      <c r="A2" s="377" t="str">
        <f>+'Rate Case Constants'!C10</f>
        <v>CASE NO. 2014-00372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</row>
    <row r="3" spans="1:39" x14ac:dyDescent="0.2">
      <c r="A3" s="378" t="str">
        <f>+'Rate Case Constants'!C24</f>
        <v>Typical Electric Bill Comparison under Present &amp; Proposed Rates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</row>
    <row r="4" spans="1:39" x14ac:dyDescent="0.2">
      <c r="A4" s="377" t="str">
        <f>+'Rate Case Constants'!C21</f>
        <v>FORECAST PERIOD FOR THE 12 MONTHS ENDED JUNE 30, 2016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</row>
    <row r="7" spans="1:39" x14ac:dyDescent="0.2">
      <c r="A7" t="str">
        <f>+'Rate Case Constants'!C33</f>
        <v>DATA: ____BASE PERIOD__X___FORECASTED PERIOD</v>
      </c>
      <c r="P7" s="208" t="str">
        <f>+'Rate Case Constants'!C25</f>
        <v>SCHEDULE N (Electric)</v>
      </c>
    </row>
    <row r="8" spans="1:39" x14ac:dyDescent="0.2">
      <c r="A8" t="str">
        <f>+'Rate Case Constants'!C29</f>
        <v>TYPE OF FILING: __X__ ORIGINAL  _____ UPDATED  _____ REVISED</v>
      </c>
      <c r="L8" s="209"/>
      <c r="P8" s="209" t="str">
        <f>+'Rate Case Constants'!L10</f>
        <v>PAGE 3 of 22</v>
      </c>
    </row>
    <row r="9" spans="1:39" x14ac:dyDescent="0.2">
      <c r="A9" t="str">
        <f>+'Rate Case Constants'!C34</f>
        <v>WORKPAPER REFERENCE NO(S):________</v>
      </c>
      <c r="P9" s="209" t="str">
        <f>+'Rate Case Constants'!C37</f>
        <v>WITNESS:   R. M. CONROY</v>
      </c>
      <c r="T9" s="2" t="s">
        <v>397</v>
      </c>
    </row>
    <row r="10" spans="1:39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S10" s="86" t="s">
        <v>72</v>
      </c>
      <c r="T10" s="86">
        <f>+INPUT!$G$48</f>
        <v>-1.9405635785474653E-4</v>
      </c>
    </row>
    <row r="11" spans="1:39" x14ac:dyDescent="0.2">
      <c r="A11" s="45" t="s">
        <v>83</v>
      </c>
      <c r="S11" s="86" t="s">
        <v>74</v>
      </c>
      <c r="T11" s="86">
        <f>+INPUT!$H$48</f>
        <v>1.8615357854059587E-3</v>
      </c>
    </row>
    <row r="12" spans="1:39" x14ac:dyDescent="0.2"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86" t="s">
        <v>73</v>
      </c>
      <c r="T12" s="86">
        <f>+INPUT!$I$48</f>
        <v>8.835577448532023E-3</v>
      </c>
    </row>
    <row r="13" spans="1:39" x14ac:dyDescent="0.2">
      <c r="A13" s="45"/>
      <c r="G13" s="222" t="s">
        <v>362</v>
      </c>
      <c r="H13" s="223" t="s">
        <v>363</v>
      </c>
      <c r="I13" s="223" t="s">
        <v>364</v>
      </c>
      <c r="J13" s="222" t="s">
        <v>365</v>
      </c>
      <c r="K13" s="222" t="s">
        <v>366</v>
      </c>
      <c r="L13" s="222" t="s">
        <v>367</v>
      </c>
      <c r="M13" s="223" t="s">
        <v>368</v>
      </c>
      <c r="N13" s="222" t="s">
        <v>369</v>
      </c>
      <c r="O13" s="222" t="s">
        <v>370</v>
      </c>
      <c r="P13" s="222" t="s">
        <v>371</v>
      </c>
      <c r="S13" s="176" t="s">
        <v>311</v>
      </c>
      <c r="T13" s="16"/>
      <c r="U13" s="3" t="s">
        <v>1</v>
      </c>
      <c r="V13" s="3" t="s">
        <v>1</v>
      </c>
      <c r="W13" s="3" t="s">
        <v>1</v>
      </c>
      <c r="Z13" s="3" t="s">
        <v>73</v>
      </c>
      <c r="AD13" s="20"/>
      <c r="AE13" s="21" t="s">
        <v>9</v>
      </c>
      <c r="AF13" s="21" t="s">
        <v>9</v>
      </c>
      <c r="AG13" s="21" t="s">
        <v>9</v>
      </c>
      <c r="AH13" s="20"/>
      <c r="AI13" s="3" t="s">
        <v>73</v>
      </c>
    </row>
    <row r="14" spans="1:39" x14ac:dyDescent="0.2">
      <c r="G14" s="351" t="s">
        <v>406</v>
      </c>
      <c r="H14" s="351" t="s">
        <v>406</v>
      </c>
      <c r="I14" s="226"/>
      <c r="J14" s="226"/>
      <c r="K14" s="226"/>
      <c r="L14" s="226"/>
      <c r="M14" s="226"/>
      <c r="N14" s="222" t="s">
        <v>5</v>
      </c>
      <c r="O14" s="222" t="s">
        <v>5</v>
      </c>
      <c r="P14" s="226"/>
      <c r="S14" s="3" t="s">
        <v>1</v>
      </c>
      <c r="T14" s="3" t="s">
        <v>1</v>
      </c>
      <c r="U14" s="22" t="s">
        <v>84</v>
      </c>
      <c r="V14" s="21" t="s">
        <v>30</v>
      </c>
      <c r="W14" s="21" t="s">
        <v>85</v>
      </c>
      <c r="X14" s="3" t="s">
        <v>1</v>
      </c>
      <c r="Y14" s="3"/>
      <c r="Z14" s="3" t="s">
        <v>1</v>
      </c>
      <c r="AC14" s="3" t="s">
        <v>9</v>
      </c>
      <c r="AD14" s="3" t="s">
        <v>9</v>
      </c>
      <c r="AE14" s="22" t="s">
        <v>84</v>
      </c>
      <c r="AF14" s="21" t="s">
        <v>30</v>
      </c>
      <c r="AG14" s="21" t="s">
        <v>85</v>
      </c>
      <c r="AH14" s="21" t="s">
        <v>9</v>
      </c>
      <c r="AI14" s="3" t="s">
        <v>1</v>
      </c>
      <c r="AK14" s="3"/>
    </row>
    <row r="15" spans="1:39" x14ac:dyDescent="0.2">
      <c r="C15" s="3" t="s">
        <v>23</v>
      </c>
      <c r="E15" s="3"/>
      <c r="F15" s="3"/>
      <c r="G15" s="222" t="s">
        <v>1</v>
      </c>
      <c r="H15" s="222" t="s">
        <v>75</v>
      </c>
      <c r="I15" s="222"/>
      <c r="J15" s="222"/>
      <c r="K15" s="372" t="s">
        <v>136</v>
      </c>
      <c r="L15" s="372"/>
      <c r="M15" s="373"/>
      <c r="N15" s="222" t="s">
        <v>1</v>
      </c>
      <c r="O15" s="222" t="s">
        <v>75</v>
      </c>
      <c r="P15" s="222"/>
      <c r="Q15" s="3"/>
      <c r="R15" s="3"/>
      <c r="S15" s="3" t="s">
        <v>2</v>
      </c>
      <c r="T15" s="3" t="s">
        <v>59</v>
      </c>
      <c r="U15" s="21" t="s">
        <v>25</v>
      </c>
      <c r="V15" s="21" t="s">
        <v>25</v>
      </c>
      <c r="W15" s="21" t="s">
        <v>18</v>
      </c>
      <c r="X15" s="3" t="s">
        <v>5</v>
      </c>
      <c r="Y15" s="3"/>
      <c r="Z15" s="3" t="s">
        <v>77</v>
      </c>
      <c r="AC15" s="26" t="s">
        <v>58</v>
      </c>
      <c r="AD15" s="3" t="s">
        <v>59</v>
      </c>
      <c r="AE15" s="21" t="s">
        <v>25</v>
      </c>
      <c r="AF15" s="21" t="s">
        <v>25</v>
      </c>
      <c r="AG15" s="21" t="s">
        <v>18</v>
      </c>
      <c r="AH15" s="21" t="s">
        <v>5</v>
      </c>
      <c r="AI15" s="3" t="s">
        <v>77</v>
      </c>
      <c r="AK15" s="3" t="s">
        <v>6</v>
      </c>
      <c r="AL15" s="3"/>
      <c r="AM15" s="3" t="s">
        <v>8</v>
      </c>
    </row>
    <row r="16" spans="1:39" x14ac:dyDescent="0.2">
      <c r="A16" s="3" t="s">
        <v>20</v>
      </c>
      <c r="C16" s="3" t="s">
        <v>24</v>
      </c>
      <c r="E16" s="3" t="s">
        <v>0</v>
      </c>
      <c r="F16" s="3"/>
      <c r="G16" s="222" t="s">
        <v>4</v>
      </c>
      <c r="H16" s="222" t="s">
        <v>4</v>
      </c>
      <c r="I16" s="222" t="s">
        <v>76</v>
      </c>
      <c r="J16" s="222" t="s">
        <v>76</v>
      </c>
      <c r="K16" s="222" t="s">
        <v>72</v>
      </c>
      <c r="L16" s="222" t="s">
        <v>74</v>
      </c>
      <c r="M16" s="222" t="s">
        <v>73</v>
      </c>
      <c r="N16" s="222" t="s">
        <v>4</v>
      </c>
      <c r="O16" s="222" t="s">
        <v>4</v>
      </c>
      <c r="P16" s="222" t="s">
        <v>76</v>
      </c>
      <c r="Q16" s="3"/>
      <c r="R16" s="3"/>
      <c r="S16" s="26" t="s">
        <v>3</v>
      </c>
      <c r="T16" s="3" t="s">
        <v>3</v>
      </c>
      <c r="U16" s="21" t="s">
        <v>3</v>
      </c>
      <c r="V16" s="21" t="s">
        <v>3</v>
      </c>
      <c r="W16" s="21" t="s">
        <v>3</v>
      </c>
      <c r="X16" s="3" t="s">
        <v>4</v>
      </c>
      <c r="Y16" s="3"/>
      <c r="Z16" s="3" t="s">
        <v>3</v>
      </c>
      <c r="AC16" s="26" t="s">
        <v>3</v>
      </c>
      <c r="AD16" s="3" t="s">
        <v>3</v>
      </c>
      <c r="AE16" s="21" t="s">
        <v>3</v>
      </c>
      <c r="AF16" s="21" t="s">
        <v>3</v>
      </c>
      <c r="AG16" s="21" t="s">
        <v>3</v>
      </c>
      <c r="AH16" s="21" t="s">
        <v>4</v>
      </c>
      <c r="AI16" s="3" t="s">
        <v>3</v>
      </c>
      <c r="AK16" s="3" t="s">
        <v>7</v>
      </c>
      <c r="AL16" s="3"/>
      <c r="AM16" s="3" t="s">
        <v>7</v>
      </c>
    </row>
    <row r="17" spans="1:39" x14ac:dyDescent="0.2">
      <c r="A17" s="3"/>
      <c r="C17" s="3"/>
      <c r="E17" s="3"/>
      <c r="F17" s="3"/>
      <c r="G17" s="26" t="s">
        <v>409</v>
      </c>
      <c r="H17" s="222"/>
      <c r="I17" s="222" t="s">
        <v>70</v>
      </c>
      <c r="J17" s="223" t="s">
        <v>71</v>
      </c>
      <c r="K17" s="224"/>
      <c r="L17" s="224"/>
      <c r="M17" s="225"/>
      <c r="N17" s="222" t="s">
        <v>70</v>
      </c>
      <c r="O17" s="222" t="s">
        <v>70</v>
      </c>
      <c r="P17" s="223" t="s">
        <v>71</v>
      </c>
      <c r="Q17" s="3"/>
      <c r="R17" s="3"/>
      <c r="S17" s="26"/>
      <c r="T17" s="43">
        <f>+INPUT!$D$6</f>
        <v>8.0759999999999998E-2</v>
      </c>
      <c r="U17" s="44">
        <f>+INPUT!$D$11</f>
        <v>0</v>
      </c>
      <c r="V17" s="44">
        <v>0</v>
      </c>
      <c r="W17" s="44">
        <f>+INPUT!$D$13</f>
        <v>0</v>
      </c>
      <c r="X17" s="3"/>
      <c r="Y17" s="3"/>
      <c r="Z17" s="43"/>
      <c r="AC17" s="26"/>
      <c r="AD17" s="43">
        <f>+INPUT!$D$27</f>
        <v>4.0079999999999998E-2</v>
      </c>
      <c r="AE17" s="44">
        <f>+INPUT!$D$35</f>
        <v>10.9</v>
      </c>
      <c r="AF17" s="44">
        <v>0</v>
      </c>
      <c r="AG17" s="44">
        <f>+INPUT!$D$37</f>
        <v>2.95</v>
      </c>
      <c r="AH17" s="21"/>
      <c r="AI17" s="43"/>
      <c r="AK17" s="3"/>
      <c r="AL17" s="3"/>
      <c r="AM17" s="3"/>
    </row>
    <row r="18" spans="1:39" x14ac:dyDescent="0.2">
      <c r="C18" s="3"/>
      <c r="E18" s="3"/>
      <c r="F18" s="3"/>
      <c r="G18" s="222"/>
      <c r="H18" s="222"/>
      <c r="I18" s="222" t="str">
        <f>("[ "&amp;H13&amp;" - "&amp;G13&amp;" ]")</f>
        <v>[ B - A ]</v>
      </c>
      <c r="J18" s="222" t="str">
        <f>("[ "&amp;I13&amp;" / "&amp;G13&amp;" ]")</f>
        <v>[ C / A ]</v>
      </c>
      <c r="K18" s="224"/>
      <c r="L18" s="224"/>
      <c r="M18" s="224"/>
      <c r="N18" s="222" t="str">
        <f>("["&amp;G13&amp;"+"&amp;$K$13&amp;"+"&amp;$L$13&amp;"+"&amp;$M$13&amp;"]")</f>
        <v>[A+E+F+G]</v>
      </c>
      <c r="O18" s="222" t="str">
        <f>("["&amp;H13&amp;"+"&amp;$K$13&amp;"+"&amp;$L$13&amp;"+"&amp;$M$13&amp;"]")</f>
        <v>[B+E+F+G]</v>
      </c>
      <c r="P18" s="222" t="str">
        <f>("[("&amp;O13&amp;" - "&amp;N13&amp;")/"&amp;N13&amp;"]")</f>
        <v>[(I - H)/H]</v>
      </c>
      <c r="Q18" s="3"/>
      <c r="R18" s="3"/>
      <c r="T18" s="26" t="s">
        <v>14</v>
      </c>
      <c r="U18" s="26" t="s">
        <v>19</v>
      </c>
      <c r="V18" s="26" t="s">
        <v>19</v>
      </c>
      <c r="W18" s="26" t="s">
        <v>19</v>
      </c>
      <c r="X18" s="3"/>
      <c r="Y18" s="3"/>
      <c r="Z18" s="26"/>
      <c r="AC18" s="26"/>
      <c r="AD18" s="26" t="s">
        <v>14</v>
      </c>
      <c r="AE18" s="26" t="s">
        <v>19</v>
      </c>
      <c r="AF18" s="26" t="s">
        <v>19</v>
      </c>
      <c r="AG18" s="26" t="s">
        <v>19</v>
      </c>
      <c r="AH18" s="21"/>
      <c r="AI18" s="26"/>
      <c r="AK18" s="3"/>
      <c r="AL18" s="3"/>
      <c r="AM18" s="3"/>
    </row>
    <row r="19" spans="1:39" x14ac:dyDescent="0.2">
      <c r="C19" s="3"/>
      <c r="E19" s="3"/>
      <c r="F19" s="3"/>
      <c r="G19" s="3"/>
      <c r="H19" s="3"/>
      <c r="I19" s="222"/>
      <c r="J19" s="222"/>
      <c r="K19" s="3"/>
      <c r="L19" s="3"/>
      <c r="M19" s="3"/>
      <c r="N19" s="222"/>
      <c r="O19" s="3"/>
      <c r="P19" s="222"/>
      <c r="Q19" s="3"/>
      <c r="R19" s="3"/>
      <c r="U19" s="3"/>
      <c r="V19" s="3"/>
      <c r="W19" s="3"/>
      <c r="X19" s="3"/>
      <c r="Y19" s="3"/>
      <c r="AC19" s="26"/>
      <c r="AD19" s="3"/>
      <c r="AE19" s="21"/>
      <c r="AF19" s="21"/>
      <c r="AG19" s="21"/>
      <c r="AH19" s="21"/>
      <c r="AK19" s="3"/>
      <c r="AL19" s="3"/>
      <c r="AM19" s="3"/>
    </row>
    <row r="20" spans="1:39" x14ac:dyDescent="0.2">
      <c r="A20" s="1">
        <v>2</v>
      </c>
      <c r="B20" s="1"/>
      <c r="C20" s="13">
        <v>0.3</v>
      </c>
      <c r="E20" s="1">
        <f>C20*($A$20*730)</f>
        <v>438</v>
      </c>
      <c r="F20" s="1"/>
      <c r="G20" s="29">
        <f>+X20</f>
        <v>46.122880000000002</v>
      </c>
      <c r="H20" s="29">
        <f>+AH20</f>
        <v>63.255040000000001</v>
      </c>
      <c r="I20" s="29">
        <f>+H20-G20</f>
        <v>17.132159999999999</v>
      </c>
      <c r="J20" s="57">
        <f>ROUND(+I20/G20,4)</f>
        <v>0.37140000000000001</v>
      </c>
      <c r="K20" s="93">
        <f>ROUND($T$10*$E20,2)</f>
        <v>-0.08</v>
      </c>
      <c r="L20" s="93">
        <f>ROUND($T$11*$E20,2)</f>
        <v>0.82</v>
      </c>
      <c r="M20" s="93">
        <f>ROUND($T$12*$E20,2)</f>
        <v>3.87</v>
      </c>
      <c r="N20" s="29">
        <f>+G20+K20+L20+M20</f>
        <v>50.732880000000002</v>
      </c>
      <c r="O20" s="29">
        <f>+H20+K20+L20+M20</f>
        <v>67.865040000000008</v>
      </c>
      <c r="P20" s="57">
        <f>(O20-N20)/N20</f>
        <v>0.33769342485583326</v>
      </c>
      <c r="Q20" s="1"/>
      <c r="S20" s="7">
        <f>+INPUT!$D$4</f>
        <v>10.75</v>
      </c>
      <c r="T20" s="20">
        <f>$T$17*E20</f>
        <v>35.372880000000002</v>
      </c>
      <c r="U20" s="20">
        <f>$U$17*$A$20</f>
        <v>0</v>
      </c>
      <c r="V20" s="20">
        <f>$V$17*$A$20</f>
        <v>0</v>
      </c>
      <c r="W20" s="20">
        <f>$W$17*$A$20</f>
        <v>0</v>
      </c>
      <c r="X20" s="25">
        <f>S20+T20+U20+V20+W20</f>
        <v>46.122880000000002</v>
      </c>
      <c r="Y20" s="25"/>
      <c r="Z20" s="20"/>
      <c r="AC20" s="7">
        <f>INPUT!$D$25</f>
        <v>18</v>
      </c>
      <c r="AD20" s="20">
        <f>$AD$17*E20</f>
        <v>17.555039999999998</v>
      </c>
      <c r="AE20" s="20">
        <f>$A$20*$AE$17</f>
        <v>21.8</v>
      </c>
      <c r="AF20" s="20">
        <f>$A$20*$AF$17</f>
        <v>0</v>
      </c>
      <c r="AG20" s="20">
        <f>$A$20*$AG$17</f>
        <v>5.9</v>
      </c>
      <c r="AH20" s="25">
        <f>AC20+AD20+AE20+AF20+AG20</f>
        <v>63.255040000000001</v>
      </c>
      <c r="AI20" s="20"/>
      <c r="AJ20" s="17"/>
      <c r="AK20" s="7">
        <f>AH20-X20</f>
        <v>17.132159999999999</v>
      </c>
      <c r="AM20" s="18">
        <f>AH20/X20-1</f>
        <v>0.37144601551334167</v>
      </c>
    </row>
    <row r="21" spans="1:39" x14ac:dyDescent="0.2">
      <c r="C21" s="13">
        <v>0.5</v>
      </c>
      <c r="E21" s="1">
        <f>C21*($A$20*730)</f>
        <v>730</v>
      </c>
      <c r="F21" s="1"/>
      <c r="G21" s="29">
        <f t="shared" ref="G21:G38" si="0">+X21</f>
        <v>69.704800000000006</v>
      </c>
      <c r="H21" s="29">
        <f>+AH21</f>
        <v>74.958399999999997</v>
      </c>
      <c r="I21" s="29">
        <f>+H21-G21</f>
        <v>5.2535999999999916</v>
      </c>
      <c r="J21" s="57">
        <f>ROUND(+I21/G21,4)</f>
        <v>7.5399999999999995E-2</v>
      </c>
      <c r="K21" s="93">
        <f>ROUND($T$10*$E21,2)</f>
        <v>-0.14000000000000001</v>
      </c>
      <c r="L21" s="93">
        <f>ROUND($T$11*$E21,2)</f>
        <v>1.36</v>
      </c>
      <c r="M21" s="93">
        <f>ROUND($T$12*$E21,2)</f>
        <v>6.45</v>
      </c>
      <c r="N21" s="29">
        <f>+G21+K21+L21+M21</f>
        <v>77.374800000000008</v>
      </c>
      <c r="O21" s="29">
        <f>+H21+K21+L21+M21</f>
        <v>82.628399999999999</v>
      </c>
      <c r="P21" s="57">
        <f>(O21-N21)/N21</f>
        <v>6.7898075342359407E-2</v>
      </c>
      <c r="Q21" s="1"/>
      <c r="S21" s="7">
        <f>$S$20</f>
        <v>10.75</v>
      </c>
      <c r="T21" s="20">
        <f>$T$17*E21</f>
        <v>58.954799999999999</v>
      </c>
      <c r="U21" s="20">
        <f>$U$17*$A$20</f>
        <v>0</v>
      </c>
      <c r="V21" s="20">
        <f>$V$17*$A$20</f>
        <v>0</v>
      </c>
      <c r="W21" s="20">
        <f>$W$17*$A$20</f>
        <v>0</v>
      </c>
      <c r="X21" s="25">
        <f>S21+T21+U21+V21+W21</f>
        <v>69.704800000000006</v>
      </c>
      <c r="Y21" s="25"/>
      <c r="Z21" s="20"/>
      <c r="AC21" s="7">
        <f>$AC$20</f>
        <v>18</v>
      </c>
      <c r="AD21" s="20">
        <f>$AD$17*E21</f>
        <v>29.258399999999998</v>
      </c>
      <c r="AE21" s="20">
        <f>$A$20*$AE$17</f>
        <v>21.8</v>
      </c>
      <c r="AF21" s="20">
        <f>$A$20*$AF$17</f>
        <v>0</v>
      </c>
      <c r="AG21" s="20">
        <f>$A$20*$AG$17</f>
        <v>5.9</v>
      </c>
      <c r="AH21" s="25">
        <f>AC21+AD21+AE21+AF21+AG21</f>
        <v>74.958399999999997</v>
      </c>
      <c r="AI21" s="20"/>
      <c r="AJ21" s="17"/>
      <c r="AK21" s="7">
        <f>AH21-X21</f>
        <v>5.2535999999999916</v>
      </c>
      <c r="AM21" s="18">
        <f>AH21/X21-1</f>
        <v>7.5369271556621431E-2</v>
      </c>
    </row>
    <row r="22" spans="1:39" x14ac:dyDescent="0.2">
      <c r="C22" s="13">
        <v>0.7</v>
      </c>
      <c r="E22" s="1">
        <f>C22*($A$20*730)</f>
        <v>1021.9999999999999</v>
      </c>
      <c r="F22" s="1"/>
      <c r="G22" s="29">
        <f t="shared" si="0"/>
        <v>93.286719999999988</v>
      </c>
      <c r="H22" s="29">
        <f>+AH22</f>
        <v>86.661760000000001</v>
      </c>
      <c r="I22" s="29">
        <f>+H22-G22</f>
        <v>-6.6249599999999873</v>
      </c>
      <c r="J22" s="57">
        <f>ROUND(+I22/G22,4)</f>
        <v>-7.0999999999999994E-2</v>
      </c>
      <c r="K22" s="93">
        <f>ROUND($T$10*$E22,2)</f>
        <v>-0.2</v>
      </c>
      <c r="L22" s="93">
        <f>ROUND($T$11*$E22,2)</f>
        <v>1.9</v>
      </c>
      <c r="M22" s="93">
        <f>ROUND($T$12*$E22,2)</f>
        <v>9.0299999999999994</v>
      </c>
      <c r="N22" s="29">
        <f>+G22+K22+L22+M22</f>
        <v>104.01671999999999</v>
      </c>
      <c r="O22" s="29">
        <f>+H22+K22+L22+M22</f>
        <v>97.391760000000005</v>
      </c>
      <c r="P22" s="57">
        <f>(O22-N22)/N22</f>
        <v>-6.3691298860413859E-2</v>
      </c>
      <c r="Q22" s="1"/>
      <c r="S22" s="7">
        <f>$S$20</f>
        <v>10.75</v>
      </c>
      <c r="T22" s="20">
        <f>$T$17*E22</f>
        <v>82.536719999999988</v>
      </c>
      <c r="U22" s="20">
        <f>$U$17*$A$20</f>
        <v>0</v>
      </c>
      <c r="V22" s="20">
        <f>$V$17*$A$20</f>
        <v>0</v>
      </c>
      <c r="W22" s="20">
        <f>$W$17*$A$20</f>
        <v>0</v>
      </c>
      <c r="X22" s="25">
        <f>S22+T22+U22+V22+W22</f>
        <v>93.286719999999988</v>
      </c>
      <c r="Y22" s="25"/>
      <c r="Z22" s="20"/>
      <c r="AC22" s="7">
        <f>$AC$20</f>
        <v>18</v>
      </c>
      <c r="AD22" s="20">
        <f>$AD$17*E22</f>
        <v>40.961759999999991</v>
      </c>
      <c r="AE22" s="20">
        <f>$A$20*$AE$17</f>
        <v>21.8</v>
      </c>
      <c r="AF22" s="20">
        <f>$A$20*$AF$17</f>
        <v>0</v>
      </c>
      <c r="AG22" s="20">
        <f>$A$20*$AG$17</f>
        <v>5.9</v>
      </c>
      <c r="AH22" s="25">
        <f>AC22+AD22+AE22+AF22+AG22</f>
        <v>86.661760000000001</v>
      </c>
      <c r="AI22" s="20"/>
      <c r="AJ22" s="17"/>
      <c r="AK22" s="7">
        <f>AH22-X22</f>
        <v>-6.6249599999999873</v>
      </c>
      <c r="AM22" s="18">
        <f>AH22/X22-1</f>
        <v>-7.1017182295614933E-2</v>
      </c>
    </row>
    <row r="23" spans="1:39" x14ac:dyDescent="0.2">
      <c r="C23" s="13"/>
      <c r="E23" s="1"/>
      <c r="F23" s="1"/>
      <c r="G23" s="29"/>
      <c r="H23" s="29"/>
      <c r="J23" s="5"/>
      <c r="K23" s="1"/>
      <c r="L23" s="1"/>
      <c r="M23" s="1"/>
      <c r="P23" s="57"/>
      <c r="Q23" s="1"/>
      <c r="S23" s="7"/>
      <c r="T23" s="20"/>
      <c r="U23" s="20"/>
      <c r="V23" s="20"/>
      <c r="W23" s="20"/>
      <c r="X23" s="25"/>
      <c r="Y23" s="25"/>
      <c r="AC23" s="7"/>
      <c r="AD23" s="20"/>
      <c r="AE23" s="20"/>
      <c r="AF23" s="20"/>
      <c r="AG23" s="20"/>
      <c r="AH23" s="25"/>
      <c r="AJ23" s="17"/>
      <c r="AK23" s="6"/>
      <c r="AM23" s="6"/>
    </row>
    <row r="24" spans="1:39" x14ac:dyDescent="0.2">
      <c r="A24" s="1">
        <v>5</v>
      </c>
      <c r="B24" s="1"/>
      <c r="C24" s="13">
        <v>0.3</v>
      </c>
      <c r="E24" s="1">
        <f>C24*($A$24*730)</f>
        <v>1095</v>
      </c>
      <c r="F24" s="1"/>
      <c r="G24" s="29">
        <f t="shared" si="0"/>
        <v>99.182199999999995</v>
      </c>
      <c r="H24" s="29">
        <f>+AH24</f>
        <v>131.13759999999999</v>
      </c>
      <c r="I24" s="29">
        <f>+H24-G24</f>
        <v>31.955399999999997</v>
      </c>
      <c r="J24" s="57">
        <f>ROUND(+I24/G24,4)</f>
        <v>0.32219999999999999</v>
      </c>
      <c r="K24" s="93">
        <f>ROUND($T$10*$E24,2)</f>
        <v>-0.21</v>
      </c>
      <c r="L24" s="93">
        <f>ROUND($T$11*$E24,2)</f>
        <v>2.04</v>
      </c>
      <c r="M24" s="93">
        <f>ROUND($T$12*$E24,2)</f>
        <v>9.67</v>
      </c>
      <c r="N24" s="29">
        <f>+G24+K24+L24+M24</f>
        <v>110.68220000000001</v>
      </c>
      <c r="O24" s="29">
        <f>+H24+K24+L24+M24</f>
        <v>142.63759999999996</v>
      </c>
      <c r="P24" s="57">
        <f>(O24-N24)/N24</f>
        <v>0.28871309027106395</v>
      </c>
      <c r="Q24" s="1"/>
      <c r="S24" s="7">
        <f>$S$20</f>
        <v>10.75</v>
      </c>
      <c r="T24" s="20">
        <f>$T$17*E24</f>
        <v>88.432199999999995</v>
      </c>
      <c r="U24" s="20">
        <f>$U$17*$A$24</f>
        <v>0</v>
      </c>
      <c r="V24" s="20">
        <f>$V$17*$A$24</f>
        <v>0</v>
      </c>
      <c r="W24" s="20">
        <f>$W$17*$A$24</f>
        <v>0</v>
      </c>
      <c r="X24" s="25">
        <f>S24+T24+U24+V24+W24</f>
        <v>99.182199999999995</v>
      </c>
      <c r="Y24" s="25"/>
      <c r="Z24" s="20"/>
      <c r="AC24" s="7">
        <f>$AC$20</f>
        <v>18</v>
      </c>
      <c r="AD24" s="20">
        <f>$AD$17*E24</f>
        <v>43.887599999999999</v>
      </c>
      <c r="AE24" s="20">
        <f>$A$24*$AE$17</f>
        <v>54.5</v>
      </c>
      <c r="AF24" s="20">
        <f>$A$24*$AF$17</f>
        <v>0</v>
      </c>
      <c r="AG24" s="20">
        <f>$A$24*$AG$17</f>
        <v>14.75</v>
      </c>
      <c r="AH24" s="25">
        <f>AC24+AD24+AE24+AF24+AG24</f>
        <v>131.13759999999999</v>
      </c>
      <c r="AI24" s="20"/>
      <c r="AJ24" s="17"/>
      <c r="AK24" s="7">
        <f>AH24-X24</f>
        <v>31.955399999999997</v>
      </c>
      <c r="AL24" s="10"/>
      <c r="AM24" s="18">
        <f>AH24/X24-1</f>
        <v>0.32218886050117868</v>
      </c>
    </row>
    <row r="25" spans="1:39" x14ac:dyDescent="0.2">
      <c r="C25" s="13">
        <v>0.5</v>
      </c>
      <c r="E25" s="1">
        <f>C25*($A$24*730)</f>
        <v>1825</v>
      </c>
      <c r="F25" s="1"/>
      <c r="G25" s="29">
        <f t="shared" si="0"/>
        <v>158.137</v>
      </c>
      <c r="H25" s="29">
        <f>+AH25</f>
        <v>160.39600000000002</v>
      </c>
      <c r="I25" s="29">
        <f>+H25-G25</f>
        <v>2.2590000000000146</v>
      </c>
      <c r="J25" s="57">
        <f>ROUND(+I25/G25,4)</f>
        <v>1.43E-2</v>
      </c>
      <c r="K25" s="93">
        <f>ROUND($T$10*$E25,2)</f>
        <v>-0.35</v>
      </c>
      <c r="L25" s="93">
        <f>ROUND($T$11*$E25,2)</f>
        <v>3.4</v>
      </c>
      <c r="M25" s="93">
        <f>ROUND($T$12*$E25,2)</f>
        <v>16.12</v>
      </c>
      <c r="N25" s="29">
        <f>+G25+K25+L25+M25</f>
        <v>177.30700000000002</v>
      </c>
      <c r="O25" s="29">
        <f>+H25+K25+L25+M25</f>
        <v>179.56600000000003</v>
      </c>
      <c r="P25" s="57">
        <f>(O25-N25)/N25</f>
        <v>1.2740613737754371E-2</v>
      </c>
      <c r="Q25" s="1"/>
      <c r="S25" s="7">
        <f>$S$20</f>
        <v>10.75</v>
      </c>
      <c r="T25" s="20">
        <f>$T$17*E25</f>
        <v>147.387</v>
      </c>
      <c r="U25" s="20">
        <f>$U$17*$A$24</f>
        <v>0</v>
      </c>
      <c r="V25" s="20">
        <f>$V$17*$A$24</f>
        <v>0</v>
      </c>
      <c r="W25" s="20">
        <f>$W$17*$A$24</f>
        <v>0</v>
      </c>
      <c r="X25" s="25">
        <f>S25+T25+U25+V25+W25</f>
        <v>158.137</v>
      </c>
      <c r="Y25" s="25"/>
      <c r="Z25" s="20"/>
      <c r="AC25" s="7">
        <f>$AC$20</f>
        <v>18</v>
      </c>
      <c r="AD25" s="20">
        <f>$AD$17*E25</f>
        <v>73.146000000000001</v>
      </c>
      <c r="AE25" s="20">
        <f>$A$24*$AE$17</f>
        <v>54.5</v>
      </c>
      <c r="AF25" s="20">
        <f>$A$24*$AF$17</f>
        <v>0</v>
      </c>
      <c r="AG25" s="20">
        <f>$A$24*$AG$17</f>
        <v>14.75</v>
      </c>
      <c r="AH25" s="25">
        <f>AC25+AD25+AE25+AF25+AG25</f>
        <v>160.39600000000002</v>
      </c>
      <c r="AI25" s="20"/>
      <c r="AJ25" s="17"/>
      <c r="AK25" s="7">
        <f>AH25-X25</f>
        <v>2.2590000000000146</v>
      </c>
      <c r="AL25" s="10"/>
      <c r="AM25" s="18">
        <f>AH25/X25-1</f>
        <v>1.4285081922636778E-2</v>
      </c>
    </row>
    <row r="26" spans="1:39" x14ac:dyDescent="0.2">
      <c r="C26" s="13">
        <v>0.7</v>
      </c>
      <c r="E26" s="1">
        <f>C26*($A$24*730)</f>
        <v>2555</v>
      </c>
      <c r="F26" s="1"/>
      <c r="G26" s="29">
        <f t="shared" si="0"/>
        <v>217.09180000000001</v>
      </c>
      <c r="H26" s="29">
        <f>+AH26</f>
        <v>189.65440000000001</v>
      </c>
      <c r="I26" s="29">
        <f>+H26-G26</f>
        <v>-27.437399999999997</v>
      </c>
      <c r="J26" s="57">
        <f>ROUND(+I26/G26,4)</f>
        <v>-0.12640000000000001</v>
      </c>
      <c r="K26" s="93">
        <f>ROUND($T$10*$E26,2)</f>
        <v>-0.5</v>
      </c>
      <c r="L26" s="93">
        <f>ROUND($T$11*$E26,2)</f>
        <v>4.76</v>
      </c>
      <c r="M26" s="93">
        <f>ROUND($T$12*$E26,2)</f>
        <v>22.57</v>
      </c>
      <c r="N26" s="29">
        <f>+G26+K26+L26+M26</f>
        <v>243.92179999999999</v>
      </c>
      <c r="O26" s="29">
        <f>+H26+K26+L26+M26</f>
        <v>216.48439999999999</v>
      </c>
      <c r="P26" s="57">
        <f>(O26-N26)/N26</f>
        <v>-0.1124844109874558</v>
      </c>
      <c r="Q26" s="1"/>
      <c r="S26" s="7">
        <f>$S$20</f>
        <v>10.75</v>
      </c>
      <c r="T26" s="20">
        <f>$T$17*E26</f>
        <v>206.34180000000001</v>
      </c>
      <c r="U26" s="20">
        <f>$U$17*$A$24</f>
        <v>0</v>
      </c>
      <c r="V26" s="20">
        <f>$V$17*$A$24</f>
        <v>0</v>
      </c>
      <c r="W26" s="20">
        <f>$W$17*$A$24</f>
        <v>0</v>
      </c>
      <c r="X26" s="25">
        <f>S26+T26+U26+V26+W26</f>
        <v>217.09180000000001</v>
      </c>
      <c r="Y26" s="25"/>
      <c r="Z26" s="20"/>
      <c r="AC26" s="7">
        <f>$AC$20</f>
        <v>18</v>
      </c>
      <c r="AD26" s="20">
        <f>$AD$17*E26</f>
        <v>102.4044</v>
      </c>
      <c r="AE26" s="20">
        <f>$A$24*$AE$17</f>
        <v>54.5</v>
      </c>
      <c r="AF26" s="20">
        <f>$A$24*$AF$17</f>
        <v>0</v>
      </c>
      <c r="AG26" s="20">
        <f>$A$24*$AG$17</f>
        <v>14.75</v>
      </c>
      <c r="AH26" s="25">
        <f>AC26+AD26+AE26+AF26+AG26</f>
        <v>189.65440000000001</v>
      </c>
      <c r="AI26" s="20"/>
      <c r="AJ26" s="17"/>
      <c r="AK26" s="7">
        <f>AH26-X26</f>
        <v>-27.437399999999997</v>
      </c>
      <c r="AM26" s="18">
        <f>AH26/X26-1</f>
        <v>-0.12638616474689512</v>
      </c>
    </row>
    <row r="27" spans="1:39" x14ac:dyDescent="0.2">
      <c r="C27" s="13"/>
      <c r="E27" s="1"/>
      <c r="F27" s="1"/>
      <c r="G27" s="29"/>
      <c r="H27" s="29"/>
      <c r="J27" s="5"/>
      <c r="K27" s="1"/>
      <c r="L27" s="1"/>
      <c r="M27" s="1"/>
      <c r="P27" s="57"/>
      <c r="Q27" s="1"/>
      <c r="S27" s="7"/>
      <c r="T27" s="20"/>
      <c r="U27" s="20"/>
      <c r="V27" s="20"/>
      <c r="W27" s="20"/>
      <c r="X27" s="25"/>
      <c r="Y27" s="25"/>
      <c r="AC27" s="7"/>
      <c r="AD27" s="20"/>
      <c r="AE27" s="20"/>
      <c r="AF27" s="20"/>
      <c r="AG27" s="20"/>
      <c r="AH27" s="25"/>
      <c r="AJ27" s="17"/>
      <c r="AK27" s="6"/>
      <c r="AM27" s="6"/>
    </row>
    <row r="28" spans="1:39" x14ac:dyDescent="0.2">
      <c r="A28" s="1">
        <v>7</v>
      </c>
      <c r="B28" s="1"/>
      <c r="C28" s="13">
        <v>0.3</v>
      </c>
      <c r="E28" s="1">
        <f>C28*($A$28*730)</f>
        <v>1533</v>
      </c>
      <c r="F28" s="1"/>
      <c r="G28" s="29">
        <f t="shared" si="0"/>
        <v>134.55508</v>
      </c>
      <c r="H28" s="29">
        <f>+AH28</f>
        <v>176.39264</v>
      </c>
      <c r="I28" s="29">
        <f>+H28-G28</f>
        <v>41.837559999999996</v>
      </c>
      <c r="J28" s="57">
        <f>ROUND(+I28/G28,4)</f>
        <v>0.31090000000000001</v>
      </c>
      <c r="K28" s="93">
        <f>ROUND($T$10*$E28,2)</f>
        <v>-0.3</v>
      </c>
      <c r="L28" s="93">
        <f>ROUND($T$11*$E28,2)</f>
        <v>2.85</v>
      </c>
      <c r="M28" s="93">
        <f>ROUND($T$12*$E28,2)</f>
        <v>13.54</v>
      </c>
      <c r="N28" s="29">
        <f>+G28+K28+L28+M28</f>
        <v>150.64507999999998</v>
      </c>
      <c r="O28" s="29">
        <f>+H28+K28+L28+M28</f>
        <v>192.48263999999998</v>
      </c>
      <c r="P28" s="57">
        <f>(O28-N28)/N28</f>
        <v>0.27772271089105599</v>
      </c>
      <c r="Q28" s="1"/>
      <c r="S28" s="7">
        <f>$S$20</f>
        <v>10.75</v>
      </c>
      <c r="T28" s="20">
        <f>$T$17*E28</f>
        <v>123.80508</v>
      </c>
      <c r="U28" s="20">
        <f>$U$17*$A$28</f>
        <v>0</v>
      </c>
      <c r="V28" s="20">
        <f>$V$17*$A$28</f>
        <v>0</v>
      </c>
      <c r="W28" s="20">
        <f>$W$17*$A$28</f>
        <v>0</v>
      </c>
      <c r="X28" s="25">
        <f>S28+T28+U28+V28+W28</f>
        <v>134.55508</v>
      </c>
      <c r="Y28" s="25"/>
      <c r="Z28" s="20"/>
      <c r="AC28" s="7">
        <f>$AC$20</f>
        <v>18</v>
      </c>
      <c r="AD28" s="20">
        <f>$AD$17*E28</f>
        <v>61.442639999999997</v>
      </c>
      <c r="AE28" s="20">
        <f>$A$28*$AE$17</f>
        <v>76.3</v>
      </c>
      <c r="AF28" s="20">
        <f>$A$28*$AF$17</f>
        <v>0</v>
      </c>
      <c r="AG28" s="20">
        <f>$A$28*$AG$17</f>
        <v>20.650000000000002</v>
      </c>
      <c r="AH28" s="25">
        <f>AC28+AD28+AE28+AF28+AG28</f>
        <v>176.39264</v>
      </c>
      <c r="AI28" s="20"/>
      <c r="AJ28" s="17"/>
      <c r="AK28" s="7">
        <f>AH28-X28</f>
        <v>41.837559999999996</v>
      </c>
      <c r="AM28" s="18">
        <f>AH28/X28-1</f>
        <v>0.31093259355202352</v>
      </c>
    </row>
    <row r="29" spans="1:39" x14ac:dyDescent="0.2">
      <c r="C29" s="13">
        <v>0.5</v>
      </c>
      <c r="E29" s="1">
        <f>C29*($A$28*730)</f>
        <v>2555</v>
      </c>
      <c r="F29" s="1"/>
      <c r="G29" s="29">
        <f t="shared" si="0"/>
        <v>217.09180000000001</v>
      </c>
      <c r="H29" s="29">
        <f>+AH29</f>
        <v>217.3544</v>
      </c>
      <c r="I29" s="29">
        <f>+H29-G29</f>
        <v>0.26259999999999195</v>
      </c>
      <c r="J29" s="57">
        <f>ROUND(+I29/G29,4)</f>
        <v>1.1999999999999999E-3</v>
      </c>
      <c r="K29" s="93">
        <f>ROUND($T$10*$E29,2)</f>
        <v>-0.5</v>
      </c>
      <c r="L29" s="93">
        <f>ROUND($T$11*$E29,2)</f>
        <v>4.76</v>
      </c>
      <c r="M29" s="93">
        <f>ROUND($T$12*$E29,2)</f>
        <v>22.57</v>
      </c>
      <c r="N29" s="29">
        <f>+G29+K29+L29+M29</f>
        <v>243.92179999999999</v>
      </c>
      <c r="O29" s="29">
        <f>+H29+K29+L29+M29</f>
        <v>244.18439999999998</v>
      </c>
      <c r="P29" s="57">
        <f>(O29-N29)/N29</f>
        <v>1.0765745415128617E-3</v>
      </c>
      <c r="Q29" s="1"/>
      <c r="S29" s="7">
        <f>$S$20</f>
        <v>10.75</v>
      </c>
      <c r="T29" s="20">
        <f>$T$17*E29</f>
        <v>206.34180000000001</v>
      </c>
      <c r="U29" s="20">
        <f>$U$17*$A$28</f>
        <v>0</v>
      </c>
      <c r="V29" s="20">
        <f>$V$17*$A$28</f>
        <v>0</v>
      </c>
      <c r="W29" s="20">
        <f>$W$17*$A$28</f>
        <v>0</v>
      </c>
      <c r="X29" s="25">
        <f>S29+T29+U29+V29+W29</f>
        <v>217.09180000000001</v>
      </c>
      <c r="Y29" s="25"/>
      <c r="Z29" s="20"/>
      <c r="AC29" s="7">
        <f>$AC$20</f>
        <v>18</v>
      </c>
      <c r="AD29" s="20">
        <f>$AD$17*E29</f>
        <v>102.4044</v>
      </c>
      <c r="AE29" s="20">
        <f>$A$28*$AE$17</f>
        <v>76.3</v>
      </c>
      <c r="AF29" s="20">
        <f>$A$28*$AF$17</f>
        <v>0</v>
      </c>
      <c r="AG29" s="20">
        <f>$A$28*$AG$17</f>
        <v>20.650000000000002</v>
      </c>
      <c r="AH29" s="25">
        <f>AC29+AD29+AE29+AF29+AG29</f>
        <v>217.3544</v>
      </c>
      <c r="AI29" s="20"/>
      <c r="AJ29" s="17"/>
      <c r="AK29" s="7">
        <f>AH29-X29</f>
        <v>0.26259999999999195</v>
      </c>
      <c r="AM29" s="18">
        <f>AH29/X29-1</f>
        <v>1.2096265266583472E-3</v>
      </c>
    </row>
    <row r="30" spans="1:39" x14ac:dyDescent="0.2">
      <c r="C30" s="13">
        <v>0.7</v>
      </c>
      <c r="E30" s="1">
        <f>C30*($A$28*730)</f>
        <v>3577</v>
      </c>
      <c r="F30" s="1"/>
      <c r="G30" s="29">
        <f t="shared" si="0"/>
        <v>299.62851999999998</v>
      </c>
      <c r="H30" s="29">
        <f>+AH30</f>
        <v>258.31615999999997</v>
      </c>
      <c r="I30" s="29">
        <f>+H30-G30</f>
        <v>-41.312360000000012</v>
      </c>
      <c r="J30" s="57">
        <f>ROUND(+I30/G30,4)</f>
        <v>-0.13789999999999999</v>
      </c>
      <c r="K30" s="93">
        <f>ROUND($T$10*$E30,2)</f>
        <v>-0.69</v>
      </c>
      <c r="L30" s="93">
        <f>ROUND($T$11*$E30,2)</f>
        <v>6.66</v>
      </c>
      <c r="M30" s="93">
        <f>ROUND($T$12*$E30,2)</f>
        <v>31.6</v>
      </c>
      <c r="N30" s="29">
        <f>+G30+K30+L30+M30</f>
        <v>337.19852000000003</v>
      </c>
      <c r="O30" s="29">
        <f>+H30+K30+L30+M30</f>
        <v>295.88616000000002</v>
      </c>
      <c r="P30" s="57">
        <f>(O30-N30)/N30</f>
        <v>-0.12251643334614876</v>
      </c>
      <c r="Q30" s="1"/>
      <c r="S30" s="7">
        <f>$S$20</f>
        <v>10.75</v>
      </c>
      <c r="T30" s="20">
        <f>$T$17*E30</f>
        <v>288.87851999999998</v>
      </c>
      <c r="U30" s="20">
        <f>$U$17*$A$28</f>
        <v>0</v>
      </c>
      <c r="V30" s="20">
        <f>$V$17*$A$28</f>
        <v>0</v>
      </c>
      <c r="W30" s="20">
        <f>$W$17*$A$28</f>
        <v>0</v>
      </c>
      <c r="X30" s="25">
        <f>S30+T30+U30+V30+W30</f>
        <v>299.62851999999998</v>
      </c>
      <c r="Y30" s="25"/>
      <c r="Z30" s="20"/>
      <c r="AC30" s="7">
        <f>$AC$20</f>
        <v>18</v>
      </c>
      <c r="AD30" s="20">
        <f>$AD$17*E30</f>
        <v>143.36615999999998</v>
      </c>
      <c r="AE30" s="20">
        <f>$A$28*$AE$17</f>
        <v>76.3</v>
      </c>
      <c r="AF30" s="20">
        <f>$A$28*$AF$17</f>
        <v>0</v>
      </c>
      <c r="AG30" s="20">
        <f>$A$28*$AG$17</f>
        <v>20.650000000000002</v>
      </c>
      <c r="AH30" s="25">
        <f>AC30+AD30+AE30+AF30+AG30</f>
        <v>258.31615999999997</v>
      </c>
      <c r="AI30" s="20"/>
      <c r="AJ30" s="17"/>
      <c r="AK30" s="7">
        <f>AH30-X30</f>
        <v>-41.312360000000012</v>
      </c>
      <c r="AM30" s="18">
        <f>AH30/X30-1</f>
        <v>-0.13787859713754891</v>
      </c>
    </row>
    <row r="31" spans="1:39" x14ac:dyDescent="0.2">
      <c r="C31" s="13"/>
      <c r="E31" s="1"/>
      <c r="F31" s="1"/>
      <c r="G31" s="29"/>
      <c r="H31" s="29"/>
      <c r="J31" s="5"/>
      <c r="K31" s="1"/>
      <c r="L31" s="1"/>
      <c r="M31" s="1"/>
      <c r="P31" s="57"/>
      <c r="Q31" s="1"/>
      <c r="S31" s="7"/>
      <c r="T31" s="20"/>
      <c r="U31" s="20"/>
      <c r="V31" s="20"/>
      <c r="W31" s="20"/>
      <c r="X31" s="25"/>
      <c r="Y31" s="25"/>
      <c r="AC31" s="7"/>
      <c r="AD31" s="20"/>
      <c r="AE31" s="20"/>
      <c r="AF31" s="20"/>
      <c r="AG31" s="20"/>
      <c r="AH31" s="25"/>
      <c r="AJ31" s="17"/>
      <c r="AK31" s="6"/>
      <c r="AM31" s="6"/>
    </row>
    <row r="32" spans="1:39" x14ac:dyDescent="0.2">
      <c r="A32" s="1">
        <v>10</v>
      </c>
      <c r="B32" s="1"/>
      <c r="C32" s="13">
        <v>0.3</v>
      </c>
      <c r="E32" s="1">
        <f>C32*($A$32*730)</f>
        <v>2190</v>
      </c>
      <c r="F32" s="1"/>
      <c r="G32" s="29">
        <f t="shared" si="0"/>
        <v>187.61439999999999</v>
      </c>
      <c r="H32" s="29">
        <f>+AH32</f>
        <v>244.27519999999998</v>
      </c>
      <c r="I32" s="29">
        <f>+H32-G32</f>
        <v>56.660799999999995</v>
      </c>
      <c r="J32" s="57">
        <f>ROUND(+I32/G32,4)</f>
        <v>0.30199999999999999</v>
      </c>
      <c r="K32" s="93">
        <f>ROUND($T$10*$E32,2)</f>
        <v>-0.42</v>
      </c>
      <c r="L32" s="93">
        <f>ROUND($T$11*$E32,2)</f>
        <v>4.08</v>
      </c>
      <c r="M32" s="93">
        <f>ROUND($T$12*$E32,2)</f>
        <v>19.350000000000001</v>
      </c>
      <c r="N32" s="29">
        <f>+G32+K32+L32+M32</f>
        <v>210.62440000000001</v>
      </c>
      <c r="O32" s="29">
        <f>+H32+K32+L32+M32</f>
        <v>267.28520000000003</v>
      </c>
      <c r="P32" s="57">
        <f>(O32-N32)/N32</f>
        <v>0.26901346662589909</v>
      </c>
      <c r="Q32" s="1"/>
      <c r="S32" s="7">
        <f>$S$20</f>
        <v>10.75</v>
      </c>
      <c r="T32" s="20">
        <f>$T$17*E32</f>
        <v>176.86439999999999</v>
      </c>
      <c r="U32" s="20">
        <f>$U$17*$A$32</f>
        <v>0</v>
      </c>
      <c r="V32" s="20">
        <f>$V$17*$A$32</f>
        <v>0</v>
      </c>
      <c r="W32" s="20">
        <f>$W$17*$A$32</f>
        <v>0</v>
      </c>
      <c r="X32" s="25">
        <f>S32+T32+U32+V32+W32</f>
        <v>187.61439999999999</v>
      </c>
      <c r="Y32" s="25"/>
      <c r="Z32" s="20"/>
      <c r="AC32" s="7">
        <f>$AC$20</f>
        <v>18</v>
      </c>
      <c r="AD32" s="20">
        <f>$AD$17*E32</f>
        <v>87.775199999999998</v>
      </c>
      <c r="AE32" s="20">
        <f>$A$32*$AE$17</f>
        <v>109</v>
      </c>
      <c r="AF32" s="20">
        <f>$A$32*$AF$17</f>
        <v>0</v>
      </c>
      <c r="AG32" s="20">
        <f>$A$32*$AG$17</f>
        <v>29.5</v>
      </c>
      <c r="AH32" s="25">
        <f>AC32+AD32+AE32+AF32+AG32</f>
        <v>244.27519999999998</v>
      </c>
      <c r="AI32" s="20"/>
      <c r="AJ32" s="17"/>
      <c r="AK32" s="7">
        <f>AH32-X32</f>
        <v>56.660799999999995</v>
      </c>
      <c r="AM32" s="18">
        <f>AH32/X32-1</f>
        <v>0.3020066689976888</v>
      </c>
    </row>
    <row r="33" spans="1:39" x14ac:dyDescent="0.2">
      <c r="C33" s="13">
        <v>0.5</v>
      </c>
      <c r="E33" s="1">
        <f>C33*($A$32*730)</f>
        <v>3650</v>
      </c>
      <c r="F33" s="1"/>
      <c r="G33" s="29">
        <f t="shared" si="0"/>
        <v>305.524</v>
      </c>
      <c r="H33" s="29">
        <f>+AH33</f>
        <v>302.79200000000003</v>
      </c>
      <c r="I33" s="29">
        <f>+H33-G33</f>
        <v>-2.7319999999999709</v>
      </c>
      <c r="J33" s="57">
        <f>ROUND(+I33/G33,4)</f>
        <v>-8.8999999999999999E-3</v>
      </c>
      <c r="K33" s="93">
        <f>ROUND($T$10*$E33,2)</f>
        <v>-0.71</v>
      </c>
      <c r="L33" s="93">
        <f>ROUND($T$11*$E33,2)</f>
        <v>6.79</v>
      </c>
      <c r="M33" s="93">
        <f>ROUND($T$12*$E33,2)</f>
        <v>32.25</v>
      </c>
      <c r="N33" s="29">
        <f>+G33+K33+L33+M33</f>
        <v>343.85400000000004</v>
      </c>
      <c r="O33" s="29">
        <f>+H33+K33+L33+M33</f>
        <v>341.12200000000007</v>
      </c>
      <c r="P33" s="57">
        <f>(O33-N33)/N33</f>
        <v>-7.9452325696370285E-3</v>
      </c>
      <c r="Q33" s="1"/>
      <c r="S33" s="7">
        <f>$S$20</f>
        <v>10.75</v>
      </c>
      <c r="T33" s="20">
        <f>$T$17*E33</f>
        <v>294.774</v>
      </c>
      <c r="U33" s="20">
        <f>$U$17*$A$32</f>
        <v>0</v>
      </c>
      <c r="V33" s="20">
        <f>$V$17*$A$32</f>
        <v>0</v>
      </c>
      <c r="W33" s="20">
        <f>$W$17*$A$32</f>
        <v>0</v>
      </c>
      <c r="X33" s="25">
        <f>S33+T33+U33+V33+W33</f>
        <v>305.524</v>
      </c>
      <c r="Y33" s="25"/>
      <c r="Z33" s="20"/>
      <c r="AC33" s="7">
        <f>$AC$20</f>
        <v>18</v>
      </c>
      <c r="AD33" s="20">
        <f>$AD$17*E33</f>
        <v>146.292</v>
      </c>
      <c r="AE33" s="20">
        <f>$A$32*$AE$17</f>
        <v>109</v>
      </c>
      <c r="AF33" s="20">
        <f>$A$32*$AF$17</f>
        <v>0</v>
      </c>
      <c r="AG33" s="20">
        <f>$A$32*$AG$17</f>
        <v>29.5</v>
      </c>
      <c r="AH33" s="25">
        <f>AC33+AD33+AE33+AF33+AG33</f>
        <v>302.79200000000003</v>
      </c>
      <c r="AI33" s="20"/>
      <c r="AJ33" s="17"/>
      <c r="AK33" s="7">
        <f>AH33-X33</f>
        <v>-2.7319999999999709</v>
      </c>
      <c r="AM33" s="18">
        <f>AH33/X33-1</f>
        <v>-8.9420143753026204E-3</v>
      </c>
    </row>
    <row r="34" spans="1:39" x14ac:dyDescent="0.2">
      <c r="C34" s="13">
        <v>0.7</v>
      </c>
      <c r="E34" s="1">
        <f>C34*($A$32*730)</f>
        <v>5110</v>
      </c>
      <c r="F34" s="1"/>
      <c r="G34" s="29">
        <f t="shared" si="0"/>
        <v>423.43360000000001</v>
      </c>
      <c r="H34" s="29">
        <f>+AH34</f>
        <v>361.30880000000002</v>
      </c>
      <c r="I34" s="29">
        <f>+H34-G34</f>
        <v>-62.124799999999993</v>
      </c>
      <c r="J34" s="57">
        <f>ROUND(+I34/G34,4)</f>
        <v>-0.1467</v>
      </c>
      <c r="K34" s="93">
        <f>ROUND($T$10*$E34,2)</f>
        <v>-0.99</v>
      </c>
      <c r="L34" s="93">
        <f>ROUND($T$11*$E34,2)</f>
        <v>9.51</v>
      </c>
      <c r="M34" s="93">
        <f>ROUND($T$12*$E34,2)</f>
        <v>45.15</v>
      </c>
      <c r="N34" s="29">
        <f>+G34+K34+L34+M34</f>
        <v>477.10359999999997</v>
      </c>
      <c r="O34" s="29">
        <f>+H34+K34+L34+M34</f>
        <v>414.97879999999998</v>
      </c>
      <c r="P34" s="57">
        <f>(O34-N34)/N34</f>
        <v>-0.13021238992956666</v>
      </c>
      <c r="Q34" s="1"/>
      <c r="S34" s="7">
        <f>$S$20</f>
        <v>10.75</v>
      </c>
      <c r="T34" s="20">
        <f>$T$17*E34</f>
        <v>412.68360000000001</v>
      </c>
      <c r="U34" s="20">
        <f>$U$17*$A$32</f>
        <v>0</v>
      </c>
      <c r="V34" s="20">
        <f>$V$17*$A$32</f>
        <v>0</v>
      </c>
      <c r="W34" s="20">
        <f>$W$17*$A$32</f>
        <v>0</v>
      </c>
      <c r="X34" s="25">
        <f>S34+T34+U34+V34+W34</f>
        <v>423.43360000000001</v>
      </c>
      <c r="Y34" s="25"/>
      <c r="Z34" s="20"/>
      <c r="AC34" s="7">
        <f>$AC$20</f>
        <v>18</v>
      </c>
      <c r="AD34" s="20">
        <f>$AD$17*E34</f>
        <v>204.80879999999999</v>
      </c>
      <c r="AE34" s="20">
        <f>$A$32*$AE$17</f>
        <v>109</v>
      </c>
      <c r="AF34" s="20">
        <f>$A$32*$AF$17</f>
        <v>0</v>
      </c>
      <c r="AG34" s="20">
        <f>$A$32*$AG$17</f>
        <v>29.5</v>
      </c>
      <c r="AH34" s="25">
        <f>AC34+AD34+AE34+AF34+AG34</f>
        <v>361.30880000000002</v>
      </c>
      <c r="AI34" s="20"/>
      <c r="AJ34" s="17"/>
      <c r="AK34" s="7">
        <f>AH34-X34</f>
        <v>-62.124799999999993</v>
      </c>
      <c r="AM34" s="18">
        <f>AH34/X34-1</f>
        <v>-0.1467167461439054</v>
      </c>
    </row>
    <row r="35" spans="1:39" x14ac:dyDescent="0.2">
      <c r="C35" s="13"/>
      <c r="E35" s="1"/>
      <c r="F35" s="1"/>
      <c r="G35" s="29"/>
      <c r="H35" s="29"/>
      <c r="J35" s="5"/>
      <c r="K35" s="1"/>
      <c r="L35" s="1"/>
      <c r="M35" s="1"/>
      <c r="P35" s="57"/>
      <c r="Q35" s="1"/>
      <c r="S35" s="7"/>
      <c r="T35" s="20"/>
      <c r="U35" s="20"/>
      <c r="V35" s="20"/>
      <c r="W35" s="20"/>
      <c r="X35" s="25"/>
      <c r="Y35" s="25"/>
      <c r="AC35" s="7"/>
      <c r="AD35" s="20"/>
      <c r="AE35" s="20"/>
      <c r="AF35" s="20"/>
      <c r="AG35" s="20"/>
      <c r="AH35" s="25"/>
      <c r="AJ35" s="17"/>
      <c r="AK35" s="6"/>
      <c r="AM35" s="6"/>
    </row>
    <row r="36" spans="1:39" x14ac:dyDescent="0.2">
      <c r="A36" s="1">
        <v>15</v>
      </c>
      <c r="B36" s="1"/>
      <c r="C36" s="13">
        <v>0.3</v>
      </c>
      <c r="E36" s="1">
        <f>C36*($A$36*730)</f>
        <v>3285</v>
      </c>
      <c r="F36" s="1"/>
      <c r="G36" s="29">
        <f t="shared" si="0"/>
        <v>276.04660000000001</v>
      </c>
      <c r="H36" s="29">
        <f>+AH36</f>
        <v>357.4128</v>
      </c>
      <c r="I36" s="29">
        <f>+H36-G36</f>
        <v>81.366199999999992</v>
      </c>
      <c r="J36" s="57">
        <f>ROUND(+I36/G36,4)</f>
        <v>0.29480000000000001</v>
      </c>
      <c r="K36" s="93">
        <f>ROUND($T$10*$E36,2)</f>
        <v>-0.64</v>
      </c>
      <c r="L36" s="93">
        <f>ROUND($T$11*$E36,2)</f>
        <v>6.12</v>
      </c>
      <c r="M36" s="93">
        <f>ROUND($T$12*$E36,2)</f>
        <v>29.02</v>
      </c>
      <c r="N36" s="29">
        <f>+G36+K36+L36+M36</f>
        <v>310.54660000000001</v>
      </c>
      <c r="O36" s="29">
        <f>+H36+K36+L36+M36</f>
        <v>391.9128</v>
      </c>
      <c r="P36" s="57">
        <f>(O36-N36)/N36</f>
        <v>0.26200963076072958</v>
      </c>
      <c r="Q36" s="1"/>
      <c r="S36" s="7">
        <f>$S$20</f>
        <v>10.75</v>
      </c>
      <c r="T36" s="20">
        <f>$T$17*E36</f>
        <v>265.29660000000001</v>
      </c>
      <c r="U36" s="20">
        <f>$U$17*$A$36</f>
        <v>0</v>
      </c>
      <c r="V36" s="20">
        <f>$V$17*$A$36</f>
        <v>0</v>
      </c>
      <c r="W36" s="20">
        <f>$W$17*$A$36</f>
        <v>0</v>
      </c>
      <c r="X36" s="25">
        <f>S36+T36+U36+V36+W36</f>
        <v>276.04660000000001</v>
      </c>
      <c r="Y36" s="25"/>
      <c r="Z36" s="20"/>
      <c r="AC36" s="7">
        <f>$AC$20</f>
        <v>18</v>
      </c>
      <c r="AD36" s="20">
        <f>$AD$17*E36</f>
        <v>131.6628</v>
      </c>
      <c r="AE36" s="20">
        <f>$A$36*$AE$17</f>
        <v>163.5</v>
      </c>
      <c r="AF36" s="20">
        <f>$A$36*$AF$17</f>
        <v>0</v>
      </c>
      <c r="AG36" s="20">
        <f>$A$36*$AG$17</f>
        <v>44.25</v>
      </c>
      <c r="AH36" s="25">
        <f>AC36+AD36+AE36+AF36+AG36</f>
        <v>357.4128</v>
      </c>
      <c r="AI36" s="20"/>
      <c r="AJ36" s="17"/>
      <c r="AK36" s="7">
        <f>AH36-X36</f>
        <v>81.366199999999992</v>
      </c>
      <c r="AM36" s="18">
        <f>AH36/X36-1</f>
        <v>0.29475530580706288</v>
      </c>
    </row>
    <row r="37" spans="1:39" x14ac:dyDescent="0.2">
      <c r="C37" s="13">
        <v>0.5</v>
      </c>
      <c r="E37" s="1">
        <f>C37*($A$36*730)</f>
        <v>5475</v>
      </c>
      <c r="F37" s="1"/>
      <c r="G37" s="29">
        <f t="shared" si="0"/>
        <v>452.911</v>
      </c>
      <c r="H37" s="29">
        <f>+AH37</f>
        <v>445.18799999999999</v>
      </c>
      <c r="I37" s="29">
        <f>+H37-G37</f>
        <v>-7.7230000000000132</v>
      </c>
      <c r="J37" s="57">
        <f>ROUND(+I37/G37,4)</f>
        <v>-1.7100000000000001E-2</v>
      </c>
      <c r="K37" s="93">
        <f>ROUND($T$10*$E37,2)</f>
        <v>-1.06</v>
      </c>
      <c r="L37" s="93">
        <f>ROUND($T$11*$E37,2)</f>
        <v>10.19</v>
      </c>
      <c r="M37" s="93">
        <f>ROUND($T$12*$E37,2)</f>
        <v>48.37</v>
      </c>
      <c r="N37" s="29">
        <f>+G37+K37+L37+M37</f>
        <v>510.411</v>
      </c>
      <c r="O37" s="29">
        <f>+H37+K37+L37+M37</f>
        <v>502.68799999999999</v>
      </c>
      <c r="P37" s="57">
        <f>(O37-N37)/N37</f>
        <v>-1.5130943494556374E-2</v>
      </c>
      <c r="Q37" s="1"/>
      <c r="S37" s="7">
        <f>$S$20</f>
        <v>10.75</v>
      </c>
      <c r="T37" s="20">
        <f>$T$17*E37</f>
        <v>442.161</v>
      </c>
      <c r="U37" s="20">
        <f>$U$17*$A$36</f>
        <v>0</v>
      </c>
      <c r="V37" s="20">
        <f>$V$17*$A$36</f>
        <v>0</v>
      </c>
      <c r="W37" s="20">
        <f>$W$17*$A$36</f>
        <v>0</v>
      </c>
      <c r="X37" s="25">
        <f>S37+T37+U37+V37+W37</f>
        <v>452.911</v>
      </c>
      <c r="Y37" s="25"/>
      <c r="Z37" s="20"/>
      <c r="AC37" s="7">
        <f>$AC$20</f>
        <v>18</v>
      </c>
      <c r="AD37" s="20">
        <f>$AD$17*E37</f>
        <v>219.43799999999999</v>
      </c>
      <c r="AE37" s="20">
        <f>$A$36*$AE$17</f>
        <v>163.5</v>
      </c>
      <c r="AF37" s="20">
        <f>$A$36*$AF$17</f>
        <v>0</v>
      </c>
      <c r="AG37" s="20">
        <f>$A$36*$AG$17</f>
        <v>44.25</v>
      </c>
      <c r="AH37" s="25">
        <f>AC37+AD37+AE37+AF37+AG37</f>
        <v>445.18799999999999</v>
      </c>
      <c r="AI37" s="20"/>
      <c r="AJ37" s="17"/>
      <c r="AK37" s="7">
        <f>AH37-X37</f>
        <v>-7.7230000000000132</v>
      </c>
      <c r="AM37" s="18">
        <f>AH37/X37-1</f>
        <v>-1.7051915276952934E-2</v>
      </c>
    </row>
    <row r="38" spans="1:39" x14ac:dyDescent="0.2">
      <c r="C38" s="13">
        <v>0.7</v>
      </c>
      <c r="E38" s="1">
        <f>C38*($A$36*730)</f>
        <v>7664.9999999999991</v>
      </c>
      <c r="F38" s="1"/>
      <c r="G38" s="29">
        <f t="shared" si="0"/>
        <v>629.77539999999988</v>
      </c>
      <c r="H38" s="29">
        <f>+AH38</f>
        <v>532.96319999999992</v>
      </c>
      <c r="I38" s="29">
        <f>+H38-G38</f>
        <v>-96.812199999999962</v>
      </c>
      <c r="J38" s="57">
        <f>ROUND(+I38/G38,4)</f>
        <v>-0.1537</v>
      </c>
      <c r="K38" s="93">
        <f>ROUND($T$10*$E38,2)</f>
        <v>-1.49</v>
      </c>
      <c r="L38" s="93">
        <f>ROUND($T$11*$E38,2)</f>
        <v>14.27</v>
      </c>
      <c r="M38" s="93">
        <f>ROUND($T$12*$E38,2)</f>
        <v>67.72</v>
      </c>
      <c r="N38" s="29">
        <f>+G38+K38+L38+M38</f>
        <v>710.27539999999988</v>
      </c>
      <c r="O38" s="29">
        <f>+H38+K38+L38+M38</f>
        <v>613.46319999999992</v>
      </c>
      <c r="P38" s="57">
        <f>(O38-N38)/N38</f>
        <v>-0.13630234131718483</v>
      </c>
      <c r="Q38" s="1"/>
      <c r="S38" s="7">
        <f>$S$20</f>
        <v>10.75</v>
      </c>
      <c r="T38" s="20">
        <f>$T$17*E38</f>
        <v>619.02539999999988</v>
      </c>
      <c r="U38" s="20">
        <f>$U$17*$A$36</f>
        <v>0</v>
      </c>
      <c r="V38" s="20">
        <f>$V$17*$A$36</f>
        <v>0</v>
      </c>
      <c r="W38" s="20">
        <f>$W$17*$A$36</f>
        <v>0</v>
      </c>
      <c r="X38" s="25">
        <f>S38+T38+U38+V38+W38</f>
        <v>629.77539999999988</v>
      </c>
      <c r="Y38" s="25"/>
      <c r="Z38" s="20"/>
      <c r="AC38" s="7">
        <f>$AC$20</f>
        <v>18</v>
      </c>
      <c r="AD38" s="20">
        <f>$AD$17*E38</f>
        <v>307.21319999999997</v>
      </c>
      <c r="AE38" s="20">
        <f>$A$36*$AE$17</f>
        <v>163.5</v>
      </c>
      <c r="AF38" s="20">
        <f>$A$36*$AF$17</f>
        <v>0</v>
      </c>
      <c r="AG38" s="20">
        <f>$A$36*$AG$17</f>
        <v>44.25</v>
      </c>
      <c r="AH38" s="25">
        <f>AC38+AD38+AE38+AF38+AG38</f>
        <v>532.96319999999992</v>
      </c>
      <c r="AI38" s="20"/>
      <c r="AJ38" s="17"/>
      <c r="AK38" s="7">
        <f>AH38-X38</f>
        <v>-96.812199999999962</v>
      </c>
      <c r="AM38" s="18">
        <f>AH38/X38-1</f>
        <v>-0.1537249628994718</v>
      </c>
    </row>
    <row r="39" spans="1:39" x14ac:dyDescent="0.2">
      <c r="T39" s="20"/>
      <c r="U39" s="20"/>
      <c r="V39" s="20"/>
      <c r="W39" s="20"/>
      <c r="X39" s="20"/>
      <c r="Y39" s="20"/>
    </row>
    <row r="40" spans="1:39" x14ac:dyDescent="0.2">
      <c r="A40" s="17" t="s">
        <v>373</v>
      </c>
      <c r="T40" s="20"/>
      <c r="U40" s="20"/>
      <c r="V40" s="20"/>
      <c r="W40" s="20"/>
      <c r="X40" s="20"/>
      <c r="Y40" s="20"/>
    </row>
    <row r="41" spans="1:39" x14ac:dyDescent="0.2">
      <c r="A41" s="228" t="str">
        <f>("Average usage = "&amp;INPUT!D19&amp;" kWh per month")</f>
        <v>Average usage = 0 kWh per month</v>
      </c>
      <c r="G41" s="47" t="s">
        <v>407</v>
      </c>
      <c r="T41" s="20"/>
      <c r="U41" s="20"/>
      <c r="V41" s="20"/>
      <c r="W41" s="20"/>
      <c r="X41" s="20"/>
      <c r="Y41" s="20"/>
    </row>
    <row r="42" spans="1:39" x14ac:dyDescent="0.2">
      <c r="A42" s="230" t="s">
        <v>375</v>
      </c>
      <c r="C42" s="1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AE42" s="31"/>
      <c r="AF42" s="20"/>
      <c r="AG42" s="20"/>
      <c r="AH42" s="20"/>
      <c r="AI42" s="20"/>
      <c r="AJ42" s="20"/>
      <c r="AK42" s="6"/>
    </row>
    <row r="43" spans="1:39" x14ac:dyDescent="0.2">
      <c r="A43" s="229" t="s">
        <v>374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T43" s="12"/>
      <c r="AE43" s="9"/>
    </row>
    <row r="44" spans="1:39" x14ac:dyDescent="0.2">
      <c r="A44" s="229" t="str">
        <f>+'Rate Case Constants'!C26</f>
        <v>Calculations may vary from other schedules due to rounding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A44" s="3"/>
      <c r="AB44" s="2"/>
      <c r="AC44" s="3"/>
      <c r="AE44" s="3"/>
    </row>
    <row r="45" spans="1:39" x14ac:dyDescent="0.2">
      <c r="AE45" s="9"/>
    </row>
    <row r="46" spans="1:39" x14ac:dyDescent="0.2">
      <c r="S46" s="3"/>
      <c r="W46" s="3"/>
      <c r="AA46" s="3"/>
      <c r="AE46" s="9"/>
    </row>
    <row r="47" spans="1:39" x14ac:dyDescent="0.2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A47" s="3"/>
      <c r="AB47" s="2"/>
      <c r="AC47" s="3"/>
      <c r="AE47" s="3"/>
    </row>
    <row r="48" spans="1:39" x14ac:dyDescent="0.2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A48" s="3"/>
      <c r="AB48" s="2"/>
      <c r="AC48" s="3"/>
      <c r="AE48" s="3"/>
    </row>
    <row r="49" spans="5:31" x14ac:dyDescent="0.2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T49" s="3"/>
      <c r="U49" s="3"/>
      <c r="V49" s="3"/>
      <c r="W49" s="3"/>
      <c r="X49" s="3"/>
      <c r="Y49" s="3"/>
    </row>
    <row r="50" spans="5:31" x14ac:dyDescent="0.2"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S50" s="7"/>
      <c r="T50" s="12"/>
      <c r="W50" s="12"/>
      <c r="X50" s="12"/>
      <c r="Y50" s="12"/>
      <c r="AA50" s="6"/>
      <c r="AC50" s="6"/>
      <c r="AE50" s="9"/>
    </row>
    <row r="51" spans="5:31" x14ac:dyDescent="0.2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S51" s="7"/>
      <c r="T51" s="12"/>
      <c r="W51" s="12"/>
      <c r="X51" s="12"/>
      <c r="Y51" s="12"/>
      <c r="AA51" s="6"/>
      <c r="AC51" s="6"/>
      <c r="AE51" s="9"/>
    </row>
    <row r="52" spans="5:31" x14ac:dyDescent="0.2"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S52" s="7"/>
      <c r="T52" s="12"/>
      <c r="W52" s="12"/>
      <c r="X52" s="12"/>
      <c r="Y52" s="12"/>
      <c r="AA52" s="6"/>
      <c r="AC52" s="6"/>
      <c r="AE52" s="9"/>
    </row>
    <row r="53" spans="5:31" x14ac:dyDescent="0.2"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S53" s="7"/>
      <c r="T53" s="12"/>
      <c r="W53" s="12"/>
      <c r="X53" s="12"/>
      <c r="Y53" s="12"/>
      <c r="AA53" s="6"/>
      <c r="AB53" s="10"/>
      <c r="AC53" s="6"/>
      <c r="AD53" s="10"/>
      <c r="AE53" s="9"/>
    </row>
    <row r="54" spans="5:31" ht="6.75" customHeight="1" x14ac:dyDescent="0.2"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S54" s="7"/>
      <c r="T54" s="12"/>
      <c r="W54" s="12"/>
      <c r="X54" s="12"/>
      <c r="Y54" s="12"/>
      <c r="AA54" s="6"/>
      <c r="AB54" s="10"/>
      <c r="AC54" s="6"/>
      <c r="AD54" s="10"/>
      <c r="AE54" s="9"/>
    </row>
    <row r="55" spans="5:31" x14ac:dyDescent="0.2"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S55" s="7"/>
      <c r="T55" s="12"/>
      <c r="W55" s="12"/>
      <c r="X55" s="12"/>
      <c r="Y55" s="12"/>
      <c r="AA55" s="6"/>
      <c r="AC55" s="6"/>
      <c r="AE55" s="9"/>
    </row>
    <row r="56" spans="5:31" x14ac:dyDescent="0.2"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S56" s="7"/>
      <c r="T56" s="12"/>
      <c r="W56" s="12"/>
      <c r="X56" s="12"/>
      <c r="Y56" s="12"/>
      <c r="AA56" s="6"/>
      <c r="AC56" s="6"/>
      <c r="AE56" s="9"/>
    </row>
    <row r="57" spans="5:31" x14ac:dyDescent="0.2"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S57" s="7"/>
      <c r="T57" s="12"/>
      <c r="W57" s="12"/>
      <c r="X57" s="12"/>
      <c r="Y57" s="12"/>
      <c r="AA57" s="6"/>
      <c r="AC57" s="6"/>
      <c r="AE57" s="9"/>
    </row>
    <row r="58" spans="5:31" x14ac:dyDescent="0.2"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S58" s="7"/>
      <c r="T58" s="12"/>
      <c r="W58" s="12"/>
      <c r="X58" s="12"/>
      <c r="Y58" s="12"/>
      <c r="AA58" s="6"/>
      <c r="AC58" s="6"/>
      <c r="AE58" s="9"/>
    </row>
    <row r="59" spans="5:31" x14ac:dyDescent="0.2"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S59" s="7"/>
      <c r="T59" s="12"/>
      <c r="W59" s="12"/>
      <c r="X59" s="12"/>
      <c r="Y59" s="12"/>
      <c r="AA59" s="6"/>
      <c r="AC59" s="6"/>
      <c r="AE59" s="9"/>
    </row>
    <row r="60" spans="5:31" ht="6.75" customHeight="1" x14ac:dyDescent="0.2"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S60" s="7"/>
      <c r="T60" s="12"/>
      <c r="W60" s="12"/>
      <c r="X60" s="12"/>
      <c r="Y60" s="12"/>
      <c r="AA60" s="6"/>
      <c r="AC60" s="6"/>
      <c r="AE60" s="9"/>
    </row>
    <row r="61" spans="5:31" x14ac:dyDescent="0.2"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S61" s="7"/>
      <c r="T61" s="12"/>
      <c r="W61" s="12"/>
      <c r="X61" s="12"/>
      <c r="Y61" s="12"/>
      <c r="AA61" s="6"/>
      <c r="AC61" s="6"/>
      <c r="AE61" s="9"/>
    </row>
    <row r="62" spans="5:31" x14ac:dyDescent="0.2"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S62" s="7"/>
      <c r="T62" s="12"/>
      <c r="W62" s="12"/>
      <c r="X62" s="12"/>
      <c r="Y62" s="12"/>
      <c r="AA62" s="6"/>
      <c r="AC62" s="6"/>
      <c r="AE62" s="9"/>
    </row>
    <row r="63" spans="5:31" x14ac:dyDescent="0.2"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S63" s="7"/>
      <c r="T63" s="12"/>
      <c r="W63" s="12"/>
      <c r="X63" s="12"/>
      <c r="Y63" s="12"/>
      <c r="AA63" s="6"/>
      <c r="AC63" s="6"/>
      <c r="AE63" s="9"/>
    </row>
    <row r="64" spans="5:31" x14ac:dyDescent="0.2"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S64" s="7"/>
      <c r="T64" s="12"/>
      <c r="W64" s="12"/>
      <c r="X64" s="12"/>
      <c r="Y64" s="12"/>
      <c r="AA64" s="6"/>
      <c r="AC64" s="6"/>
      <c r="AE64" s="9"/>
    </row>
    <row r="65" spans="5:35" x14ac:dyDescent="0.2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T65" s="3"/>
      <c r="U65" s="3"/>
      <c r="V65" s="3"/>
      <c r="W65" s="3"/>
      <c r="X65" s="3"/>
      <c r="Y65" s="3"/>
    </row>
    <row r="66" spans="5:35" x14ac:dyDescent="0.2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T66" s="3"/>
      <c r="U66" s="3"/>
      <c r="V66" s="3"/>
      <c r="W66" s="3"/>
      <c r="X66" s="3"/>
      <c r="Y66" s="3"/>
    </row>
    <row r="67" spans="5:35" x14ac:dyDescent="0.2"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AE67" s="9"/>
    </row>
    <row r="68" spans="5:35" x14ac:dyDescent="0.2">
      <c r="AH68" s="4"/>
      <c r="AI68" s="4"/>
    </row>
  </sheetData>
  <mergeCells count="5">
    <mergeCell ref="K15:M15"/>
    <mergeCell ref="A1:P1"/>
    <mergeCell ref="A2:P2"/>
    <mergeCell ref="A3:P3"/>
    <mergeCell ref="A4:P4"/>
  </mergeCells>
  <printOptions horizontalCentered="1"/>
  <pageMargins left="0.25" right="0.25" top="1" bottom="0.5" header="1" footer="0.5"/>
  <pageSetup scale="9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2"/>
  <sheetViews>
    <sheetView view="pageBreakPreview" zoomScaleNormal="80" zoomScaleSheetLayoutView="100" workbookViewId="0">
      <selection activeCell="R33" sqref="R33"/>
    </sheetView>
  </sheetViews>
  <sheetFormatPr defaultRowHeight="12.75" x14ac:dyDescent="0.2"/>
  <cols>
    <col min="1" max="1" width="10" customWidth="1"/>
    <col min="2" max="2" width="3.5703125" customWidth="1"/>
    <col min="3" max="3" width="10.28515625" bestFit="1" customWidth="1"/>
    <col min="4" max="4" width="10.140625" bestFit="1" customWidth="1"/>
    <col min="5" max="6" width="9.28515625" bestFit="1" customWidth="1"/>
    <col min="7" max="7" width="10.7109375" bestFit="1" customWidth="1"/>
    <col min="8" max="8" width="10" bestFit="1" customWidth="1"/>
    <col min="9" max="9" width="10" customWidth="1"/>
    <col min="10" max="11" width="10.5703125" bestFit="1" customWidth="1"/>
    <col min="12" max="12" width="9.28515625" bestFit="1" customWidth="1"/>
    <col min="13" max="16" width="3.5703125" customWidth="1"/>
    <col min="17" max="17" width="11.85546875" customWidth="1"/>
    <col min="18" max="18" width="9.85546875" customWidth="1"/>
    <col min="19" max="20" width="9.5703125" customWidth="1"/>
    <col min="21" max="21" width="7.140625" customWidth="1"/>
    <col min="22" max="22" width="11.5703125" customWidth="1"/>
    <col min="23" max="23" width="9.5703125" customWidth="1"/>
    <col min="27" max="28" width="3" customWidth="1"/>
    <col min="30" max="30" width="2.7109375" customWidth="1"/>
  </cols>
  <sheetData>
    <row r="1" spans="1:32" x14ac:dyDescent="0.2">
      <c r="A1" s="374" t="str">
        <f>+'Rate Case Constants'!C9</f>
        <v>LOUISVILLE GAS AND ELECTRIC COMPANY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32" x14ac:dyDescent="0.2">
      <c r="A2" s="374" t="str">
        <f>+'Rate Case Constants'!C10</f>
        <v>CASE NO. 2014-00372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</row>
    <row r="3" spans="1:32" x14ac:dyDescent="0.2">
      <c r="A3" s="376" t="str">
        <f>+'Rate Case Constants'!C24</f>
        <v>Typical Electric Bill Comparison under Present &amp; Proposed Rates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</row>
    <row r="4" spans="1:32" x14ac:dyDescent="0.2">
      <c r="A4" s="374" t="str">
        <f>+'Rate Case Constants'!C21</f>
        <v>FORECAST PERIOD FOR THE 12 MONTHS ENDED JUNE 30, 2016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</row>
    <row r="7" spans="1:32" x14ac:dyDescent="0.2">
      <c r="A7" t="str">
        <f>+'Rate Case Constants'!C33</f>
        <v>DATA: ____BASE PERIOD__X___FORECASTED PERIOD</v>
      </c>
      <c r="L7" s="208" t="str">
        <f>+'Rate Case Constants'!C25</f>
        <v>SCHEDULE N (Electric)</v>
      </c>
    </row>
    <row r="8" spans="1:32" x14ac:dyDescent="0.2">
      <c r="A8" t="str">
        <f>+'Rate Case Constants'!C29</f>
        <v>TYPE OF FILING: __X__ ORIGINAL  _____ UPDATED  _____ REVISED</v>
      </c>
      <c r="L8" s="209" t="str">
        <f>+'Rate Case Constants'!L11</f>
        <v>PAGE 4 of 22</v>
      </c>
    </row>
    <row r="9" spans="1:32" x14ac:dyDescent="0.2">
      <c r="A9" t="str">
        <f>+'Rate Case Constants'!C34</f>
        <v>WORKPAPER REFERENCE NO(S):________</v>
      </c>
      <c r="L9" s="209" t="str">
        <f>+'Rate Case Constants'!C37</f>
        <v>WITNESS:   R. M. CONROY</v>
      </c>
      <c r="Q9" s="30" t="s">
        <v>395</v>
      </c>
    </row>
    <row r="10" spans="1:32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Q10" s="86" t="s">
        <v>72</v>
      </c>
      <c r="R10">
        <f>+INPUT!K51</f>
        <v>-2.6064331940046096E-4</v>
      </c>
    </row>
    <row r="11" spans="1:32" x14ac:dyDescent="0.2">
      <c r="A11" s="45" t="s">
        <v>78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86" t="s">
        <v>74</v>
      </c>
      <c r="R11" s="30">
        <f>+INPUT!L51</f>
        <v>1.8800481721423399E-3</v>
      </c>
      <c r="S11" s="30"/>
      <c r="T11" s="30"/>
      <c r="U11" s="30"/>
      <c r="V11" s="34"/>
      <c r="W11" s="30"/>
      <c r="X11" s="30"/>
      <c r="Y11" s="30"/>
      <c r="Z11" s="30"/>
    </row>
    <row r="12" spans="1:32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86" t="s">
        <v>73</v>
      </c>
      <c r="R12" s="30">
        <f>+INPUT!M51</f>
        <v>9.0047594907992322E-3</v>
      </c>
      <c r="S12" s="30"/>
      <c r="T12" s="30"/>
      <c r="U12" s="30"/>
      <c r="V12" s="30"/>
      <c r="W12" s="30"/>
      <c r="X12" s="30"/>
      <c r="Y12" s="30"/>
      <c r="Z12" s="30"/>
    </row>
    <row r="13" spans="1:32" x14ac:dyDescent="0.2">
      <c r="A13" s="30"/>
      <c r="B13" s="30"/>
      <c r="C13" s="222" t="s">
        <v>362</v>
      </c>
      <c r="D13" s="223" t="s">
        <v>363</v>
      </c>
      <c r="E13" s="223" t="s">
        <v>364</v>
      </c>
      <c r="F13" s="222" t="s">
        <v>365</v>
      </c>
      <c r="G13" s="222" t="s">
        <v>366</v>
      </c>
      <c r="H13" s="222" t="s">
        <v>367</v>
      </c>
      <c r="I13" s="223" t="s">
        <v>368</v>
      </c>
      <c r="J13" s="222" t="s">
        <v>369</v>
      </c>
      <c r="K13" s="222" t="s">
        <v>370</v>
      </c>
      <c r="L13" s="222" t="s">
        <v>371</v>
      </c>
      <c r="M13" s="30"/>
      <c r="N13" s="30"/>
      <c r="O13" s="30"/>
      <c r="P13" s="30"/>
      <c r="Q13" s="30"/>
      <c r="R13" s="30"/>
      <c r="S13" s="30"/>
      <c r="U13" s="30"/>
      <c r="V13" s="30"/>
      <c r="W13" s="30"/>
      <c r="X13" s="30"/>
      <c r="Y13" s="30"/>
      <c r="Z13" s="30"/>
    </row>
    <row r="14" spans="1:32" x14ac:dyDescent="0.2">
      <c r="C14" s="351" t="s">
        <v>406</v>
      </c>
      <c r="D14" s="351" t="s">
        <v>406</v>
      </c>
      <c r="E14" s="226"/>
      <c r="F14" s="226"/>
      <c r="G14" s="226"/>
      <c r="H14" s="226"/>
      <c r="I14" s="226"/>
      <c r="J14" s="222" t="s">
        <v>5</v>
      </c>
      <c r="K14" s="222" t="s">
        <v>5</v>
      </c>
      <c r="L14" s="226"/>
      <c r="Q14" s="50" t="s">
        <v>62</v>
      </c>
      <c r="R14" s="50"/>
      <c r="S14" s="50"/>
      <c r="T14" s="3" t="s">
        <v>73</v>
      </c>
      <c r="V14" s="50" t="s">
        <v>63</v>
      </c>
      <c r="W14" s="50"/>
      <c r="X14" s="50"/>
      <c r="Y14" s="3" t="s">
        <v>73</v>
      </c>
      <c r="Z14" s="59"/>
    </row>
    <row r="15" spans="1:32" x14ac:dyDescent="0.2">
      <c r="C15" s="222" t="s">
        <v>1</v>
      </c>
      <c r="D15" s="222" t="s">
        <v>75</v>
      </c>
      <c r="E15" s="222"/>
      <c r="F15" s="222"/>
      <c r="G15" s="372" t="s">
        <v>136</v>
      </c>
      <c r="H15" s="372"/>
      <c r="I15" s="373"/>
      <c r="J15" s="222" t="s">
        <v>1</v>
      </c>
      <c r="K15" s="222" t="s">
        <v>75</v>
      </c>
      <c r="L15" s="222"/>
      <c r="Q15" s="26" t="s">
        <v>65</v>
      </c>
      <c r="R15" s="3"/>
      <c r="S15" s="26"/>
      <c r="T15" s="3" t="s">
        <v>1</v>
      </c>
      <c r="V15" s="26" t="s">
        <v>65</v>
      </c>
      <c r="W15" s="3"/>
      <c r="X15" s="26"/>
      <c r="Y15" s="3" t="s">
        <v>1</v>
      </c>
      <c r="Z15" s="26"/>
    </row>
    <row r="16" spans="1:32" x14ac:dyDescent="0.2">
      <c r="A16" s="3"/>
      <c r="B16" s="3"/>
      <c r="C16" s="222" t="s">
        <v>4</v>
      </c>
      <c r="D16" s="222" t="s">
        <v>4</v>
      </c>
      <c r="E16" s="222" t="s">
        <v>76</v>
      </c>
      <c r="F16" s="222" t="s">
        <v>76</v>
      </c>
      <c r="G16" s="222" t="s">
        <v>72</v>
      </c>
      <c r="H16" s="222" t="s">
        <v>74</v>
      </c>
      <c r="I16" s="222" t="s">
        <v>73</v>
      </c>
      <c r="J16" s="222" t="s">
        <v>4</v>
      </c>
      <c r="K16" s="222" t="s">
        <v>4</v>
      </c>
      <c r="L16" s="222" t="s">
        <v>76</v>
      </c>
      <c r="M16" s="3"/>
      <c r="N16" s="3"/>
      <c r="O16" s="3"/>
      <c r="P16" s="3"/>
      <c r="Q16" s="26" t="s">
        <v>64</v>
      </c>
      <c r="R16" s="3" t="s">
        <v>59</v>
      </c>
      <c r="S16" s="26" t="s">
        <v>5</v>
      </c>
      <c r="T16" s="3" t="s">
        <v>77</v>
      </c>
      <c r="V16" s="26" t="s">
        <v>64</v>
      </c>
      <c r="W16" s="3" t="s">
        <v>59</v>
      </c>
      <c r="X16" s="26" t="s">
        <v>5</v>
      </c>
      <c r="Y16" s="3" t="s">
        <v>77</v>
      </c>
      <c r="Z16" s="26"/>
      <c r="AB16" s="2"/>
      <c r="AC16" s="3" t="s">
        <v>6</v>
      </c>
      <c r="AD16" s="3"/>
      <c r="AE16" s="3" t="s">
        <v>8</v>
      </c>
      <c r="AF16" s="3"/>
    </row>
    <row r="17" spans="1:32" x14ac:dyDescent="0.2">
      <c r="A17" s="3" t="s">
        <v>51</v>
      </c>
      <c r="B17" s="3"/>
      <c r="C17" s="222"/>
      <c r="D17" s="222"/>
      <c r="E17" s="222" t="s">
        <v>70</v>
      </c>
      <c r="F17" s="223" t="s">
        <v>71</v>
      </c>
      <c r="G17" s="224"/>
      <c r="H17" s="224"/>
      <c r="I17" s="225"/>
      <c r="J17" s="222" t="s">
        <v>70</v>
      </c>
      <c r="K17" s="222" t="s">
        <v>70</v>
      </c>
      <c r="L17" s="223" t="s">
        <v>71</v>
      </c>
      <c r="M17" s="3"/>
      <c r="N17" s="3"/>
      <c r="O17" s="3"/>
      <c r="P17" s="3"/>
      <c r="Q17" s="36" t="s">
        <v>3</v>
      </c>
      <c r="R17" s="15" t="s">
        <v>3</v>
      </c>
      <c r="S17" s="36" t="s">
        <v>4</v>
      </c>
      <c r="T17" s="15" t="s">
        <v>3</v>
      </c>
      <c r="V17" s="36" t="s">
        <v>3</v>
      </c>
      <c r="W17" s="15" t="s">
        <v>3</v>
      </c>
      <c r="X17" s="36" t="s">
        <v>4</v>
      </c>
      <c r="Y17" s="15" t="s">
        <v>3</v>
      </c>
      <c r="Z17" s="60"/>
      <c r="AB17" s="2"/>
      <c r="AC17" s="3" t="s">
        <v>7</v>
      </c>
      <c r="AD17" s="3"/>
      <c r="AE17" s="3" t="s">
        <v>7</v>
      </c>
      <c r="AF17" s="3"/>
    </row>
    <row r="18" spans="1:32" x14ac:dyDescent="0.2">
      <c r="A18" s="3"/>
      <c r="B18" s="3"/>
      <c r="C18" s="222"/>
      <c r="D18" s="222"/>
      <c r="E18" s="222" t="str">
        <f>("[ "&amp;D13&amp;" - "&amp;C13&amp;" ]")</f>
        <v>[ B - A ]</v>
      </c>
      <c r="F18" s="222" t="str">
        <f>("[ "&amp;E13&amp;" / "&amp;C13&amp;" ]")</f>
        <v>[ C / A ]</v>
      </c>
      <c r="G18" s="224"/>
      <c r="H18" s="224"/>
      <c r="I18" s="224"/>
      <c r="J18" s="222" t="str">
        <f>("["&amp;C13&amp;"+"&amp;$G$13&amp;"+"&amp;$H$13&amp;"+"&amp;$I$13&amp;"]")</f>
        <v>[A+E+F+G]</v>
      </c>
      <c r="K18" s="222" t="str">
        <f>("["&amp;D13&amp;"+"&amp;$G$13&amp;"+"&amp;$H$13&amp;"+"&amp;$I$13&amp;"]")</f>
        <v>[B+E+F+G]</v>
      </c>
      <c r="L18" s="222" t="str">
        <f>("[("&amp;K13&amp;" - "&amp;J13&amp;")/"&amp;J13&amp;"]")</f>
        <v>[(I - H)/H]</v>
      </c>
      <c r="M18" s="3"/>
      <c r="N18" s="3"/>
      <c r="O18" s="3"/>
      <c r="P18" s="222"/>
      <c r="Q18" s="26"/>
      <c r="R18" s="33">
        <f>+INPUT!$E$6</f>
        <v>9.1340000000000005E-2</v>
      </c>
      <c r="S18" s="26"/>
      <c r="T18" s="43"/>
      <c r="V18" s="26"/>
      <c r="W18" s="33">
        <f>INPUT!$E$27</f>
        <v>9.2450000000000004E-2</v>
      </c>
      <c r="X18" s="26"/>
      <c r="Y18" s="43"/>
      <c r="Z18" s="26"/>
      <c r="AB18" s="2"/>
      <c r="AC18" s="3"/>
      <c r="AD18" s="3"/>
      <c r="AE18" s="3"/>
      <c r="AF18" s="3"/>
    </row>
    <row r="19" spans="1:32" x14ac:dyDescent="0.2">
      <c r="A19" s="3"/>
      <c r="B19" s="3"/>
      <c r="C19" s="3"/>
      <c r="D19" s="3"/>
      <c r="E19" s="222"/>
      <c r="F19" s="222"/>
      <c r="G19" s="3"/>
      <c r="H19" s="3"/>
      <c r="I19" s="3"/>
      <c r="J19" s="222"/>
      <c r="K19" s="3"/>
      <c r="L19" s="222"/>
      <c r="M19" s="3"/>
      <c r="N19" s="3"/>
      <c r="O19" s="3"/>
      <c r="P19" s="3"/>
      <c r="Q19" s="26"/>
      <c r="R19" s="3" t="s">
        <v>14</v>
      </c>
      <c r="S19" s="26"/>
      <c r="T19" s="3"/>
      <c r="V19" s="26"/>
      <c r="W19" s="3" t="s">
        <v>14</v>
      </c>
      <c r="X19" s="26"/>
      <c r="Y19" s="3"/>
      <c r="Z19" s="26"/>
      <c r="AB19" s="2"/>
      <c r="AC19" s="3"/>
      <c r="AD19" s="3"/>
      <c r="AE19" s="3"/>
      <c r="AF19" s="3"/>
    </row>
    <row r="20" spans="1:32" x14ac:dyDescent="0.2">
      <c r="A20" s="3"/>
      <c r="B20" s="3"/>
      <c r="C20" s="3"/>
      <c r="D20" s="3"/>
      <c r="E20" s="3"/>
      <c r="F20" s="3"/>
      <c r="G20" s="89"/>
      <c r="H20" s="89"/>
      <c r="I20" s="89"/>
      <c r="J20" s="89"/>
      <c r="K20" s="3"/>
      <c r="L20" s="3"/>
      <c r="M20" s="3"/>
      <c r="N20" s="3"/>
      <c r="O20" s="3"/>
      <c r="P20" s="3"/>
      <c r="R20" s="3"/>
      <c r="S20" s="3"/>
      <c r="T20" s="3"/>
      <c r="W20" s="3"/>
      <c r="X20" s="3"/>
      <c r="Y20" s="3"/>
      <c r="Z20" s="3"/>
    </row>
    <row r="21" spans="1:32" x14ac:dyDescent="0.2">
      <c r="A21">
        <v>500</v>
      </c>
      <c r="C21" s="93">
        <f>+S21</f>
        <v>65.67</v>
      </c>
      <c r="D21" s="93">
        <f>+X21</f>
        <v>71.224999999999994</v>
      </c>
      <c r="E21" s="29">
        <f>+D21-C21</f>
        <v>5.5549999999999926</v>
      </c>
      <c r="F21" s="57">
        <f>ROUND(+E21/C21,4)</f>
        <v>8.4599999999999995E-2</v>
      </c>
      <c r="G21" s="93">
        <f>ROUND($R$10*$A21,2)</f>
        <v>-0.13</v>
      </c>
      <c r="H21" s="93">
        <f>ROUND($R$11*$A21,2)</f>
        <v>0.94</v>
      </c>
      <c r="I21" s="93">
        <f>ROUND($R$12*$A21,2)</f>
        <v>4.5</v>
      </c>
      <c r="J21" s="93">
        <f>+C21+G21+H21+I21</f>
        <v>70.98</v>
      </c>
      <c r="K21" s="29">
        <f>+D21+G21+H21+I21</f>
        <v>76.534999999999997</v>
      </c>
      <c r="L21" s="57">
        <f>ROUND((K21-J21)/J21,4)</f>
        <v>7.8299999999999995E-2</v>
      </c>
      <c r="Q21" s="7">
        <f>+INPUT!$E$4</f>
        <v>20</v>
      </c>
      <c r="R21" s="6">
        <f>A21*$R$18</f>
        <v>45.67</v>
      </c>
      <c r="S21" s="6">
        <f>Q21+R21</f>
        <v>65.67</v>
      </c>
      <c r="T21" s="6"/>
      <c r="V21" s="7">
        <f>INPUT!$E$25</f>
        <v>25</v>
      </c>
      <c r="W21" s="6">
        <f>+$A21*W$18</f>
        <v>46.225000000000001</v>
      </c>
      <c r="X21" s="6">
        <f>V21+W21</f>
        <v>71.224999999999994</v>
      </c>
      <c r="Y21" s="6"/>
      <c r="Z21" s="6"/>
      <c r="AC21" s="6">
        <f>X21-S21</f>
        <v>5.5549999999999926</v>
      </c>
      <c r="AE21" s="8">
        <f>X21/S21-1</f>
        <v>8.4589614740368413E-2</v>
      </c>
      <c r="AF21" s="8"/>
    </row>
    <row r="22" spans="1:32" x14ac:dyDescent="0.2">
      <c r="C22" s="17"/>
      <c r="D22" s="17"/>
      <c r="G22" s="17"/>
      <c r="H22" s="17"/>
      <c r="I22" s="17"/>
      <c r="J22" s="17"/>
      <c r="Q22" s="7"/>
      <c r="R22" s="6"/>
      <c r="S22" s="6"/>
      <c r="T22" s="6"/>
      <c r="V22" s="7"/>
      <c r="W22" s="6"/>
      <c r="X22" s="6"/>
      <c r="Y22" s="6"/>
      <c r="Z22" s="6"/>
      <c r="AE22" s="8"/>
      <c r="AF22" s="8"/>
    </row>
    <row r="23" spans="1:32" x14ac:dyDescent="0.2">
      <c r="A23" s="1">
        <v>1000</v>
      </c>
      <c r="C23" s="93">
        <f>+S23</f>
        <v>111.34</v>
      </c>
      <c r="D23" s="93">
        <f>+X23</f>
        <v>117.45</v>
      </c>
      <c r="E23" s="29">
        <f>+D23-C23</f>
        <v>6.1099999999999994</v>
      </c>
      <c r="F23" s="57">
        <f>ROUND(+E23/C23,4)</f>
        <v>5.4899999999999997E-2</v>
      </c>
      <c r="G23" s="93">
        <f>ROUND($R$10*$A23,2)</f>
        <v>-0.26</v>
      </c>
      <c r="H23" s="93">
        <f>ROUND($R$11*$A23,2)</f>
        <v>1.88</v>
      </c>
      <c r="I23" s="93">
        <f>ROUND($R$12*$A23,2)</f>
        <v>9</v>
      </c>
      <c r="J23" s="93">
        <f>+C23+G23+H23+I23</f>
        <v>121.96</v>
      </c>
      <c r="K23" s="29">
        <f>+D23+G23+H23+I23</f>
        <v>128.07</v>
      </c>
      <c r="L23" s="57">
        <f>ROUND((K23-J23)/J23,4)</f>
        <v>5.0099999999999999E-2</v>
      </c>
      <c r="Q23" s="7">
        <f>$Q$21</f>
        <v>20</v>
      </c>
      <c r="R23" s="6">
        <f>A23*$R$18</f>
        <v>91.34</v>
      </c>
      <c r="S23" s="6">
        <f>Q23+R23</f>
        <v>111.34</v>
      </c>
      <c r="T23" s="6"/>
      <c r="V23" s="7">
        <f>+$V$21</f>
        <v>25</v>
      </c>
      <c r="W23" s="6">
        <f>+$A23*W$18</f>
        <v>92.45</v>
      </c>
      <c r="X23" s="6">
        <f>V23+W23</f>
        <v>117.45</v>
      </c>
      <c r="Y23" s="6"/>
      <c r="Z23" s="6"/>
      <c r="AC23" s="6">
        <f>X23-S23</f>
        <v>6.1099999999999994</v>
      </c>
      <c r="AE23" s="8">
        <f>X23/S23-1</f>
        <v>5.4876953475839763E-2</v>
      </c>
      <c r="AF23" s="8"/>
    </row>
    <row r="24" spans="1:32" x14ac:dyDescent="0.2">
      <c r="C24" s="93"/>
      <c r="D24" s="93"/>
      <c r="E24" s="29"/>
      <c r="F24" s="57"/>
      <c r="G24" s="93"/>
      <c r="H24" s="93"/>
      <c r="I24" s="93"/>
      <c r="J24" s="93"/>
      <c r="K24" s="29"/>
      <c r="L24" s="57"/>
      <c r="Q24" s="58"/>
      <c r="R24" s="6"/>
      <c r="S24" s="6"/>
      <c r="T24" s="6"/>
      <c r="V24" s="7"/>
      <c r="W24" s="6"/>
      <c r="X24" s="6"/>
      <c r="Y24" s="6"/>
      <c r="Z24" s="6"/>
      <c r="AE24" s="27"/>
      <c r="AF24" s="27"/>
    </row>
    <row r="25" spans="1:32" s="10" customFormat="1" x14ac:dyDescent="0.2">
      <c r="A25" s="14">
        <v>1500</v>
      </c>
      <c r="B25"/>
      <c r="C25" s="93">
        <f>+S25</f>
        <v>157.01000000000002</v>
      </c>
      <c r="D25" s="93">
        <f>+X25</f>
        <v>163.67500000000001</v>
      </c>
      <c r="E25" s="29">
        <f>+D25-C25</f>
        <v>6.664999999999992</v>
      </c>
      <c r="F25" s="57">
        <f>ROUND(+E25/C25,4)</f>
        <v>4.24E-2</v>
      </c>
      <c r="G25" s="93">
        <f>ROUND($R$10*$A25,2)</f>
        <v>-0.39</v>
      </c>
      <c r="H25" s="93">
        <f>ROUND($R$11*$A25,2)</f>
        <v>2.82</v>
      </c>
      <c r="I25" s="93">
        <f>ROUND($R$12*$A25,2)</f>
        <v>13.51</v>
      </c>
      <c r="J25" s="93">
        <f>+C25+G25+H25+I25</f>
        <v>172.95000000000002</v>
      </c>
      <c r="K25" s="29">
        <f>+D25+G25+H25+I25</f>
        <v>179.61500000000001</v>
      </c>
      <c r="L25" s="57">
        <f>ROUND((K25-J25)/J25,4)</f>
        <v>3.85E-2</v>
      </c>
      <c r="Q25" s="58">
        <f>$Q$21</f>
        <v>20</v>
      </c>
      <c r="R25" s="6">
        <f>A25*$R$18</f>
        <v>137.01000000000002</v>
      </c>
      <c r="S25" s="11">
        <f>Q25+R25</f>
        <v>157.01000000000002</v>
      </c>
      <c r="T25" s="6"/>
      <c r="V25" s="7">
        <f>+$V$21</f>
        <v>25</v>
      </c>
      <c r="W25" s="6">
        <f>+$A25*W$18</f>
        <v>138.67500000000001</v>
      </c>
      <c r="X25" s="11">
        <f>V25+W25</f>
        <v>163.67500000000001</v>
      </c>
      <c r="Y25" s="6"/>
      <c r="Z25" s="11"/>
      <c r="AC25" s="11">
        <f>X25-S25</f>
        <v>6.664999999999992</v>
      </c>
      <c r="AE25" s="27">
        <f>X25/S25-1</f>
        <v>4.2449525507929353E-2</v>
      </c>
      <c r="AF25" s="27"/>
    </row>
    <row r="26" spans="1:32" x14ac:dyDescent="0.2">
      <c r="C26" s="17"/>
      <c r="D26" s="17"/>
      <c r="G26" s="17"/>
      <c r="H26" s="17"/>
      <c r="I26" s="17"/>
      <c r="J26" s="17"/>
      <c r="Q26" s="7"/>
      <c r="R26" s="6"/>
      <c r="S26" s="6"/>
      <c r="T26" s="6"/>
      <c r="V26" s="7"/>
      <c r="W26" s="6"/>
      <c r="X26" s="6"/>
      <c r="Y26" s="6"/>
      <c r="Z26" s="6"/>
      <c r="AE26" s="8"/>
      <c r="AF26" s="8"/>
    </row>
    <row r="27" spans="1:32" x14ac:dyDescent="0.2">
      <c r="A27" s="1">
        <v>2000</v>
      </c>
      <c r="C27" s="93">
        <f>+S27</f>
        <v>202.68</v>
      </c>
      <c r="D27" s="93">
        <f>+X27</f>
        <v>209.9</v>
      </c>
      <c r="E27" s="29">
        <f>+D27-C27</f>
        <v>7.2199999999999989</v>
      </c>
      <c r="F27" s="57">
        <f>ROUND(+E27/C27,4)</f>
        <v>3.56E-2</v>
      </c>
      <c r="G27" s="93">
        <f>ROUND($R$10*$A27,2)</f>
        <v>-0.52</v>
      </c>
      <c r="H27" s="93">
        <f>ROUND($R$11*$A27,2)</f>
        <v>3.76</v>
      </c>
      <c r="I27" s="93">
        <f>ROUND($R$12*$A27,2)</f>
        <v>18.010000000000002</v>
      </c>
      <c r="J27" s="93">
        <f>+C27+G27+H27+I27</f>
        <v>223.92999999999998</v>
      </c>
      <c r="K27" s="29">
        <f>+D27+G27+H27+I27</f>
        <v>231.14999999999998</v>
      </c>
      <c r="L27" s="57">
        <f>ROUND((K27-J27)/J27,4)</f>
        <v>3.2199999999999999E-2</v>
      </c>
      <c r="Q27" s="7">
        <f>$Q$21</f>
        <v>20</v>
      </c>
      <c r="R27" s="6">
        <f>A27*$R$18</f>
        <v>182.68</v>
      </c>
      <c r="S27" s="6">
        <f>Q27+R27</f>
        <v>202.68</v>
      </c>
      <c r="T27" s="6"/>
      <c r="V27" s="7">
        <f>+$V$21</f>
        <v>25</v>
      </c>
      <c r="W27" s="6">
        <f>+$A27*W$18</f>
        <v>184.9</v>
      </c>
      <c r="X27" s="6">
        <f>V27+W27</f>
        <v>209.9</v>
      </c>
      <c r="Y27" s="6"/>
      <c r="Z27" s="6"/>
      <c r="AC27" s="6">
        <f>X27-S27</f>
        <v>7.2199999999999989</v>
      </c>
      <c r="AE27" s="8">
        <f>X27/S27-1</f>
        <v>3.5622656404183939E-2</v>
      </c>
      <c r="AF27" s="8"/>
    </row>
    <row r="28" spans="1:32" x14ac:dyDescent="0.2">
      <c r="C28" s="17"/>
      <c r="D28" s="17"/>
      <c r="G28" s="17"/>
      <c r="H28" s="17"/>
      <c r="I28" s="17"/>
      <c r="J28" s="17"/>
      <c r="Q28" s="7"/>
      <c r="R28" s="6"/>
      <c r="S28" s="6"/>
      <c r="T28" s="6"/>
      <c r="V28" s="7"/>
      <c r="W28" s="6"/>
      <c r="X28" s="6"/>
      <c r="Y28" s="6"/>
      <c r="Z28" s="6"/>
      <c r="AE28" s="8"/>
      <c r="AF28" s="8"/>
    </row>
    <row r="29" spans="1:32" x14ac:dyDescent="0.2">
      <c r="A29" s="1">
        <v>2500</v>
      </c>
      <c r="C29" s="93">
        <f>+S29</f>
        <v>248.35000000000002</v>
      </c>
      <c r="D29" s="93">
        <f>+X29</f>
        <v>256.125</v>
      </c>
      <c r="E29" s="29">
        <f>+D29-C29</f>
        <v>7.7749999999999773</v>
      </c>
      <c r="F29" s="57">
        <f>ROUND(+E29/C29,4)</f>
        <v>3.1300000000000001E-2</v>
      </c>
      <c r="G29" s="93">
        <f>ROUND($R$10*$A29,2)</f>
        <v>-0.65</v>
      </c>
      <c r="H29" s="93">
        <f>ROUND($R$11*$A29,2)</f>
        <v>4.7</v>
      </c>
      <c r="I29" s="93">
        <f>ROUND($R$12*$A29,2)</f>
        <v>22.51</v>
      </c>
      <c r="J29" s="93">
        <f>+C29+G29+H29+I29</f>
        <v>274.91000000000003</v>
      </c>
      <c r="K29" s="29">
        <f>+D29+G29+H29+I29</f>
        <v>282.685</v>
      </c>
      <c r="L29" s="57">
        <f>ROUND((K29-J29)/J29,4)</f>
        <v>2.8299999999999999E-2</v>
      </c>
      <c r="Q29" s="7">
        <f>$Q$21</f>
        <v>20</v>
      </c>
      <c r="R29" s="6">
        <f>A29*$R$18</f>
        <v>228.35000000000002</v>
      </c>
      <c r="S29" s="6">
        <f>Q29+R29</f>
        <v>248.35000000000002</v>
      </c>
      <c r="T29" s="6"/>
      <c r="V29" s="7">
        <f>+$V$21</f>
        <v>25</v>
      </c>
      <c r="W29" s="6">
        <f>+$A29*W$18</f>
        <v>231.125</v>
      </c>
      <c r="X29" s="6">
        <f>V29+W29</f>
        <v>256.125</v>
      </c>
      <c r="Y29" s="6"/>
      <c r="Z29" s="6"/>
      <c r="AC29" s="6">
        <f>X29-S29</f>
        <v>7.7749999999999773</v>
      </c>
      <c r="AE29" s="8">
        <f>X29/S29-1</f>
        <v>3.1306623716528925E-2</v>
      </c>
      <c r="AF29" s="8"/>
    </row>
    <row r="30" spans="1:32" x14ac:dyDescent="0.2">
      <c r="A30" s="1"/>
      <c r="C30" s="17"/>
      <c r="D30" s="17"/>
      <c r="G30" s="17"/>
      <c r="H30" s="17"/>
      <c r="I30" s="17"/>
      <c r="J30" s="17"/>
      <c r="Q30" s="7"/>
      <c r="R30" s="6"/>
      <c r="S30" s="6"/>
      <c r="T30" s="6"/>
      <c r="V30" s="7"/>
      <c r="W30" s="6"/>
      <c r="X30" s="6"/>
      <c r="Y30" s="6"/>
      <c r="Z30" s="6"/>
      <c r="AE30" s="8"/>
      <c r="AF30" s="8"/>
    </row>
    <row r="31" spans="1:32" x14ac:dyDescent="0.2">
      <c r="A31" s="1">
        <v>5000</v>
      </c>
      <c r="C31" s="93">
        <f>+S31</f>
        <v>476.70000000000005</v>
      </c>
      <c r="D31" s="93">
        <f>+X31</f>
        <v>487.25</v>
      </c>
      <c r="E31" s="29">
        <f>+D31-C31</f>
        <v>10.549999999999955</v>
      </c>
      <c r="F31" s="57">
        <f>ROUND(+E31/C31,4)</f>
        <v>2.2100000000000002E-2</v>
      </c>
      <c r="G31" s="93">
        <f>ROUND($R$10*$A31,2)</f>
        <v>-1.3</v>
      </c>
      <c r="H31" s="93">
        <f>ROUND($R$11*$A31,2)</f>
        <v>9.4</v>
      </c>
      <c r="I31" s="93">
        <f>ROUND($R$12*$A31,2)</f>
        <v>45.02</v>
      </c>
      <c r="J31" s="93">
        <f>+C31+G31+H31+I31</f>
        <v>529.82000000000005</v>
      </c>
      <c r="K31" s="29">
        <f>+D31+G31+H31+I31</f>
        <v>540.37</v>
      </c>
      <c r="L31" s="57">
        <f>ROUND((K31-J31)/J31,4)</f>
        <v>1.9900000000000001E-2</v>
      </c>
      <c r="Q31" s="7">
        <f>$Q$21</f>
        <v>20</v>
      </c>
      <c r="R31" s="6">
        <f>A31*$R$18</f>
        <v>456.70000000000005</v>
      </c>
      <c r="S31" s="6">
        <f>Q31+R31</f>
        <v>476.70000000000005</v>
      </c>
      <c r="T31" s="6"/>
      <c r="V31" s="7">
        <f>+$V$21</f>
        <v>25</v>
      </c>
      <c r="W31" s="6">
        <f>+$A31*W$18</f>
        <v>462.25</v>
      </c>
      <c r="X31" s="6">
        <f>V31+W31</f>
        <v>487.25</v>
      </c>
      <c r="Y31" s="6"/>
      <c r="Z31" s="6"/>
      <c r="AC31" s="6">
        <f>X31-S31</f>
        <v>10.549999999999955</v>
      </c>
      <c r="AE31" s="8">
        <f>X31/S31-1</f>
        <v>2.2131319488147616E-2</v>
      </c>
      <c r="AF31" s="8"/>
    </row>
    <row r="32" spans="1:32" x14ac:dyDescent="0.2">
      <c r="C32" s="17"/>
      <c r="D32" s="17"/>
      <c r="G32" s="17"/>
      <c r="H32" s="17"/>
      <c r="I32" s="17"/>
      <c r="J32" s="17"/>
      <c r="Q32" s="7"/>
      <c r="R32" s="6"/>
      <c r="S32" s="6"/>
      <c r="T32" s="6"/>
      <c r="V32" s="7"/>
      <c r="W32" s="6"/>
      <c r="X32" s="6"/>
      <c r="Y32" s="6"/>
      <c r="Z32" s="6"/>
      <c r="AE32" s="8"/>
      <c r="AF32" s="8"/>
    </row>
    <row r="33" spans="1:32" x14ac:dyDescent="0.2">
      <c r="A33" s="1">
        <v>7500</v>
      </c>
      <c r="C33" s="93">
        <f>+S33</f>
        <v>705.05000000000007</v>
      </c>
      <c r="D33" s="93">
        <f>+X33</f>
        <v>718.375</v>
      </c>
      <c r="E33" s="29">
        <f>+D33-C33</f>
        <v>13.324999999999932</v>
      </c>
      <c r="F33" s="57">
        <f>ROUND(+E33/C33,4)</f>
        <v>1.89E-2</v>
      </c>
      <c r="G33" s="93">
        <f>ROUND($R$10*$A33,2)</f>
        <v>-1.95</v>
      </c>
      <c r="H33" s="93">
        <f>ROUND($R$11*$A33,2)</f>
        <v>14.1</v>
      </c>
      <c r="I33" s="93">
        <f>ROUND($R$12*$A33,2)</f>
        <v>67.540000000000006</v>
      </c>
      <c r="J33" s="93">
        <f>+C33+G33+H33+I33</f>
        <v>784.74</v>
      </c>
      <c r="K33" s="29">
        <f>+D33+G33+H33+I33</f>
        <v>798.06499999999994</v>
      </c>
      <c r="L33" s="57">
        <f>ROUND((K33-J33)/J33,4)</f>
        <v>1.7000000000000001E-2</v>
      </c>
      <c r="Q33" s="7">
        <f>$Q$21</f>
        <v>20</v>
      </c>
      <c r="R33" s="6">
        <f>A33*$R$18</f>
        <v>685.05000000000007</v>
      </c>
      <c r="S33" s="6">
        <f>Q33+R33</f>
        <v>705.05000000000007</v>
      </c>
      <c r="T33" s="6"/>
      <c r="V33" s="7">
        <f>+$V$21</f>
        <v>25</v>
      </c>
      <c r="W33" s="6">
        <f>+$A33*W$18</f>
        <v>693.375</v>
      </c>
      <c r="X33" s="6">
        <f>V33+W33</f>
        <v>718.375</v>
      </c>
      <c r="Y33" s="6"/>
      <c r="Z33" s="6"/>
      <c r="AC33" s="6">
        <f>X33-S33</f>
        <v>13.324999999999932</v>
      </c>
      <c r="AE33" s="8">
        <f>X33/S33-1</f>
        <v>1.889936883908927E-2</v>
      </c>
      <c r="AF33" s="8"/>
    </row>
    <row r="34" spans="1:32" x14ac:dyDescent="0.2">
      <c r="C34" s="17"/>
      <c r="D34" s="17"/>
      <c r="G34" s="17"/>
      <c r="H34" s="17"/>
      <c r="I34" s="17"/>
      <c r="J34" s="17"/>
      <c r="Q34" s="7"/>
      <c r="R34" s="6"/>
      <c r="S34" s="6"/>
      <c r="T34" s="6"/>
      <c r="V34" s="7"/>
      <c r="W34" s="6"/>
      <c r="X34" s="6"/>
      <c r="Y34" s="6"/>
      <c r="Z34" s="6"/>
      <c r="AE34" s="8"/>
      <c r="AF34" s="8"/>
    </row>
    <row r="35" spans="1:32" x14ac:dyDescent="0.2">
      <c r="A35" s="1">
        <v>10000</v>
      </c>
      <c r="C35" s="93">
        <f>+S35</f>
        <v>933.40000000000009</v>
      </c>
      <c r="D35" s="93">
        <f>+X35</f>
        <v>949.5</v>
      </c>
      <c r="E35" s="29">
        <f>+D35-C35</f>
        <v>16.099999999999909</v>
      </c>
      <c r="F35" s="57">
        <f>ROUND(+E35/C35,4)</f>
        <v>1.72E-2</v>
      </c>
      <c r="G35" s="93">
        <f>ROUND($R$10*$A35,2)</f>
        <v>-2.61</v>
      </c>
      <c r="H35" s="93">
        <f>ROUND($R$11*$A35,2)</f>
        <v>18.8</v>
      </c>
      <c r="I35" s="93">
        <f>ROUND($R$12*$A35,2)</f>
        <v>90.05</v>
      </c>
      <c r="J35" s="93">
        <f>+C35+G35+H35+I35</f>
        <v>1039.6400000000001</v>
      </c>
      <c r="K35" s="29">
        <f>+D35+G35+H35+I35</f>
        <v>1055.74</v>
      </c>
      <c r="L35" s="57">
        <f>ROUND((K35-J35)/J35,4)</f>
        <v>1.55E-2</v>
      </c>
      <c r="Q35" s="7">
        <f>$Q$21</f>
        <v>20</v>
      </c>
      <c r="R35" s="6">
        <f>A35*$R$18</f>
        <v>913.40000000000009</v>
      </c>
      <c r="S35" s="6">
        <f>Q35+R35</f>
        <v>933.40000000000009</v>
      </c>
      <c r="T35" s="6"/>
      <c r="V35" s="7">
        <f>+$V$21</f>
        <v>25</v>
      </c>
      <c r="W35" s="6">
        <f>+$A35*W$18</f>
        <v>924.5</v>
      </c>
      <c r="X35" s="6">
        <f>V35+W35</f>
        <v>949.5</v>
      </c>
      <c r="Y35" s="6"/>
      <c r="Z35" s="6"/>
      <c r="AE35" s="8"/>
      <c r="AF35" s="8"/>
    </row>
    <row r="36" spans="1:32" x14ac:dyDescent="0.2">
      <c r="C36" s="17"/>
      <c r="D36" s="17"/>
      <c r="G36" s="17"/>
      <c r="H36" s="17"/>
      <c r="I36" s="17"/>
      <c r="J36" s="17"/>
      <c r="Q36" s="7"/>
      <c r="R36" s="6"/>
      <c r="S36" s="6"/>
      <c r="T36" s="6"/>
      <c r="V36" s="7"/>
      <c r="W36" s="6"/>
      <c r="X36" s="6"/>
      <c r="Y36" s="6"/>
      <c r="Z36" s="6"/>
      <c r="AE36" s="8"/>
      <c r="AF36" s="8"/>
    </row>
    <row r="37" spans="1:32" x14ac:dyDescent="0.2">
      <c r="Q37" s="7"/>
    </row>
    <row r="38" spans="1:32" x14ac:dyDescent="0.2">
      <c r="A38" s="17" t="s">
        <v>373</v>
      </c>
    </row>
    <row r="39" spans="1:32" x14ac:dyDescent="0.2">
      <c r="A39" s="228" t="str">
        <f>("Average usage = "&amp;TEXT(INPUT!E19*1,"0,000")&amp;" kWh per month")</f>
        <v>Average usage = 1,152 kWh per month</v>
      </c>
    </row>
    <row r="40" spans="1:32" x14ac:dyDescent="0.2">
      <c r="A40" s="230" t="s">
        <v>375</v>
      </c>
    </row>
    <row r="41" spans="1:32" x14ac:dyDescent="0.2">
      <c r="A41" s="230" t="str">
        <f>+'Rate Case Constants'!C26</f>
        <v>Calculations may vary from other schedules due to rounding</v>
      </c>
    </row>
    <row r="42" spans="1:32" ht="12" customHeight="1" x14ac:dyDescent="0.2"/>
  </sheetData>
  <mergeCells count="5">
    <mergeCell ref="G15:I15"/>
    <mergeCell ref="A1:L1"/>
    <mergeCell ref="A2:L2"/>
    <mergeCell ref="A3:L3"/>
    <mergeCell ref="A4:L4"/>
  </mergeCells>
  <printOptions horizontalCentered="1"/>
  <pageMargins left="0.25" right="0.25" top="1" bottom="0.5" header="1" footer="0.5"/>
  <pageSetup scale="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2"/>
  <sheetViews>
    <sheetView view="pageBreakPreview" zoomScaleNormal="80" zoomScaleSheetLayoutView="100" workbookViewId="0">
      <selection activeCell="R33" sqref="R33"/>
    </sheetView>
  </sheetViews>
  <sheetFormatPr defaultRowHeight="12.75" x14ac:dyDescent="0.2"/>
  <cols>
    <col min="1" max="1" width="10" customWidth="1"/>
    <col min="2" max="2" width="3.5703125" customWidth="1"/>
    <col min="3" max="3" width="10.28515625" bestFit="1" customWidth="1"/>
    <col min="4" max="4" width="10.140625" bestFit="1" customWidth="1"/>
    <col min="5" max="6" width="9.28515625" bestFit="1" customWidth="1"/>
    <col min="7" max="7" width="10.7109375" bestFit="1" customWidth="1"/>
    <col min="8" max="8" width="10" bestFit="1" customWidth="1"/>
    <col min="9" max="9" width="10" customWidth="1"/>
    <col min="10" max="11" width="10.5703125" bestFit="1" customWidth="1"/>
    <col min="12" max="12" width="9.28515625" bestFit="1" customWidth="1"/>
    <col min="13" max="16" width="3.5703125" customWidth="1"/>
    <col min="17" max="17" width="11.85546875" customWidth="1"/>
    <col min="18" max="18" width="9.85546875" customWidth="1"/>
    <col min="19" max="20" width="9.5703125" customWidth="1"/>
    <col min="21" max="21" width="7.140625" customWidth="1"/>
    <col min="22" max="22" width="11.5703125" customWidth="1"/>
    <col min="23" max="23" width="9.5703125" customWidth="1"/>
    <col min="27" max="28" width="3" customWidth="1"/>
    <col min="30" max="30" width="2.7109375" customWidth="1"/>
  </cols>
  <sheetData>
    <row r="1" spans="1:32" x14ac:dyDescent="0.2">
      <c r="A1" s="374" t="str">
        <f>+'Rate Case Constants'!C9</f>
        <v>LOUISVILLE GAS AND ELECTRIC COMPANY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32" x14ac:dyDescent="0.2">
      <c r="A2" s="374" t="str">
        <f>+'Rate Case Constants'!C10</f>
        <v>CASE NO. 2014-00372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</row>
    <row r="3" spans="1:32" x14ac:dyDescent="0.2">
      <c r="A3" s="376" t="str">
        <f>+'Rate Case Constants'!C24</f>
        <v>Typical Electric Bill Comparison under Present &amp; Proposed Rates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</row>
    <row r="4" spans="1:32" x14ac:dyDescent="0.2">
      <c r="A4" s="374" t="str">
        <f>+'Rate Case Constants'!C21</f>
        <v>FORECAST PERIOD FOR THE 12 MONTHS ENDED JUNE 30, 2016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</row>
    <row r="7" spans="1:32" x14ac:dyDescent="0.2">
      <c r="A7" t="str">
        <f>+'Rate Case Constants'!C33</f>
        <v>DATA: ____BASE PERIOD__X___FORECASTED PERIOD</v>
      </c>
      <c r="L7" s="208" t="str">
        <f>+'Rate Case Constants'!C25</f>
        <v>SCHEDULE N (Electric)</v>
      </c>
    </row>
    <row r="8" spans="1:32" x14ac:dyDescent="0.2">
      <c r="A8" t="str">
        <f>+'Rate Case Constants'!C29</f>
        <v>TYPE OF FILING: __X__ ORIGINAL  _____ UPDATED  _____ REVISED</v>
      </c>
      <c r="L8" s="209" t="str">
        <f>+'Rate Case Constants'!L12</f>
        <v>PAGE 5 of 22</v>
      </c>
    </row>
    <row r="9" spans="1:32" x14ac:dyDescent="0.2">
      <c r="A9" t="str">
        <f>+'Rate Case Constants'!C34</f>
        <v>WORKPAPER REFERENCE NO(S):________</v>
      </c>
      <c r="L9" s="209" t="str">
        <f>+'Rate Case Constants'!C37</f>
        <v>WITNESS:   R. M. CONROY</v>
      </c>
      <c r="Q9" s="30" t="s">
        <v>395</v>
      </c>
    </row>
    <row r="10" spans="1:32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Q10" s="86" t="s">
        <v>72</v>
      </c>
      <c r="R10">
        <f>+INPUT!K51</f>
        <v>-2.6064331940046096E-4</v>
      </c>
    </row>
    <row r="11" spans="1:32" x14ac:dyDescent="0.2">
      <c r="A11" s="45" t="s">
        <v>79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86" t="s">
        <v>74</v>
      </c>
      <c r="R11" s="30">
        <f>+INPUT!L51</f>
        <v>1.8800481721423399E-3</v>
      </c>
      <c r="S11" s="30"/>
      <c r="T11" s="30"/>
      <c r="U11" s="30"/>
      <c r="V11" s="34"/>
      <c r="W11" s="30"/>
      <c r="X11" s="30"/>
      <c r="Y11" s="30"/>
      <c r="Z11" s="30"/>
    </row>
    <row r="12" spans="1:32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86" t="s">
        <v>73</v>
      </c>
      <c r="R12" s="30">
        <f>+INPUT!M51</f>
        <v>9.0047594907992322E-3</v>
      </c>
      <c r="S12" s="30"/>
      <c r="T12" s="30"/>
      <c r="U12" s="30"/>
      <c r="V12" s="30"/>
      <c r="W12" s="30"/>
      <c r="X12" s="30"/>
      <c r="Y12" s="30"/>
      <c r="Z12" s="30"/>
    </row>
    <row r="13" spans="1:32" x14ac:dyDescent="0.2">
      <c r="A13" s="30"/>
      <c r="B13" s="30"/>
      <c r="C13" s="222" t="s">
        <v>362</v>
      </c>
      <c r="D13" s="223" t="s">
        <v>363</v>
      </c>
      <c r="E13" s="223" t="s">
        <v>364</v>
      </c>
      <c r="F13" s="222" t="s">
        <v>365</v>
      </c>
      <c r="G13" s="222" t="s">
        <v>366</v>
      </c>
      <c r="H13" s="222" t="s">
        <v>367</v>
      </c>
      <c r="I13" s="223" t="s">
        <v>368</v>
      </c>
      <c r="J13" s="222" t="s">
        <v>369</v>
      </c>
      <c r="K13" s="222" t="s">
        <v>370</v>
      </c>
      <c r="L13" s="222" t="s">
        <v>371</v>
      </c>
      <c r="M13" s="30"/>
      <c r="N13" s="30"/>
      <c r="O13" s="30"/>
      <c r="P13" s="30"/>
      <c r="Q13" s="30"/>
      <c r="R13" s="30"/>
      <c r="S13" s="30"/>
      <c r="U13" s="30"/>
      <c r="V13" s="30"/>
      <c r="W13" s="30"/>
      <c r="X13" s="30"/>
      <c r="Y13" s="30"/>
      <c r="Z13" s="30"/>
    </row>
    <row r="14" spans="1:32" x14ac:dyDescent="0.2">
      <c r="C14" s="351" t="s">
        <v>406</v>
      </c>
      <c r="D14" s="351" t="s">
        <v>406</v>
      </c>
      <c r="E14" s="226"/>
      <c r="F14" s="226"/>
      <c r="G14" s="226"/>
      <c r="H14" s="226"/>
      <c r="I14" s="226"/>
      <c r="J14" s="222" t="s">
        <v>5</v>
      </c>
      <c r="K14" s="222" t="s">
        <v>5</v>
      </c>
      <c r="L14" s="226"/>
      <c r="Q14" s="50" t="s">
        <v>62</v>
      </c>
      <c r="R14" s="50"/>
      <c r="S14" s="50"/>
      <c r="T14" s="3" t="s">
        <v>73</v>
      </c>
      <c r="V14" s="50" t="s">
        <v>63</v>
      </c>
      <c r="W14" s="50"/>
      <c r="X14" s="50"/>
      <c r="Y14" s="3" t="s">
        <v>73</v>
      </c>
      <c r="Z14" s="59"/>
    </row>
    <row r="15" spans="1:32" x14ac:dyDescent="0.2">
      <c r="C15" s="222" t="s">
        <v>1</v>
      </c>
      <c r="D15" s="222" t="s">
        <v>75</v>
      </c>
      <c r="E15" s="222"/>
      <c r="F15" s="222"/>
      <c r="G15" s="372" t="s">
        <v>136</v>
      </c>
      <c r="H15" s="372"/>
      <c r="I15" s="373"/>
      <c r="J15" s="222" t="s">
        <v>1</v>
      </c>
      <c r="K15" s="222" t="s">
        <v>75</v>
      </c>
      <c r="L15" s="222"/>
      <c r="Q15" s="26" t="s">
        <v>65</v>
      </c>
      <c r="R15" s="3"/>
      <c r="S15" s="26"/>
      <c r="T15" s="3" t="s">
        <v>1</v>
      </c>
      <c r="V15" s="26" t="s">
        <v>65</v>
      </c>
      <c r="W15" s="3"/>
      <c r="X15" s="26"/>
      <c r="Y15" s="3" t="s">
        <v>1</v>
      </c>
      <c r="Z15" s="26"/>
    </row>
    <row r="16" spans="1:32" x14ac:dyDescent="0.2">
      <c r="A16" s="3"/>
      <c r="B16" s="3"/>
      <c r="C16" s="222" t="s">
        <v>4</v>
      </c>
      <c r="D16" s="222" t="s">
        <v>4</v>
      </c>
      <c r="E16" s="222" t="s">
        <v>76</v>
      </c>
      <c r="F16" s="222" t="s">
        <v>76</v>
      </c>
      <c r="G16" s="222" t="s">
        <v>72</v>
      </c>
      <c r="H16" s="222" t="s">
        <v>74</v>
      </c>
      <c r="I16" s="222" t="s">
        <v>73</v>
      </c>
      <c r="J16" s="222" t="s">
        <v>4</v>
      </c>
      <c r="K16" s="222" t="s">
        <v>4</v>
      </c>
      <c r="L16" s="222" t="s">
        <v>76</v>
      </c>
      <c r="M16" s="3"/>
      <c r="N16" s="3"/>
      <c r="O16" s="3"/>
      <c r="P16" s="3"/>
      <c r="Q16" s="26" t="s">
        <v>64</v>
      </c>
      <c r="R16" s="3" t="s">
        <v>59</v>
      </c>
      <c r="S16" s="26" t="s">
        <v>5</v>
      </c>
      <c r="T16" s="3" t="s">
        <v>77</v>
      </c>
      <c r="V16" s="26" t="s">
        <v>64</v>
      </c>
      <c r="W16" s="3" t="s">
        <v>59</v>
      </c>
      <c r="X16" s="26" t="s">
        <v>5</v>
      </c>
      <c r="Y16" s="3" t="s">
        <v>77</v>
      </c>
      <c r="Z16" s="26"/>
      <c r="AB16" s="2"/>
      <c r="AC16" s="3" t="s">
        <v>6</v>
      </c>
      <c r="AD16" s="3"/>
      <c r="AE16" s="3" t="s">
        <v>8</v>
      </c>
      <c r="AF16" s="3"/>
    </row>
    <row r="17" spans="1:32" x14ac:dyDescent="0.2">
      <c r="A17" s="3" t="s">
        <v>51</v>
      </c>
      <c r="B17" s="3"/>
      <c r="C17" s="222"/>
      <c r="D17" s="222"/>
      <c r="E17" s="222" t="s">
        <v>70</v>
      </c>
      <c r="F17" s="223" t="s">
        <v>71</v>
      </c>
      <c r="G17" s="224"/>
      <c r="H17" s="224"/>
      <c r="I17" s="225"/>
      <c r="J17" s="222" t="s">
        <v>70</v>
      </c>
      <c r="K17" s="222" t="s">
        <v>70</v>
      </c>
      <c r="L17" s="223" t="s">
        <v>71</v>
      </c>
      <c r="M17" s="3"/>
      <c r="N17" s="3"/>
      <c r="O17" s="3"/>
      <c r="P17" s="3"/>
      <c r="Q17" s="315" t="s">
        <v>3</v>
      </c>
      <c r="R17" s="83" t="s">
        <v>3</v>
      </c>
      <c r="S17" s="315" t="s">
        <v>4</v>
      </c>
      <c r="T17" s="83" t="s">
        <v>3</v>
      </c>
      <c r="V17" s="315" t="s">
        <v>3</v>
      </c>
      <c r="W17" s="83" t="s">
        <v>3</v>
      </c>
      <c r="X17" s="315" t="s">
        <v>4</v>
      </c>
      <c r="Y17" s="83" t="s">
        <v>3</v>
      </c>
      <c r="Z17" s="60"/>
      <c r="AB17" s="2"/>
      <c r="AC17" s="3" t="s">
        <v>7</v>
      </c>
      <c r="AD17" s="3"/>
      <c r="AE17" s="3" t="s">
        <v>7</v>
      </c>
      <c r="AF17" s="3"/>
    </row>
    <row r="18" spans="1:32" x14ac:dyDescent="0.2">
      <c r="A18" s="3"/>
      <c r="B18" s="3"/>
      <c r="C18" s="222"/>
      <c r="D18" s="222"/>
      <c r="E18" s="222" t="str">
        <f>("[ "&amp;D13&amp;" - "&amp;C13&amp;" ]")</f>
        <v>[ B - A ]</v>
      </c>
      <c r="F18" s="222" t="str">
        <f>("[ "&amp;E13&amp;" / "&amp;C13&amp;" ]")</f>
        <v>[ C / A ]</v>
      </c>
      <c r="G18" s="224"/>
      <c r="H18" s="224"/>
      <c r="I18" s="224"/>
      <c r="J18" s="222" t="str">
        <f>("["&amp;C13&amp;"+"&amp;$G$13&amp;"+"&amp;$H$13&amp;"+"&amp;$I$13&amp;"]")</f>
        <v>[A+E+F+G]</v>
      </c>
      <c r="K18" s="222" t="str">
        <f>("["&amp;D13&amp;"+"&amp;$G$13&amp;"+"&amp;$H$13&amp;"+"&amp;$I$13&amp;"]")</f>
        <v>[B+E+F+G]</v>
      </c>
      <c r="L18" s="222" t="str">
        <f>("[("&amp;K13&amp;" - "&amp;J13&amp;")/"&amp;J13&amp;"]")</f>
        <v>[(I - H)/H]</v>
      </c>
      <c r="M18" s="3"/>
      <c r="N18" s="3"/>
      <c r="O18" s="3"/>
      <c r="P18" s="222"/>
      <c r="Q18" s="26"/>
      <c r="R18" s="33">
        <f>+INPUT!$F$6</f>
        <v>9.1340000000000005E-2</v>
      </c>
      <c r="S18" s="26"/>
      <c r="T18" s="43"/>
      <c r="V18" s="26"/>
      <c r="W18" s="33">
        <f>INPUT!$F$27</f>
        <v>9.2450000000000004E-2</v>
      </c>
      <c r="X18" s="26"/>
      <c r="Y18" s="43"/>
      <c r="Z18" s="26"/>
      <c r="AB18" s="2"/>
      <c r="AC18" s="3"/>
      <c r="AD18" s="3"/>
      <c r="AE18" s="3"/>
      <c r="AF18" s="3"/>
    </row>
    <row r="19" spans="1:32" x14ac:dyDescent="0.2">
      <c r="A19" s="3"/>
      <c r="B19" s="3"/>
      <c r="C19" s="3"/>
      <c r="D19" s="3"/>
      <c r="E19" s="222"/>
      <c r="F19" s="222"/>
      <c r="G19" s="3"/>
      <c r="H19" s="3"/>
      <c r="I19" s="3"/>
      <c r="J19" s="222"/>
      <c r="K19" s="3"/>
      <c r="L19" s="222"/>
      <c r="M19" s="3"/>
      <c r="N19" s="3"/>
      <c r="O19" s="3"/>
      <c r="P19" s="3"/>
      <c r="Q19" s="26"/>
      <c r="R19" s="3" t="s">
        <v>14</v>
      </c>
      <c r="S19" s="26"/>
      <c r="T19" s="3"/>
      <c r="V19" s="26"/>
      <c r="W19" s="3" t="s">
        <v>14</v>
      </c>
      <c r="X19" s="26"/>
      <c r="Y19" s="3"/>
      <c r="Z19" s="26"/>
      <c r="AB19" s="2"/>
      <c r="AC19" s="3"/>
      <c r="AD19" s="3"/>
      <c r="AE19" s="3"/>
      <c r="AF19" s="3"/>
    </row>
    <row r="20" spans="1:32" x14ac:dyDescent="0.2">
      <c r="A20" s="3"/>
      <c r="B20" s="3"/>
      <c r="C20" s="3"/>
      <c r="D20" s="3"/>
      <c r="E20" s="3"/>
      <c r="F20" s="3"/>
      <c r="G20" s="89"/>
      <c r="H20" s="89"/>
      <c r="I20" s="89"/>
      <c r="J20" s="89"/>
      <c r="K20" s="3"/>
      <c r="L20" s="3"/>
      <c r="M20" s="3"/>
      <c r="N20" s="3"/>
      <c r="O20" s="3"/>
      <c r="P20" s="3"/>
      <c r="R20" s="3"/>
      <c r="S20" s="3"/>
      <c r="T20" s="3"/>
      <c r="W20" s="3"/>
      <c r="X20" s="3"/>
      <c r="Y20" s="3"/>
      <c r="Z20" s="3"/>
    </row>
    <row r="21" spans="1:32" x14ac:dyDescent="0.2">
      <c r="A21" s="1">
        <v>500</v>
      </c>
      <c r="C21" s="93">
        <f>+S21</f>
        <v>80.67</v>
      </c>
      <c r="D21" s="93">
        <f>+X21</f>
        <v>86.224999999999994</v>
      </c>
      <c r="E21" s="29">
        <f>+D21-C21</f>
        <v>5.5549999999999926</v>
      </c>
      <c r="F21" s="57">
        <f>ROUND(+E21/C21,4)</f>
        <v>6.8900000000000003E-2</v>
      </c>
      <c r="G21" s="93">
        <f>ROUND($R$10*$A21,2)</f>
        <v>-0.13</v>
      </c>
      <c r="H21" s="93">
        <f>ROUND($R$11*$A21,2)</f>
        <v>0.94</v>
      </c>
      <c r="I21" s="93">
        <f>ROUND($R$12*$A21,2)</f>
        <v>4.5</v>
      </c>
      <c r="J21" s="93">
        <f>+C21+G21+H21+I21</f>
        <v>85.98</v>
      </c>
      <c r="K21" s="29">
        <f>+D21+G21+H21+I21</f>
        <v>91.534999999999997</v>
      </c>
      <c r="L21" s="57">
        <f>ROUND((K21-J21)/J21,4)</f>
        <v>6.4600000000000005E-2</v>
      </c>
      <c r="Q21" s="7">
        <f>+INPUT!$F$4</f>
        <v>35</v>
      </c>
      <c r="R21" s="6">
        <f>A21*$R$18</f>
        <v>45.67</v>
      </c>
      <c r="S21" s="6">
        <f>Q21+R21</f>
        <v>80.67</v>
      </c>
      <c r="T21" s="6"/>
      <c r="V21" s="7">
        <f>INPUT!$F$25</f>
        <v>40</v>
      </c>
      <c r="W21" s="6">
        <f>+$A21*W$18</f>
        <v>46.225000000000001</v>
      </c>
      <c r="X21" s="6">
        <f>V21+W21</f>
        <v>86.224999999999994</v>
      </c>
      <c r="Y21" s="6"/>
      <c r="Z21" s="6"/>
      <c r="AC21" s="6">
        <f>X21-S21</f>
        <v>5.5549999999999926</v>
      </c>
      <c r="AE21" s="8">
        <f>X21/S21-1</f>
        <v>6.8860790876410061E-2</v>
      </c>
      <c r="AF21" s="8"/>
    </row>
    <row r="22" spans="1:32" x14ac:dyDescent="0.2">
      <c r="C22" s="17"/>
      <c r="D22" s="17"/>
      <c r="G22" s="17"/>
      <c r="H22" s="17"/>
      <c r="I22" s="17"/>
      <c r="J22" s="17"/>
      <c r="Q22" s="7"/>
      <c r="R22" s="6"/>
      <c r="S22" s="6"/>
      <c r="T22" s="6"/>
      <c r="V22" s="7"/>
      <c r="W22" s="6"/>
      <c r="X22" s="6"/>
      <c r="Y22" s="6"/>
      <c r="Z22" s="6"/>
      <c r="AE22" s="8"/>
      <c r="AF22" s="8"/>
    </row>
    <row r="23" spans="1:32" x14ac:dyDescent="0.2">
      <c r="A23" s="1">
        <v>1000</v>
      </c>
      <c r="C23" s="93">
        <f>+S23</f>
        <v>126.34</v>
      </c>
      <c r="D23" s="93">
        <f>+X23</f>
        <v>132.44999999999999</v>
      </c>
      <c r="E23" s="29">
        <f>+D23-C23</f>
        <v>6.1099999999999852</v>
      </c>
      <c r="F23" s="57">
        <f>ROUND(+E23/C23,4)</f>
        <v>4.8399999999999999E-2</v>
      </c>
      <c r="G23" s="93">
        <f>ROUND($R$10*$A23,2)</f>
        <v>-0.26</v>
      </c>
      <c r="H23" s="93">
        <f>ROUND($R$11*$A23,2)</f>
        <v>1.88</v>
      </c>
      <c r="I23" s="93">
        <f>ROUND($R$12*$A23,2)</f>
        <v>9</v>
      </c>
      <c r="J23" s="93">
        <f>+C23+G23+H23+I23</f>
        <v>136.95999999999998</v>
      </c>
      <c r="K23" s="29">
        <f>+D23+G23+H23+I23</f>
        <v>143.07</v>
      </c>
      <c r="L23" s="57">
        <f>ROUND((K23-J23)/J23,4)</f>
        <v>4.4600000000000001E-2</v>
      </c>
      <c r="Q23" s="7">
        <f>$Q$21</f>
        <v>35</v>
      </c>
      <c r="R23" s="6">
        <f>A23*$R$18</f>
        <v>91.34</v>
      </c>
      <c r="S23" s="6">
        <f>Q23+R23</f>
        <v>126.34</v>
      </c>
      <c r="T23" s="6"/>
      <c r="V23" s="7">
        <f>+$V$21</f>
        <v>40</v>
      </c>
      <c r="W23" s="6">
        <f>+$A23*W$18</f>
        <v>92.45</v>
      </c>
      <c r="X23" s="6">
        <f>V23+W23</f>
        <v>132.44999999999999</v>
      </c>
      <c r="Y23" s="6"/>
      <c r="Z23" s="6"/>
      <c r="AC23" s="6">
        <f>X23-S23</f>
        <v>6.1099999999999852</v>
      </c>
      <c r="AE23" s="8">
        <f>X23/S23-1</f>
        <v>4.8361564033560178E-2</v>
      </c>
      <c r="AF23" s="8"/>
    </row>
    <row r="24" spans="1:32" x14ac:dyDescent="0.2">
      <c r="C24" s="93"/>
      <c r="D24" s="93"/>
      <c r="E24" s="29"/>
      <c r="F24" s="57"/>
      <c r="G24" s="93"/>
      <c r="H24" s="93"/>
      <c r="I24" s="93"/>
      <c r="J24" s="93"/>
      <c r="K24" s="29"/>
      <c r="L24" s="57"/>
      <c r="Q24" s="58"/>
      <c r="R24" s="6"/>
      <c r="S24" s="6"/>
      <c r="T24" s="6"/>
      <c r="V24" s="7"/>
      <c r="W24" s="6"/>
      <c r="X24" s="6"/>
      <c r="Y24" s="6"/>
      <c r="Z24" s="6"/>
      <c r="AE24" s="27"/>
      <c r="AF24" s="27"/>
    </row>
    <row r="25" spans="1:32" s="10" customFormat="1" x14ac:dyDescent="0.2">
      <c r="A25" s="1">
        <v>2500</v>
      </c>
      <c r="B25"/>
      <c r="C25" s="93">
        <f>+S25</f>
        <v>263.35000000000002</v>
      </c>
      <c r="D25" s="93">
        <f>+X25</f>
        <v>271.125</v>
      </c>
      <c r="E25" s="29">
        <f>+D25-C25</f>
        <v>7.7749999999999773</v>
      </c>
      <c r="F25" s="57">
        <f>ROUND(+E25/C25,4)</f>
        <v>2.9499999999999998E-2</v>
      </c>
      <c r="G25" s="93">
        <f>ROUND($R$10*$A25,2)</f>
        <v>-0.65</v>
      </c>
      <c r="H25" s="93">
        <f>ROUND($R$11*$A25,2)</f>
        <v>4.7</v>
      </c>
      <c r="I25" s="93">
        <f>ROUND($R$12*$A25,2)</f>
        <v>22.51</v>
      </c>
      <c r="J25" s="93">
        <f>+C25+G25+H25+I25</f>
        <v>289.91000000000003</v>
      </c>
      <c r="K25" s="29">
        <f>+D25+G25+H25+I25</f>
        <v>297.685</v>
      </c>
      <c r="L25" s="57">
        <f>ROUND((K25-J25)/J25,4)</f>
        <v>2.6800000000000001E-2</v>
      </c>
      <c r="Q25" s="58">
        <f>$Q$21</f>
        <v>35</v>
      </c>
      <c r="R25" s="6">
        <f>A25*$R$18</f>
        <v>228.35000000000002</v>
      </c>
      <c r="S25" s="11">
        <f>Q25+R25</f>
        <v>263.35000000000002</v>
      </c>
      <c r="T25" s="6"/>
      <c r="V25" s="7">
        <f>+$V$21</f>
        <v>40</v>
      </c>
      <c r="W25" s="6">
        <f>+$A25*W$18</f>
        <v>231.125</v>
      </c>
      <c r="X25" s="11">
        <f>V25+W25</f>
        <v>271.125</v>
      </c>
      <c r="Y25" s="6"/>
      <c r="Z25" s="11"/>
      <c r="AC25" s="11">
        <f>X25-S25</f>
        <v>7.7749999999999773</v>
      </c>
      <c r="AE25" s="27">
        <f>X25/S25-1</f>
        <v>2.9523447883045284E-2</v>
      </c>
      <c r="AF25" s="27"/>
    </row>
    <row r="26" spans="1:32" x14ac:dyDescent="0.2">
      <c r="C26" s="17"/>
      <c r="D26" s="17"/>
      <c r="G26" s="17"/>
      <c r="H26" s="17"/>
      <c r="I26" s="17"/>
      <c r="J26" s="17"/>
      <c r="Q26" s="7"/>
      <c r="R26" s="6"/>
      <c r="S26" s="6"/>
      <c r="T26" s="6"/>
      <c r="V26" s="7"/>
      <c r="W26" s="6"/>
      <c r="X26" s="6"/>
      <c r="Y26" s="6"/>
      <c r="Z26" s="6"/>
      <c r="AE26" s="8"/>
      <c r="AF26" s="8"/>
    </row>
    <row r="27" spans="1:32" x14ac:dyDescent="0.2">
      <c r="A27" s="14">
        <v>5000</v>
      </c>
      <c r="C27" s="93">
        <f>+S27</f>
        <v>491.70000000000005</v>
      </c>
      <c r="D27" s="93">
        <f>+X27</f>
        <v>502.25</v>
      </c>
      <c r="E27" s="29">
        <f>+D27-C27</f>
        <v>10.549999999999955</v>
      </c>
      <c r="F27" s="57">
        <f>ROUND(+E27/C27,4)</f>
        <v>2.1499999999999998E-2</v>
      </c>
      <c r="G27" s="93">
        <f>ROUND($R$10*$A27,2)</f>
        <v>-1.3</v>
      </c>
      <c r="H27" s="93">
        <f>ROUND($R$11*$A27,2)</f>
        <v>9.4</v>
      </c>
      <c r="I27" s="93">
        <f>ROUND($R$12*$A27,2)</f>
        <v>45.02</v>
      </c>
      <c r="J27" s="93">
        <f>+C27+G27+H27+I27</f>
        <v>544.82000000000005</v>
      </c>
      <c r="K27" s="29">
        <f>+D27+G27+H27+I27</f>
        <v>555.37</v>
      </c>
      <c r="L27" s="57">
        <f>ROUND((K27-J27)/J27,4)</f>
        <v>1.9400000000000001E-2</v>
      </c>
      <c r="Q27" s="7">
        <f>$Q$21</f>
        <v>35</v>
      </c>
      <c r="R27" s="6">
        <f>A27*$R$18</f>
        <v>456.70000000000005</v>
      </c>
      <c r="S27" s="6">
        <f>Q27+R27</f>
        <v>491.70000000000005</v>
      </c>
      <c r="T27" s="6"/>
      <c r="V27" s="7">
        <f>+$V$21</f>
        <v>40</v>
      </c>
      <c r="W27" s="6">
        <f>+$A27*W$18</f>
        <v>462.25</v>
      </c>
      <c r="X27" s="6">
        <f>V27+W27</f>
        <v>502.25</v>
      </c>
      <c r="Y27" s="6"/>
      <c r="Z27" s="6"/>
      <c r="AC27" s="6">
        <f>X27-S27</f>
        <v>10.549999999999955</v>
      </c>
      <c r="AE27" s="8">
        <f>X27/S27-1</f>
        <v>2.1456172462883671E-2</v>
      </c>
      <c r="AF27" s="8"/>
    </row>
    <row r="28" spans="1:32" x14ac:dyDescent="0.2">
      <c r="C28" s="17"/>
      <c r="D28" s="17"/>
      <c r="G28" s="17"/>
      <c r="H28" s="17"/>
      <c r="I28" s="17"/>
      <c r="J28" s="17"/>
      <c r="Q28" s="7"/>
      <c r="R28" s="6"/>
      <c r="S28" s="6"/>
      <c r="T28" s="6"/>
      <c r="V28" s="7"/>
      <c r="W28" s="6"/>
      <c r="X28" s="6"/>
      <c r="Y28" s="6"/>
      <c r="Z28" s="6"/>
      <c r="AE28" s="8"/>
      <c r="AF28" s="8"/>
    </row>
    <row r="29" spans="1:32" x14ac:dyDescent="0.2">
      <c r="A29" s="1">
        <v>7500</v>
      </c>
      <c r="C29" s="93">
        <f>+S29</f>
        <v>720.05000000000007</v>
      </c>
      <c r="D29" s="93">
        <f>+X29</f>
        <v>733.375</v>
      </c>
      <c r="E29" s="29">
        <f>+D29-C29</f>
        <v>13.324999999999932</v>
      </c>
      <c r="F29" s="57">
        <f>ROUND(+E29/C29,4)</f>
        <v>1.8499999999999999E-2</v>
      </c>
      <c r="G29" s="93">
        <f>ROUND($R$10*$A29,2)</f>
        <v>-1.95</v>
      </c>
      <c r="H29" s="93">
        <f>ROUND($R$11*$A29,2)</f>
        <v>14.1</v>
      </c>
      <c r="I29" s="93">
        <f>ROUND($R$12*$A29,2)</f>
        <v>67.540000000000006</v>
      </c>
      <c r="J29" s="93">
        <f>+C29+G29+H29+I29</f>
        <v>799.74</v>
      </c>
      <c r="K29" s="29">
        <f>+D29+G29+H29+I29</f>
        <v>813.06499999999994</v>
      </c>
      <c r="L29" s="57">
        <f>ROUND((K29-J29)/J29,4)</f>
        <v>1.67E-2</v>
      </c>
      <c r="Q29" s="7">
        <f>$Q$21</f>
        <v>35</v>
      </c>
      <c r="R29" s="6">
        <f>A29*$R$18</f>
        <v>685.05000000000007</v>
      </c>
      <c r="S29" s="6">
        <f>Q29+R29</f>
        <v>720.05000000000007</v>
      </c>
      <c r="T29" s="6"/>
      <c r="V29" s="7">
        <f>+$V$21</f>
        <v>40</v>
      </c>
      <c r="W29" s="6">
        <f>+$A29*W$18</f>
        <v>693.375</v>
      </c>
      <c r="X29" s="6">
        <f>V29+W29</f>
        <v>733.375</v>
      </c>
      <c r="Y29" s="6"/>
      <c r="Z29" s="6"/>
      <c r="AC29" s="6">
        <f>X29-S29</f>
        <v>13.324999999999932</v>
      </c>
      <c r="AE29" s="8">
        <f>X29/S29-1</f>
        <v>1.850565932921322E-2</v>
      </c>
      <c r="AF29" s="8"/>
    </row>
    <row r="30" spans="1:32" x14ac:dyDescent="0.2">
      <c r="C30" s="17"/>
      <c r="D30" s="17"/>
      <c r="G30" s="17"/>
      <c r="H30" s="17"/>
      <c r="I30" s="17"/>
      <c r="J30" s="17"/>
      <c r="Q30" s="7"/>
      <c r="R30" s="6"/>
      <c r="S30" s="6"/>
      <c r="T30" s="6"/>
      <c r="V30" s="7"/>
      <c r="W30" s="6"/>
      <c r="X30" s="6"/>
      <c r="Y30" s="6"/>
      <c r="Z30" s="6"/>
      <c r="AE30" s="8"/>
      <c r="AF30" s="8"/>
    </row>
    <row r="31" spans="1:32" x14ac:dyDescent="0.2">
      <c r="A31" s="1">
        <v>10000</v>
      </c>
      <c r="C31" s="93">
        <f>+S31</f>
        <v>948.40000000000009</v>
      </c>
      <c r="D31" s="93">
        <f>+X31</f>
        <v>964.5</v>
      </c>
      <c r="E31" s="29">
        <f>+D31-C31</f>
        <v>16.099999999999909</v>
      </c>
      <c r="F31" s="57">
        <f>ROUND(+E31/C31,4)</f>
        <v>1.7000000000000001E-2</v>
      </c>
      <c r="G31" s="93">
        <f>ROUND($R$10*$A31,2)</f>
        <v>-2.61</v>
      </c>
      <c r="H31" s="93">
        <f>ROUND($R$11*$A31,2)</f>
        <v>18.8</v>
      </c>
      <c r="I31" s="93">
        <f>ROUND($R$12*$A31,2)</f>
        <v>90.05</v>
      </c>
      <c r="J31" s="93">
        <f>+C31+G31+H31+I31</f>
        <v>1054.6400000000001</v>
      </c>
      <c r="K31" s="29">
        <f>+D31+G31+H31+I31</f>
        <v>1070.74</v>
      </c>
      <c r="L31" s="57">
        <f>ROUND((K31-J31)/J31,4)</f>
        <v>1.5299999999999999E-2</v>
      </c>
      <c r="Q31" s="7">
        <f>$Q$21</f>
        <v>35</v>
      </c>
      <c r="R31" s="6">
        <f>A31*$R$18</f>
        <v>913.40000000000009</v>
      </c>
      <c r="S31" s="6">
        <f>Q31+R31</f>
        <v>948.40000000000009</v>
      </c>
      <c r="T31" s="6"/>
      <c r="V31" s="7">
        <f>+$V$21</f>
        <v>40</v>
      </c>
      <c r="W31" s="6">
        <f>+$A31*W$18</f>
        <v>924.5</v>
      </c>
      <c r="X31" s="6">
        <f>V31+W31</f>
        <v>964.5</v>
      </c>
      <c r="Y31" s="6"/>
      <c r="Z31" s="6"/>
      <c r="AC31" s="6">
        <f>X31-S31</f>
        <v>16.099999999999909</v>
      </c>
      <c r="AE31" s="8">
        <f>X31/S31-1</f>
        <v>1.6975959510754812E-2</v>
      </c>
      <c r="AF31" s="8"/>
    </row>
    <row r="32" spans="1:32" x14ac:dyDescent="0.2">
      <c r="A32" s="1"/>
      <c r="C32" s="17"/>
      <c r="D32" s="17"/>
      <c r="G32" s="17"/>
      <c r="H32" s="17"/>
      <c r="I32" s="17"/>
      <c r="J32" s="17"/>
      <c r="Q32" s="7"/>
      <c r="R32" s="6"/>
      <c r="S32" s="6"/>
      <c r="T32" s="6"/>
      <c r="V32" s="7"/>
      <c r="W32" s="6"/>
      <c r="X32" s="6"/>
      <c r="Y32" s="6"/>
      <c r="Z32" s="6"/>
      <c r="AE32" s="8"/>
      <c r="AF32" s="8"/>
    </row>
    <row r="33" spans="1:32" x14ac:dyDescent="0.2">
      <c r="A33" s="1">
        <v>15000</v>
      </c>
      <c r="C33" s="93">
        <f>+S33</f>
        <v>1405.1000000000001</v>
      </c>
      <c r="D33" s="93">
        <f>+X33</f>
        <v>1426.75</v>
      </c>
      <c r="E33" s="29">
        <f>+D33-C33</f>
        <v>21.649999999999864</v>
      </c>
      <c r="F33" s="57">
        <f>ROUND(+E33/C33,4)</f>
        <v>1.54E-2</v>
      </c>
      <c r="G33" s="93">
        <f>ROUND($R$10*$A33,2)</f>
        <v>-3.91</v>
      </c>
      <c r="H33" s="93">
        <f>ROUND($R$11*$A33,2)</f>
        <v>28.2</v>
      </c>
      <c r="I33" s="93">
        <f>ROUND($R$12*$A33,2)</f>
        <v>135.07</v>
      </c>
      <c r="J33" s="93">
        <f>+C33+G33+H33+I33</f>
        <v>1564.46</v>
      </c>
      <c r="K33" s="29">
        <f>+D33+G33+H33+I33</f>
        <v>1586.11</v>
      </c>
      <c r="L33" s="57">
        <f>ROUND((K33-J33)/J33,4)</f>
        <v>1.38E-2</v>
      </c>
      <c r="Q33" s="7">
        <f>$Q$21</f>
        <v>35</v>
      </c>
      <c r="R33" s="6">
        <f>A33*$R$18</f>
        <v>1370.1000000000001</v>
      </c>
      <c r="S33" s="6">
        <f>Q33+R33</f>
        <v>1405.1000000000001</v>
      </c>
      <c r="T33" s="6"/>
      <c r="V33" s="7">
        <f>+$V$21</f>
        <v>40</v>
      </c>
      <c r="W33" s="6">
        <f>+$A33*W$18</f>
        <v>1386.75</v>
      </c>
      <c r="X33" s="6">
        <f>V33+W33</f>
        <v>1426.75</v>
      </c>
      <c r="Y33" s="6"/>
      <c r="Z33" s="6"/>
      <c r="AC33" s="6">
        <f>X33-S33</f>
        <v>21.649999999999864</v>
      </c>
      <c r="AE33" s="8">
        <f>X33/S33-1</f>
        <v>1.540815600313139E-2</v>
      </c>
      <c r="AF33" s="8"/>
    </row>
    <row r="34" spans="1:32" x14ac:dyDescent="0.2">
      <c r="C34" s="17"/>
      <c r="D34" s="17"/>
      <c r="G34" s="17"/>
      <c r="H34" s="17"/>
      <c r="I34" s="17"/>
      <c r="J34" s="17"/>
      <c r="Q34" s="7"/>
      <c r="R34" s="6"/>
      <c r="S34" s="6"/>
      <c r="T34" s="6"/>
      <c r="V34" s="7"/>
      <c r="W34" s="6"/>
      <c r="X34" s="6"/>
      <c r="Y34" s="6"/>
      <c r="Z34" s="6"/>
      <c r="AE34" s="8"/>
      <c r="AF34" s="8"/>
    </row>
    <row r="35" spans="1:32" x14ac:dyDescent="0.2">
      <c r="A35" s="1">
        <v>20000</v>
      </c>
      <c r="C35" s="93">
        <f>+S35</f>
        <v>1861.8000000000002</v>
      </c>
      <c r="D35" s="93">
        <f>+X35</f>
        <v>1889</v>
      </c>
      <c r="E35" s="29">
        <f>+D35-C35</f>
        <v>27.199999999999818</v>
      </c>
      <c r="F35" s="57">
        <f>ROUND(+E35/C35,4)</f>
        <v>1.46E-2</v>
      </c>
      <c r="G35" s="93">
        <f>ROUND($R$10*$A35,2)</f>
        <v>-5.21</v>
      </c>
      <c r="H35" s="93">
        <f>ROUND($R$11*$A35,2)</f>
        <v>37.6</v>
      </c>
      <c r="I35" s="93">
        <f>ROUND($R$12*$A35,2)</f>
        <v>180.1</v>
      </c>
      <c r="J35" s="93">
        <f>+C35+G35+H35+I35</f>
        <v>2074.29</v>
      </c>
      <c r="K35" s="29">
        <f>+D35+G35+H35+I35</f>
        <v>2101.4899999999998</v>
      </c>
      <c r="L35" s="57">
        <f>ROUND((K35-J35)/J35,4)</f>
        <v>1.3100000000000001E-2</v>
      </c>
      <c r="Q35" s="7">
        <f>$Q$21</f>
        <v>35</v>
      </c>
      <c r="R35" s="6">
        <f>A35*$R$18</f>
        <v>1826.8000000000002</v>
      </c>
      <c r="S35" s="6">
        <f>Q35+R35</f>
        <v>1861.8000000000002</v>
      </c>
      <c r="T35" s="6"/>
      <c r="V35" s="7">
        <f>+$V$21</f>
        <v>40</v>
      </c>
      <c r="W35" s="6">
        <f>+$A35*W$18</f>
        <v>1849</v>
      </c>
      <c r="X35" s="6">
        <f>V35+W35</f>
        <v>1889</v>
      </c>
      <c r="Y35" s="6"/>
      <c r="Z35" s="6"/>
      <c r="AE35" s="8"/>
      <c r="AF35" s="8"/>
    </row>
    <row r="36" spans="1:32" x14ac:dyDescent="0.2">
      <c r="C36" s="17"/>
      <c r="D36" s="17"/>
      <c r="G36" s="17"/>
      <c r="H36" s="17"/>
      <c r="I36" s="17"/>
      <c r="J36" s="17"/>
      <c r="Q36" s="7"/>
      <c r="R36" s="6"/>
      <c r="S36" s="6"/>
      <c r="T36" s="6"/>
      <c r="V36" s="7"/>
      <c r="W36" s="6"/>
      <c r="X36" s="6"/>
      <c r="Y36" s="6"/>
      <c r="Z36" s="6"/>
      <c r="AE36" s="8"/>
      <c r="AF36" s="8"/>
    </row>
    <row r="37" spans="1:32" x14ac:dyDescent="0.2">
      <c r="Q37" s="7"/>
    </row>
    <row r="38" spans="1:32" x14ac:dyDescent="0.2">
      <c r="A38" s="17" t="s">
        <v>373</v>
      </c>
    </row>
    <row r="39" spans="1:32" x14ac:dyDescent="0.2">
      <c r="A39" s="228" t="str">
        <f>("Average usage = "&amp;TEXT(INPUT!F19*1,"0,000")&amp;" kWh per month")</f>
        <v>Average usage = 5,061 kWh per month</v>
      </c>
    </row>
    <row r="40" spans="1:32" x14ac:dyDescent="0.2">
      <c r="A40" s="230" t="s">
        <v>375</v>
      </c>
    </row>
    <row r="41" spans="1:32" x14ac:dyDescent="0.2">
      <c r="A41" s="230" t="str">
        <f>+'Rate Case Constants'!C26</f>
        <v>Calculations may vary from other schedules due to rounding</v>
      </c>
    </row>
    <row r="42" spans="1:32" ht="12" customHeight="1" x14ac:dyDescent="0.2"/>
  </sheetData>
  <mergeCells count="5">
    <mergeCell ref="A1:L1"/>
    <mergeCell ref="A2:L2"/>
    <mergeCell ref="A3:L3"/>
    <mergeCell ref="A4:L4"/>
    <mergeCell ref="G15:I15"/>
  </mergeCells>
  <printOptions horizontalCentered="1"/>
  <pageMargins left="0.25" right="0.25" top="1" bottom="0.5" header="1" footer="0.5"/>
  <pageSetup scale="9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5"/>
  <sheetViews>
    <sheetView view="pageBreakPreview" zoomScaleNormal="100" zoomScaleSheetLayoutView="100" workbookViewId="0">
      <selection activeCell="R33" sqref="R33"/>
    </sheetView>
  </sheetViews>
  <sheetFormatPr defaultRowHeight="12.75" x14ac:dyDescent="0.2"/>
  <cols>
    <col min="1" max="1" width="6.140625" customWidth="1"/>
    <col min="2" max="2" width="2.140625" customWidth="1"/>
    <col min="3" max="3" width="7.28515625" bestFit="1" customWidth="1"/>
    <col min="4" max="4" width="2.5703125" customWidth="1"/>
    <col min="5" max="5" width="8.140625" customWidth="1"/>
    <col min="6" max="6" width="3" customWidth="1"/>
    <col min="7" max="8" width="12.28515625" bestFit="1" customWidth="1"/>
    <col min="9" max="9" width="10.28515625" bestFit="1" customWidth="1"/>
    <col min="10" max="10" width="9.28515625" bestFit="1" customWidth="1"/>
    <col min="11" max="11" width="10.7109375" bestFit="1" customWidth="1"/>
    <col min="12" max="12" width="10" bestFit="1" customWidth="1"/>
    <col min="13" max="13" width="11.5703125" customWidth="1"/>
    <col min="14" max="15" width="12.28515625" bestFit="1" customWidth="1"/>
    <col min="16" max="16" width="10.85546875" customWidth="1"/>
    <col min="17" max="17" width="5.5703125" customWidth="1"/>
    <col min="18" max="18" width="5" customWidth="1"/>
    <col min="19" max="19" width="10.85546875" customWidth="1"/>
    <col min="20" max="20" width="10.85546875" bestFit="1" customWidth="1"/>
    <col min="21" max="21" width="11.42578125" customWidth="1"/>
    <col min="22" max="22" width="2" customWidth="1"/>
    <col min="23" max="23" width="11.85546875" bestFit="1" customWidth="1"/>
    <col min="24" max="24" width="4.7109375" customWidth="1"/>
    <col min="25" max="25" width="13" customWidth="1"/>
    <col min="26" max="26" width="5" customWidth="1"/>
    <col min="27" max="27" width="3.140625" customWidth="1"/>
    <col min="28" max="28" width="16.28515625" bestFit="1" customWidth="1"/>
    <col min="29" max="30" width="12" bestFit="1" customWidth="1"/>
    <col min="31" max="31" width="4.5703125" customWidth="1"/>
    <col min="32" max="32" width="12" bestFit="1" customWidth="1"/>
    <col min="33" max="33" width="3.28515625" customWidth="1"/>
    <col min="34" max="34" width="12.140625" bestFit="1" customWidth="1"/>
    <col min="35" max="36" width="12.5703125" bestFit="1" customWidth="1"/>
  </cols>
  <sheetData>
    <row r="1" spans="1:42" x14ac:dyDescent="0.2">
      <c r="A1" s="377" t="str">
        <f>+'Rate Case Constants'!C9</f>
        <v>LOUISVILLE GAS AND ELECTRIC COMPANY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</row>
    <row r="2" spans="1:42" x14ac:dyDescent="0.2">
      <c r="A2" s="379" t="str">
        <f>+'Rate Case Constants'!A2:C2</f>
        <v>Rate Case Constants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</row>
    <row r="3" spans="1:42" x14ac:dyDescent="0.2">
      <c r="A3" s="378" t="str">
        <f>+'Rate Case Constants'!C24</f>
        <v>Typical Electric Bill Comparison under Present &amp; Proposed Rates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</row>
    <row r="4" spans="1:42" x14ac:dyDescent="0.2">
      <c r="A4" s="379" t="str">
        <f>+'Rate Case Constants'!A3:C3</f>
        <v>For the 2014 Rate Case Filing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</row>
    <row r="7" spans="1:42" x14ac:dyDescent="0.2">
      <c r="A7" t="str">
        <f>+'Rate Case Constants'!C33</f>
        <v>DATA: ____BASE PERIOD__X___FORECASTED PERIOD</v>
      </c>
      <c r="P7" s="208" t="str">
        <f>+'Rate Case Constants'!C25</f>
        <v>SCHEDULE N (Electric)</v>
      </c>
    </row>
    <row r="8" spans="1:42" x14ac:dyDescent="0.2">
      <c r="A8" t="str">
        <f>+'Rate Case Constants'!C29</f>
        <v>TYPE OF FILING: __X__ ORIGINAL  _____ UPDATED  _____ REVISED</v>
      </c>
      <c r="L8" s="209"/>
      <c r="P8" s="209" t="str">
        <f>+'Rate Case Constants'!L13</f>
        <v>PAGE 6 of 22</v>
      </c>
    </row>
    <row r="9" spans="1:42" x14ac:dyDescent="0.2">
      <c r="A9" t="str">
        <f>+'Rate Case Constants'!C34</f>
        <v>WORKPAPER REFERENCE NO(S):________</v>
      </c>
      <c r="P9" s="209" t="str">
        <f>+'Rate Case Constants'!C37</f>
        <v>WITNESS:   R. M. CONROY</v>
      </c>
    </row>
    <row r="10" spans="1:42" x14ac:dyDescent="0.2">
      <c r="A10" s="205"/>
      <c r="B10" s="16"/>
      <c r="C10" s="16"/>
      <c r="D10" s="16"/>
      <c r="E10" s="20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S10" s="86" t="s">
        <v>72</v>
      </c>
      <c r="T10">
        <f>+INPUT!G52</f>
        <v>-2.6511915197152631E-4</v>
      </c>
    </row>
    <row r="11" spans="1:42" x14ac:dyDescent="0.2">
      <c r="A11" s="45" t="s">
        <v>316</v>
      </c>
      <c r="B11" s="2"/>
      <c r="C11" s="2"/>
      <c r="S11" s="86" t="s">
        <v>74</v>
      </c>
      <c r="T11">
        <f>+INPUT!H52</f>
        <v>1.8840743335601156E-3</v>
      </c>
    </row>
    <row r="12" spans="1:42" x14ac:dyDescent="0.2">
      <c r="B12" s="2"/>
      <c r="C12" s="2"/>
      <c r="S12" s="86" t="s">
        <v>73</v>
      </c>
      <c r="T12">
        <f>+INPUT!I52</f>
        <v>9.0496656375661632E-3</v>
      </c>
    </row>
    <row r="13" spans="1:42" x14ac:dyDescent="0.2">
      <c r="A13" s="45"/>
      <c r="G13" s="222" t="s">
        <v>362</v>
      </c>
      <c r="H13" s="223" t="s">
        <v>363</v>
      </c>
      <c r="I13" s="223" t="s">
        <v>364</v>
      </c>
      <c r="J13" s="222" t="s">
        <v>365</v>
      </c>
      <c r="K13" s="222" t="s">
        <v>366</v>
      </c>
      <c r="L13" s="222" t="s">
        <v>367</v>
      </c>
      <c r="M13" s="223" t="s">
        <v>368</v>
      </c>
      <c r="N13" s="222" t="s">
        <v>369</v>
      </c>
      <c r="O13" s="222" t="s">
        <v>370</v>
      </c>
      <c r="P13" s="222" t="s">
        <v>371</v>
      </c>
      <c r="Y13" s="3" t="s">
        <v>73</v>
      </c>
      <c r="Z13" s="3"/>
      <c r="AG13" s="30"/>
      <c r="AH13" s="3" t="s">
        <v>73</v>
      </c>
      <c r="AI13" s="30"/>
      <c r="AJ13" s="30"/>
      <c r="AK13" s="30"/>
      <c r="AL13" s="30"/>
      <c r="AM13" s="30"/>
      <c r="AN13" s="30"/>
      <c r="AO13" s="30"/>
      <c r="AP13" s="30"/>
    </row>
    <row r="14" spans="1:42" x14ac:dyDescent="0.2">
      <c r="G14" s="351" t="s">
        <v>406</v>
      </c>
      <c r="H14" s="351" t="s">
        <v>406</v>
      </c>
      <c r="I14" s="226"/>
      <c r="J14" s="226"/>
      <c r="K14" s="226"/>
      <c r="L14" s="226"/>
      <c r="M14" s="226"/>
      <c r="N14" s="222" t="s">
        <v>5</v>
      </c>
      <c r="O14" s="222" t="s">
        <v>5</v>
      </c>
      <c r="P14" s="226"/>
      <c r="S14" s="3" t="s">
        <v>1</v>
      </c>
      <c r="T14" s="3" t="s">
        <v>1</v>
      </c>
      <c r="U14" s="3" t="s">
        <v>1</v>
      </c>
      <c r="W14" s="3" t="s">
        <v>1</v>
      </c>
      <c r="Y14" s="3" t="s">
        <v>1</v>
      </c>
      <c r="Z14" s="3"/>
      <c r="AB14" s="3" t="s">
        <v>9</v>
      </c>
      <c r="AC14" s="3" t="s">
        <v>9</v>
      </c>
      <c r="AD14" s="21" t="s">
        <v>9</v>
      </c>
      <c r="AE14" s="20"/>
      <c r="AF14" s="21" t="s">
        <v>9</v>
      </c>
      <c r="AG14" s="20"/>
      <c r="AH14" s="3" t="s">
        <v>1</v>
      </c>
      <c r="AI14" s="20"/>
      <c r="AK14" s="30"/>
      <c r="AM14" s="30"/>
      <c r="AN14" s="30"/>
    </row>
    <row r="15" spans="1:42" x14ac:dyDescent="0.2">
      <c r="C15" s="3" t="s">
        <v>27</v>
      </c>
      <c r="E15" s="3"/>
      <c r="F15" s="3"/>
      <c r="G15" s="222" t="s">
        <v>1</v>
      </c>
      <c r="H15" s="222" t="s">
        <v>75</v>
      </c>
      <c r="I15" s="222"/>
      <c r="J15" s="222"/>
      <c r="K15" s="372" t="s">
        <v>136</v>
      </c>
      <c r="L15" s="372"/>
      <c r="M15" s="373"/>
      <c r="N15" s="222" t="s">
        <v>1</v>
      </c>
      <c r="O15" s="222" t="s">
        <v>75</v>
      </c>
      <c r="P15" s="222"/>
      <c r="Q15" s="3"/>
      <c r="R15" s="3"/>
      <c r="S15" s="3" t="s">
        <v>2</v>
      </c>
      <c r="T15" s="3" t="s">
        <v>59</v>
      </c>
      <c r="U15" s="3" t="s">
        <v>28</v>
      </c>
      <c r="V15" s="3"/>
      <c r="W15" s="3" t="s">
        <v>5</v>
      </c>
      <c r="Y15" s="3" t="s">
        <v>77</v>
      </c>
      <c r="Z15" s="3"/>
      <c r="AB15" s="26" t="s">
        <v>58</v>
      </c>
      <c r="AC15" s="3" t="s">
        <v>59</v>
      </c>
      <c r="AD15" s="22" t="s">
        <v>18</v>
      </c>
      <c r="AE15" s="21"/>
      <c r="AF15" s="21" t="s">
        <v>5</v>
      </c>
      <c r="AG15" s="23"/>
      <c r="AH15" s="3" t="s">
        <v>77</v>
      </c>
      <c r="AI15" s="21" t="s">
        <v>6</v>
      </c>
      <c r="AJ15" s="3" t="s">
        <v>8</v>
      </c>
      <c r="AK15" s="48"/>
      <c r="AL15" s="48"/>
      <c r="AM15" s="47"/>
      <c r="AN15" s="47"/>
      <c r="AO15" s="47"/>
      <c r="AP15" s="47"/>
    </row>
    <row r="16" spans="1:42" x14ac:dyDescent="0.2">
      <c r="A16" s="3" t="s">
        <v>53</v>
      </c>
      <c r="C16" s="3" t="s">
        <v>24</v>
      </c>
      <c r="E16" s="3" t="s">
        <v>52</v>
      </c>
      <c r="F16" s="3"/>
      <c r="G16" s="222" t="s">
        <v>4</v>
      </c>
      <c r="H16" s="222" t="s">
        <v>4</v>
      </c>
      <c r="I16" s="222" t="s">
        <v>76</v>
      </c>
      <c r="J16" s="222" t="s">
        <v>76</v>
      </c>
      <c r="K16" s="222" t="s">
        <v>72</v>
      </c>
      <c r="L16" s="222" t="s">
        <v>74</v>
      </c>
      <c r="M16" s="222" t="s">
        <v>73</v>
      </c>
      <c r="N16" s="222" t="s">
        <v>4</v>
      </c>
      <c r="O16" s="222" t="s">
        <v>4</v>
      </c>
      <c r="P16" s="222" t="s">
        <v>76</v>
      </c>
      <c r="Q16" s="3"/>
      <c r="R16" s="3"/>
      <c r="S16" s="26" t="s">
        <v>3</v>
      </c>
      <c r="T16" s="3" t="s">
        <v>3</v>
      </c>
      <c r="U16" s="3" t="s">
        <v>60</v>
      </c>
      <c r="V16" s="3"/>
      <c r="W16" s="3" t="s">
        <v>4</v>
      </c>
      <c r="Y16" s="3" t="s">
        <v>3</v>
      </c>
      <c r="Z16" s="3"/>
      <c r="AB16" s="26" t="s">
        <v>3</v>
      </c>
      <c r="AC16" s="3" t="s">
        <v>3</v>
      </c>
      <c r="AD16" s="22" t="s">
        <v>57</v>
      </c>
      <c r="AE16" s="21"/>
      <c r="AF16" s="21" t="s">
        <v>4</v>
      </c>
      <c r="AG16" s="23"/>
      <c r="AH16" s="3" t="s">
        <v>3</v>
      </c>
      <c r="AI16" s="21" t="s">
        <v>7</v>
      </c>
      <c r="AJ16" s="3" t="s">
        <v>7</v>
      </c>
      <c r="AL16" s="30"/>
      <c r="AM16" s="30"/>
      <c r="AN16" s="30"/>
      <c r="AO16" s="30"/>
      <c r="AP16" s="30"/>
    </row>
    <row r="17" spans="1:41" x14ac:dyDescent="0.2">
      <c r="A17" s="3"/>
      <c r="C17" s="3"/>
      <c r="E17" s="3"/>
      <c r="F17" s="3"/>
      <c r="G17" s="222"/>
      <c r="H17" s="222"/>
      <c r="I17" s="222" t="s">
        <v>70</v>
      </c>
      <c r="J17" s="223" t="s">
        <v>71</v>
      </c>
      <c r="K17" s="224"/>
      <c r="L17" s="224"/>
      <c r="M17" s="225"/>
      <c r="N17" s="222" t="s">
        <v>70</v>
      </c>
      <c r="O17" s="222" t="s">
        <v>70</v>
      </c>
      <c r="P17" s="223" t="s">
        <v>71</v>
      </c>
      <c r="Q17" s="3"/>
      <c r="R17" s="3"/>
      <c r="S17" s="26"/>
      <c r="T17" s="43">
        <f>+INPUT!$H$6</f>
        <v>4.0599999999999997E-2</v>
      </c>
      <c r="U17" s="46">
        <f>+INPUT!$H$12</f>
        <v>16.399999999999999</v>
      </c>
      <c r="V17" s="45" t="s">
        <v>68</v>
      </c>
      <c r="W17" s="3"/>
      <c r="Y17" s="43"/>
      <c r="Z17" s="43"/>
      <c r="AB17" s="26"/>
      <c r="AC17" s="43">
        <f>+INPUT!$H$27</f>
        <v>4.0710000000000003E-2</v>
      </c>
      <c r="AD17" s="46">
        <f>INPUT!$H$33</f>
        <v>17.329999999999998</v>
      </c>
      <c r="AE17" s="45" t="s">
        <v>68</v>
      </c>
      <c r="AF17" s="21"/>
      <c r="AG17" s="23"/>
      <c r="AH17" s="43"/>
      <c r="AI17" s="21"/>
      <c r="AJ17" s="3"/>
      <c r="AM17" s="30"/>
      <c r="AN17" s="47"/>
      <c r="AO17" s="30"/>
    </row>
    <row r="18" spans="1:41" x14ac:dyDescent="0.2">
      <c r="A18" s="3"/>
      <c r="C18" s="3"/>
      <c r="E18" s="3"/>
      <c r="F18" s="3"/>
      <c r="G18" s="222"/>
      <c r="H18" s="222"/>
      <c r="I18" s="222" t="str">
        <f>("[ "&amp;H13&amp;" - "&amp;G13&amp;" ]")</f>
        <v>[ B - A ]</v>
      </c>
      <c r="J18" s="222" t="str">
        <f>("[ "&amp;I13&amp;" / "&amp;G13&amp;" ]")</f>
        <v>[ C / A ]</v>
      </c>
      <c r="K18" s="224"/>
      <c r="L18" s="224"/>
      <c r="M18" s="224"/>
      <c r="N18" s="222" t="str">
        <f>("["&amp;G13&amp;"+"&amp;$K$13&amp;"+"&amp;$L$13&amp;"+"&amp;$M$13&amp;"]")</f>
        <v>[A+E+F+G]</v>
      </c>
      <c r="O18" s="222" t="str">
        <f>("["&amp;H13&amp;"+"&amp;$K$13&amp;"+"&amp;$L$13&amp;"+"&amp;$M$13&amp;"]")</f>
        <v>[B+E+F+G]</v>
      </c>
      <c r="P18" s="222" t="str">
        <f>("[("&amp;O13&amp;" - "&amp;N13&amp;")/"&amp;N13&amp;"]")</f>
        <v>[(I - H)/H]</v>
      </c>
      <c r="Q18" s="3"/>
      <c r="R18" s="3"/>
      <c r="S18" s="26"/>
      <c r="T18" s="3" t="s">
        <v>14</v>
      </c>
      <c r="U18" s="46">
        <f>+INPUT!$H$13</f>
        <v>14.01</v>
      </c>
      <c r="V18" s="45" t="s">
        <v>69</v>
      </c>
      <c r="W18" s="3"/>
      <c r="Y18" s="3" t="s">
        <v>14</v>
      </c>
      <c r="Z18" s="3"/>
      <c r="AB18" s="26"/>
      <c r="AC18" s="3" t="s">
        <v>14</v>
      </c>
      <c r="AD18" s="46">
        <f>INPUT!$H$34</f>
        <v>14.94</v>
      </c>
      <c r="AE18" s="45" t="s">
        <v>69</v>
      </c>
      <c r="AF18" s="21"/>
      <c r="AG18" s="23"/>
      <c r="AH18" s="3" t="s">
        <v>14</v>
      </c>
      <c r="AI18" s="21"/>
      <c r="AJ18" s="3"/>
    </row>
    <row r="19" spans="1:41" x14ac:dyDescent="0.2">
      <c r="A19" s="3"/>
      <c r="E19" s="3"/>
      <c r="F19" s="3"/>
      <c r="G19" s="3"/>
      <c r="H19" s="3"/>
      <c r="I19" s="222"/>
      <c r="J19" s="222"/>
      <c r="K19" s="3"/>
      <c r="L19" s="3"/>
      <c r="M19" s="3"/>
      <c r="N19" s="222"/>
      <c r="O19" s="3"/>
      <c r="P19" s="222"/>
      <c r="Q19" s="3"/>
      <c r="R19" s="3"/>
      <c r="T19" s="3"/>
      <c r="U19" s="3"/>
      <c r="V19" s="3"/>
      <c r="W19" s="3"/>
      <c r="Y19" s="3"/>
      <c r="Z19" s="3"/>
      <c r="AC19" s="21"/>
      <c r="AD19" s="21"/>
      <c r="AE19" s="21"/>
      <c r="AF19" s="21"/>
      <c r="AG19" s="20"/>
      <c r="AH19" s="21"/>
      <c r="AI19" s="20"/>
    </row>
    <row r="20" spans="1:41" x14ac:dyDescent="0.2">
      <c r="A20" s="1">
        <v>50</v>
      </c>
      <c r="C20" s="13">
        <v>0.3</v>
      </c>
      <c r="E20" s="1">
        <f>C20*($A$20*730)</f>
        <v>10950</v>
      </c>
      <c r="G20" s="29">
        <f>+W20</f>
        <v>1284.8599999999999</v>
      </c>
      <c r="H20" s="29">
        <f>+AF20</f>
        <v>1332.5645</v>
      </c>
      <c r="I20" s="29">
        <f>+H20-G20</f>
        <v>47.704500000000053</v>
      </c>
      <c r="J20" s="57">
        <f>ROUND(+I20/G20,4)</f>
        <v>3.7100000000000001E-2</v>
      </c>
      <c r="K20" s="29">
        <f>ROUND($T$10*$E20,2)</f>
        <v>-2.9</v>
      </c>
      <c r="L20" s="29">
        <f>ROUND($T$11*$E20,2)</f>
        <v>20.63</v>
      </c>
      <c r="M20" s="29">
        <f>ROUND($T$12*$E20,2)</f>
        <v>99.09</v>
      </c>
      <c r="N20" s="29">
        <f>+G20+K20+L20+M20</f>
        <v>1401.6799999999998</v>
      </c>
      <c r="O20" s="29">
        <f>+H20+K20+L20+M20</f>
        <v>1449.3844999999999</v>
      </c>
      <c r="P20" s="57">
        <f>(O20-N20)/N20</f>
        <v>3.4033802294389633E-2</v>
      </c>
      <c r="S20" s="7">
        <f>+INPUT!$H$4</f>
        <v>90</v>
      </c>
      <c r="T20" s="20">
        <f>$T$17*E20</f>
        <v>444.57</v>
      </c>
      <c r="U20" s="20">
        <f>ROUND((($A$20*$U$17*5)+($A$20*$U$18*7))/12,2)</f>
        <v>750.29</v>
      </c>
      <c r="V20" s="20"/>
      <c r="W20" s="20">
        <f>S20+T20+U20</f>
        <v>1284.8599999999999</v>
      </c>
      <c r="X20" s="20"/>
      <c r="Y20" s="20"/>
      <c r="Z20" s="20"/>
      <c r="AA20" s="20"/>
      <c r="AB20" s="7">
        <f>INPUT!$H$25</f>
        <v>90</v>
      </c>
      <c r="AC20" s="20">
        <f>$AC$17*E20</f>
        <v>445.77450000000005</v>
      </c>
      <c r="AD20" s="20">
        <f>ROUND((($A$20*$AD$17*5)+($A$20*$AD$18*7))/12,2)</f>
        <v>796.79</v>
      </c>
      <c r="AE20" s="20"/>
      <c r="AF20" s="20">
        <f>AB20+AC20+AD20</f>
        <v>1332.5645</v>
      </c>
      <c r="AG20" s="20"/>
      <c r="AH20" s="20"/>
      <c r="AI20" s="19">
        <f>AF20-W20</f>
        <v>47.704500000000053</v>
      </c>
      <c r="AJ20" s="18">
        <f>AF20/W20-1</f>
        <v>3.7128169606027051E-2</v>
      </c>
    </row>
    <row r="21" spans="1:41" x14ac:dyDescent="0.2">
      <c r="A21" s="1"/>
      <c r="C21" s="13">
        <v>0.5</v>
      </c>
      <c r="E21" s="1">
        <f>C21*($A$20*730)</f>
        <v>18250</v>
      </c>
      <c r="G21" s="29">
        <f>+W21</f>
        <v>1581.2399999999998</v>
      </c>
      <c r="H21" s="29">
        <f>+AF21</f>
        <v>1629.7474999999999</v>
      </c>
      <c r="I21" s="29">
        <f>+H21-G21</f>
        <v>48.507500000000164</v>
      </c>
      <c r="J21" s="57">
        <f>ROUND(+I21/G21,4)</f>
        <v>3.0700000000000002E-2</v>
      </c>
      <c r="K21" s="29">
        <f>ROUND($T$10*$E21,2)</f>
        <v>-4.84</v>
      </c>
      <c r="L21" s="29">
        <f>ROUND($T$11*$E21,2)</f>
        <v>34.380000000000003</v>
      </c>
      <c r="M21" s="29">
        <f>ROUND($T$12*$E21,2)</f>
        <v>165.16</v>
      </c>
      <c r="N21" s="29">
        <f>+G21+K21+L21+M21</f>
        <v>1775.94</v>
      </c>
      <c r="O21" s="29">
        <f>+H21+K21+L21+M21</f>
        <v>1824.4475000000002</v>
      </c>
      <c r="P21" s="57">
        <f>(O21-N21)/N21</f>
        <v>2.7313704291811753E-2</v>
      </c>
      <c r="S21" s="7">
        <f>$S$20</f>
        <v>90</v>
      </c>
      <c r="T21" s="20">
        <f>$T$17*E21</f>
        <v>740.94999999999993</v>
      </c>
      <c r="U21" s="20">
        <f>ROUND((($A$20*$U$17*5)+($A$20*$U$18*7))/12,2)</f>
        <v>750.29</v>
      </c>
      <c r="V21" s="20"/>
      <c r="W21" s="20">
        <f>S21+T21+U21</f>
        <v>1581.2399999999998</v>
      </c>
      <c r="X21" s="20"/>
      <c r="Y21" s="20"/>
      <c r="Z21" s="20"/>
      <c r="AA21" s="20"/>
      <c r="AB21" s="7">
        <f>INPUT!$H$25</f>
        <v>90</v>
      </c>
      <c r="AC21" s="20">
        <f>$AC$17*E21</f>
        <v>742.9575000000001</v>
      </c>
      <c r="AD21" s="20">
        <f>ROUND((($A$20*$AD$17*5)+($A$20*$AD$18*7))/12,2)</f>
        <v>796.79</v>
      </c>
      <c r="AE21" s="20"/>
      <c r="AF21" s="20">
        <f>AB21+AC21+AD21</f>
        <v>1629.7474999999999</v>
      </c>
      <c r="AG21" s="20"/>
      <c r="AH21" s="20"/>
      <c r="AI21" s="19">
        <f>AF21-W21</f>
        <v>48.507500000000164</v>
      </c>
      <c r="AJ21" s="18">
        <f>AF21/W21-1</f>
        <v>3.0676873845842501E-2</v>
      </c>
    </row>
    <row r="22" spans="1:41" x14ac:dyDescent="0.2">
      <c r="A22" s="1"/>
      <c r="C22" s="13">
        <v>0.7</v>
      </c>
      <c r="E22" s="1">
        <f>C22*($A$20*730)</f>
        <v>25550</v>
      </c>
      <c r="G22" s="29">
        <f>+W22</f>
        <v>1877.62</v>
      </c>
      <c r="H22" s="29">
        <f>+AF22</f>
        <v>1926.9304999999999</v>
      </c>
      <c r="I22" s="29">
        <f>+H22-G22</f>
        <v>49.310500000000047</v>
      </c>
      <c r="J22" s="57">
        <f>ROUND(+I22/G22,4)</f>
        <v>2.63E-2</v>
      </c>
      <c r="K22" s="29">
        <f>ROUND($T$10*$E22,2)</f>
        <v>-6.77</v>
      </c>
      <c r="L22" s="29">
        <f>ROUND($T$11*$E22,2)</f>
        <v>48.14</v>
      </c>
      <c r="M22" s="29">
        <f>ROUND($T$12*$E22,2)</f>
        <v>231.22</v>
      </c>
      <c r="N22" s="29">
        <f>+G22+K22+L22+M22</f>
        <v>2150.21</v>
      </c>
      <c r="O22" s="29">
        <f>+H22+K22+L22+M22</f>
        <v>2199.5205000000001</v>
      </c>
      <c r="P22" s="57">
        <f>(O22-N22)/N22</f>
        <v>2.2932876323707937E-2</v>
      </c>
      <c r="S22" s="7">
        <f>$S$20</f>
        <v>90</v>
      </c>
      <c r="T22" s="20">
        <f>$T$17*E22</f>
        <v>1037.33</v>
      </c>
      <c r="U22" s="20">
        <f>ROUND((($A$20*$U$17*5)+($A$20*$U$18*7))/12,2)</f>
        <v>750.29</v>
      </c>
      <c r="V22" s="20"/>
      <c r="W22" s="20">
        <f>S22+T22+U22</f>
        <v>1877.62</v>
      </c>
      <c r="X22" s="20"/>
      <c r="Y22" s="20"/>
      <c r="Z22" s="20"/>
      <c r="AA22" s="20"/>
      <c r="AB22" s="7">
        <f>INPUT!$H$25</f>
        <v>90</v>
      </c>
      <c r="AC22" s="20">
        <f>$AC$17*E22</f>
        <v>1040.1405</v>
      </c>
      <c r="AD22" s="20">
        <f>ROUND((($A$20*$AD$17*5)+($A$20*$AD$18*7))/12,2)</f>
        <v>796.79</v>
      </c>
      <c r="AE22" s="20"/>
      <c r="AF22" s="20">
        <f>AB22+AC22+AD22</f>
        <v>1926.9304999999999</v>
      </c>
      <c r="AG22" s="20"/>
      <c r="AH22" s="20"/>
      <c r="AI22" s="19">
        <f>AF22-W22</f>
        <v>49.310500000000047</v>
      </c>
      <c r="AJ22" s="18">
        <f>AF22/W22-1</f>
        <v>2.6262236235234049E-2</v>
      </c>
    </row>
    <row r="23" spans="1:41" x14ac:dyDescent="0.2">
      <c r="A23" s="1"/>
      <c r="C23" s="13"/>
      <c r="E23" s="1"/>
      <c r="J23" s="5"/>
      <c r="P23" s="57"/>
      <c r="S23" s="7"/>
      <c r="T23" s="20"/>
      <c r="U23" s="20"/>
      <c r="V23" s="20"/>
      <c r="W23" s="20"/>
      <c r="X23" s="20"/>
      <c r="Y23" s="20"/>
      <c r="Z23" s="20"/>
      <c r="AA23" s="20"/>
      <c r="AB23" s="7"/>
      <c r="AC23" s="20"/>
      <c r="AD23" s="20"/>
      <c r="AE23" s="20"/>
      <c r="AF23" s="20"/>
      <c r="AG23" s="20"/>
      <c r="AH23" s="20"/>
      <c r="AI23" s="19"/>
      <c r="AJ23" s="18"/>
    </row>
    <row r="24" spans="1:41" x14ac:dyDescent="0.2">
      <c r="A24" s="1">
        <v>75</v>
      </c>
      <c r="C24" s="13">
        <v>0.3</v>
      </c>
      <c r="E24" s="1">
        <f>C24*($A$24*730)</f>
        <v>16425</v>
      </c>
      <c r="G24" s="29">
        <f>+W24</f>
        <v>1882.2950000000001</v>
      </c>
      <c r="H24" s="29">
        <f>+AF24</f>
        <v>1953.8517500000003</v>
      </c>
      <c r="I24" s="29">
        <f>+H24-G24</f>
        <v>71.556750000000193</v>
      </c>
      <c r="J24" s="57">
        <f>ROUND(+I24/G24,4)</f>
        <v>3.7999999999999999E-2</v>
      </c>
      <c r="K24" s="29">
        <f>ROUND($T$10*$E24,2)</f>
        <v>-4.3499999999999996</v>
      </c>
      <c r="L24" s="29">
        <f>ROUND($T$11*$E24,2)</f>
        <v>30.95</v>
      </c>
      <c r="M24" s="29">
        <f>ROUND($T$12*$E24,2)</f>
        <v>148.63999999999999</v>
      </c>
      <c r="N24" s="29">
        <f>+G24+K24+L24+M24</f>
        <v>2057.5350000000003</v>
      </c>
      <c r="O24" s="29">
        <f>+H24+K24+L24+M24</f>
        <v>2129.0917500000005</v>
      </c>
      <c r="P24" s="57">
        <f>(O24-N24)/N24</f>
        <v>3.4777901712486146E-2</v>
      </c>
      <c r="S24" s="7">
        <f>$S$20</f>
        <v>90</v>
      </c>
      <c r="T24" s="20">
        <f>$T$17*E24</f>
        <v>666.8549999999999</v>
      </c>
      <c r="U24" s="20">
        <f>ROUND((($A$24*$U$17*5)+($A$24*$U$18*7))/12,2)</f>
        <v>1125.44</v>
      </c>
      <c r="V24" s="20"/>
      <c r="W24" s="20">
        <f>S24+T24+U24</f>
        <v>1882.2950000000001</v>
      </c>
      <c r="X24" s="20"/>
      <c r="Y24" s="20"/>
      <c r="Z24" s="20"/>
      <c r="AA24" s="20"/>
      <c r="AB24" s="7">
        <f>INPUT!$H$25</f>
        <v>90</v>
      </c>
      <c r="AC24" s="20">
        <f>$AC$17*E24</f>
        <v>668.6617500000001</v>
      </c>
      <c r="AD24" s="20">
        <f>ROUND((($A$24*$AD$17*5)+($A$24*$AD$18*7))/12,2)</f>
        <v>1195.19</v>
      </c>
      <c r="AE24" s="20"/>
      <c r="AF24" s="20">
        <f>AB24+AC24+AD24</f>
        <v>1953.8517500000003</v>
      </c>
      <c r="AG24" s="24"/>
      <c r="AH24" s="20"/>
      <c r="AI24" s="19">
        <f>AF24-W24</f>
        <v>71.556750000000193</v>
      </c>
      <c r="AJ24" s="18">
        <f>AF24/W24-1</f>
        <v>3.801569360806889E-2</v>
      </c>
    </row>
    <row r="25" spans="1:41" x14ac:dyDescent="0.2">
      <c r="A25" s="1"/>
      <c r="C25" s="13">
        <v>0.5</v>
      </c>
      <c r="E25" s="1">
        <f>C25*($A$24*730)</f>
        <v>27375</v>
      </c>
      <c r="G25" s="29">
        <f>+W25</f>
        <v>2326.8649999999998</v>
      </c>
      <c r="H25" s="29">
        <f>+AF25</f>
        <v>2399.6262500000003</v>
      </c>
      <c r="I25" s="29">
        <f>+H25-G25</f>
        <v>72.761250000000473</v>
      </c>
      <c r="J25" s="57">
        <f>ROUND(+I25/G25,4)</f>
        <v>3.1300000000000001E-2</v>
      </c>
      <c r="K25" s="29">
        <f>ROUND($T$10*$E25,2)</f>
        <v>-7.26</v>
      </c>
      <c r="L25" s="29">
        <f>ROUND($T$11*$E25,2)</f>
        <v>51.58</v>
      </c>
      <c r="M25" s="29">
        <f>ROUND($T$12*$E25,2)</f>
        <v>247.73</v>
      </c>
      <c r="N25" s="29">
        <f>+G25+K25+L25+M25</f>
        <v>2618.9149999999995</v>
      </c>
      <c r="O25" s="29">
        <f>+H25+K25+L25+M25</f>
        <v>2691.67625</v>
      </c>
      <c r="P25" s="57">
        <f>(O25-N25)/N25</f>
        <v>2.7782975010643907E-2</v>
      </c>
      <c r="S25" s="7">
        <f>$S$20</f>
        <v>90</v>
      </c>
      <c r="T25" s="20">
        <f>$T$17*E25</f>
        <v>1111.425</v>
      </c>
      <c r="U25" s="20">
        <f>ROUND((($A$24*$U$17*5)+($A$24*$U$18*7))/12,2)</f>
        <v>1125.44</v>
      </c>
      <c r="V25" s="20"/>
      <c r="W25" s="20">
        <f>S25+T25+U25</f>
        <v>2326.8649999999998</v>
      </c>
      <c r="X25" s="20"/>
      <c r="Y25" s="20"/>
      <c r="Z25" s="20"/>
      <c r="AA25" s="20"/>
      <c r="AB25" s="7">
        <f>INPUT!$H$25</f>
        <v>90</v>
      </c>
      <c r="AC25" s="20">
        <f>$AC$17*E25</f>
        <v>1114.43625</v>
      </c>
      <c r="AD25" s="20">
        <f>ROUND((($A$24*$AD$17*5)+($A$24*$AD$18*7))/12,2)</f>
        <v>1195.19</v>
      </c>
      <c r="AE25" s="20"/>
      <c r="AF25" s="20">
        <f>AB25+AC25+AD25</f>
        <v>2399.6262500000003</v>
      </c>
      <c r="AG25" s="24"/>
      <c r="AH25" s="20"/>
      <c r="AI25" s="19">
        <f>AF25-W25</f>
        <v>72.761250000000473</v>
      </c>
      <c r="AJ25" s="18">
        <f>AF25/W25-1</f>
        <v>3.1270077980458888E-2</v>
      </c>
    </row>
    <row r="26" spans="1:41" x14ac:dyDescent="0.2">
      <c r="A26" s="1"/>
      <c r="C26" s="13">
        <v>0.7</v>
      </c>
      <c r="E26" s="1">
        <f>C26*($A$24*730)</f>
        <v>38325</v>
      </c>
      <c r="G26" s="29">
        <f>+W26</f>
        <v>2771.4349999999999</v>
      </c>
      <c r="H26" s="29">
        <f>+AF26</f>
        <v>2845.4007500000002</v>
      </c>
      <c r="I26" s="29">
        <f>+H26-G26</f>
        <v>73.965750000000298</v>
      </c>
      <c r="J26" s="57">
        <f>ROUND(+I26/G26,4)</f>
        <v>2.6700000000000002E-2</v>
      </c>
      <c r="K26" s="29">
        <f>ROUND($T$10*$E26,2)</f>
        <v>-10.16</v>
      </c>
      <c r="L26" s="29">
        <f>ROUND($T$11*$E26,2)</f>
        <v>72.209999999999994</v>
      </c>
      <c r="M26" s="29">
        <f>ROUND($T$12*$E26,2)</f>
        <v>346.83</v>
      </c>
      <c r="N26" s="29">
        <f>+G26+K26+L26+M26</f>
        <v>3180.3150000000001</v>
      </c>
      <c r="O26" s="29">
        <f>+H26+K26+L26+M26</f>
        <v>3254.2807500000004</v>
      </c>
      <c r="P26" s="57">
        <f>(O26-N26)/N26</f>
        <v>2.325736601563062E-2</v>
      </c>
      <c r="S26" s="7">
        <f>$S$20</f>
        <v>90</v>
      </c>
      <c r="T26" s="20">
        <f>$T$17*E26</f>
        <v>1555.9949999999999</v>
      </c>
      <c r="U26" s="20">
        <f>ROUND((($A$24*$U$17*5)+($A$24*$U$18*7))/12,2)</f>
        <v>1125.44</v>
      </c>
      <c r="V26" s="20"/>
      <c r="W26" s="20">
        <f>S26+T26+U26</f>
        <v>2771.4349999999999</v>
      </c>
      <c r="X26" s="20"/>
      <c r="Y26" s="20"/>
      <c r="Z26" s="20"/>
      <c r="AA26" s="20"/>
      <c r="AB26" s="7">
        <f>INPUT!$H$25</f>
        <v>90</v>
      </c>
      <c r="AC26" s="20">
        <f>$AC$17*E26</f>
        <v>1560.2107500000002</v>
      </c>
      <c r="AD26" s="20">
        <f>ROUND((($A$24*$AD$17*5)+($A$24*$AD$18*7))/12,2)</f>
        <v>1195.19</v>
      </c>
      <c r="AE26" s="20"/>
      <c r="AF26" s="20">
        <f>AB26+AC26+AD26</f>
        <v>2845.4007500000002</v>
      </c>
      <c r="AG26" s="20"/>
      <c r="AH26" s="20"/>
      <c r="AI26" s="19">
        <f>AF26-W26</f>
        <v>73.965750000000298</v>
      </c>
      <c r="AJ26" s="18">
        <f>AF26/W26-1</f>
        <v>2.6688610773841104E-2</v>
      </c>
    </row>
    <row r="27" spans="1:41" x14ac:dyDescent="0.2">
      <c r="A27" s="1"/>
      <c r="C27" s="13"/>
      <c r="E27" s="1"/>
      <c r="J27" s="5"/>
      <c r="P27" s="57"/>
      <c r="S27" s="7"/>
      <c r="T27" s="20"/>
      <c r="U27" s="20"/>
      <c r="V27" s="20"/>
      <c r="W27" s="20"/>
      <c r="X27" s="20"/>
      <c r="Y27" s="20"/>
      <c r="Z27" s="20"/>
      <c r="AA27" s="20"/>
      <c r="AB27" s="7"/>
      <c r="AC27" s="20"/>
      <c r="AD27" s="20"/>
      <c r="AE27" s="20"/>
      <c r="AF27" s="20"/>
      <c r="AG27" s="20"/>
      <c r="AH27" s="20"/>
      <c r="AI27" s="19"/>
      <c r="AJ27" s="18"/>
    </row>
    <row r="28" spans="1:41" x14ac:dyDescent="0.2">
      <c r="A28" s="1">
        <v>100</v>
      </c>
      <c r="C28" s="13">
        <v>0.3</v>
      </c>
      <c r="E28" s="1">
        <f>C28*($A$28*730)</f>
        <v>21900</v>
      </c>
      <c r="G28" s="29">
        <f>+W28</f>
        <v>2479.7199999999998</v>
      </c>
      <c r="H28" s="29">
        <f>+AF28</f>
        <v>2575.1289999999999</v>
      </c>
      <c r="I28" s="29">
        <f>+H28-G28</f>
        <v>95.409000000000106</v>
      </c>
      <c r="J28" s="57">
        <f>ROUND(+I28/G28,4)</f>
        <v>3.85E-2</v>
      </c>
      <c r="K28" s="29">
        <f>ROUND($T$10*$E28,2)</f>
        <v>-5.81</v>
      </c>
      <c r="L28" s="29">
        <f>ROUND($T$11*$E28,2)</f>
        <v>41.26</v>
      </c>
      <c r="M28" s="29">
        <f>ROUND($T$12*$E28,2)</f>
        <v>198.19</v>
      </c>
      <c r="N28" s="29">
        <f>+G28+K28+L28+M28</f>
        <v>2713.36</v>
      </c>
      <c r="O28" s="29">
        <f>+H28+K28+L28+M28</f>
        <v>2808.7690000000002</v>
      </c>
      <c r="P28" s="57">
        <f>(O28-N28)/N28</f>
        <v>3.5162676533891594E-2</v>
      </c>
      <c r="S28" s="7">
        <f>$S$20</f>
        <v>90</v>
      </c>
      <c r="T28" s="20">
        <f>$T$17*E28</f>
        <v>889.14</v>
      </c>
      <c r="U28" s="20">
        <f>ROUND((($A$28*$U$17*5)+($A$28*$U$18*7))/12,2)</f>
        <v>1500.58</v>
      </c>
      <c r="V28" s="20"/>
      <c r="W28" s="20">
        <f>S28+T28+U28</f>
        <v>2479.7199999999998</v>
      </c>
      <c r="X28" s="20"/>
      <c r="Y28" s="20"/>
      <c r="Z28" s="20"/>
      <c r="AA28" s="20"/>
      <c r="AB28" s="7">
        <f>INPUT!$H$25</f>
        <v>90</v>
      </c>
      <c r="AC28" s="20">
        <f>$AC$17*E28</f>
        <v>891.54900000000009</v>
      </c>
      <c r="AD28" s="20">
        <f>ROUND((($A$28*$AD$17*5)+($A$28*$AD$18*7))/12,2)</f>
        <v>1593.58</v>
      </c>
      <c r="AE28" s="20"/>
      <c r="AF28" s="20">
        <f>AB28+AC28+AD28</f>
        <v>2575.1289999999999</v>
      </c>
      <c r="AG28" s="20"/>
      <c r="AH28" s="20"/>
      <c r="AI28" s="19">
        <f>AF28-W28</f>
        <v>95.409000000000106</v>
      </c>
      <c r="AJ28" s="18">
        <f>AF28/W28-1</f>
        <v>3.8475715000080735E-2</v>
      </c>
    </row>
    <row r="29" spans="1:41" x14ac:dyDescent="0.2">
      <c r="A29" s="1"/>
      <c r="C29" s="13">
        <v>0.5</v>
      </c>
      <c r="E29" s="1">
        <f>C29*($A$28*730)</f>
        <v>36500</v>
      </c>
      <c r="G29" s="29">
        <f>+W29</f>
        <v>3072.4799999999996</v>
      </c>
      <c r="H29" s="29">
        <f>+AF29</f>
        <v>3169.4949999999999</v>
      </c>
      <c r="I29" s="29">
        <f>+H29-G29</f>
        <v>97.015000000000327</v>
      </c>
      <c r="J29" s="57">
        <f>ROUND(+I29/G29,4)</f>
        <v>3.1600000000000003E-2</v>
      </c>
      <c r="K29" s="29">
        <f>ROUND($T$10*$E29,2)</f>
        <v>-9.68</v>
      </c>
      <c r="L29" s="29">
        <f>ROUND($T$11*$E29,2)</f>
        <v>68.77</v>
      </c>
      <c r="M29" s="29">
        <f>ROUND($T$12*$E29,2)</f>
        <v>330.31</v>
      </c>
      <c r="N29" s="29">
        <f>+G29+K29+L29+M29</f>
        <v>3461.8799999999997</v>
      </c>
      <c r="O29" s="29">
        <f>+H29+K29+L29+M29</f>
        <v>3558.895</v>
      </c>
      <c r="P29" s="57">
        <f>(O29-N29)/N29</f>
        <v>2.8023790541555554E-2</v>
      </c>
      <c r="S29" s="7">
        <f>$S$20</f>
        <v>90</v>
      </c>
      <c r="T29" s="20">
        <f>$T$17*E29</f>
        <v>1481.8999999999999</v>
      </c>
      <c r="U29" s="20">
        <f>ROUND((($A$28*$U$17*5)+($A$28*$U$18*7))/12,2)</f>
        <v>1500.58</v>
      </c>
      <c r="V29" s="20"/>
      <c r="W29" s="20">
        <f>S29+T29+U29</f>
        <v>3072.4799999999996</v>
      </c>
      <c r="X29" s="20"/>
      <c r="Y29" s="20"/>
      <c r="Z29" s="20"/>
      <c r="AA29" s="20"/>
      <c r="AB29" s="7">
        <f>INPUT!$H$25</f>
        <v>90</v>
      </c>
      <c r="AC29" s="20">
        <f>$AC$17*E29</f>
        <v>1485.9150000000002</v>
      </c>
      <c r="AD29" s="20">
        <f>ROUND((($A$28*$AD$17*5)+($A$28*$AD$18*7))/12,2)</f>
        <v>1593.58</v>
      </c>
      <c r="AE29" s="20"/>
      <c r="AF29" s="20">
        <f>AB29+AC29+AD29</f>
        <v>3169.4949999999999</v>
      </c>
      <c r="AG29" s="20"/>
      <c r="AH29" s="20"/>
      <c r="AI29" s="19">
        <f>AF29-W29</f>
        <v>97.015000000000327</v>
      </c>
      <c r="AJ29" s="18">
        <f>AF29/W29-1</f>
        <v>3.157546997864924E-2</v>
      </c>
    </row>
    <row r="30" spans="1:41" x14ac:dyDescent="0.2">
      <c r="A30" s="1"/>
      <c r="C30" s="13">
        <v>0.7</v>
      </c>
      <c r="E30" s="1">
        <f>C30*($A$28*730)</f>
        <v>51100</v>
      </c>
      <c r="G30" s="29">
        <f>+W30</f>
        <v>3665.24</v>
      </c>
      <c r="H30" s="29">
        <f>+AF30</f>
        <v>3763.8609999999999</v>
      </c>
      <c r="I30" s="29">
        <f>+H30-G30</f>
        <v>98.621000000000095</v>
      </c>
      <c r="J30" s="57">
        <f>ROUND(+I30/G30,4)</f>
        <v>2.69E-2</v>
      </c>
      <c r="K30" s="29">
        <f>ROUND($T$10*$E30,2)</f>
        <v>-13.55</v>
      </c>
      <c r="L30" s="29">
        <f>ROUND($T$11*$E30,2)</f>
        <v>96.28</v>
      </c>
      <c r="M30" s="29">
        <f>ROUND($T$12*$E30,2)</f>
        <v>462.44</v>
      </c>
      <c r="N30" s="29">
        <f>+G30+K30+L30+M30</f>
        <v>4210.41</v>
      </c>
      <c r="O30" s="29">
        <f>+H30+K30+L30+M30</f>
        <v>4309.0309999999999</v>
      </c>
      <c r="P30" s="57">
        <f>(O30-N30)/N30</f>
        <v>2.3423134564092358E-2</v>
      </c>
      <c r="S30" s="7">
        <f>$S$20</f>
        <v>90</v>
      </c>
      <c r="T30" s="20">
        <f>$T$17*E30</f>
        <v>2074.66</v>
      </c>
      <c r="U30" s="20">
        <f>ROUND((($A$28*$U$17*5)+($A$28*$U$18*7))/12,2)</f>
        <v>1500.58</v>
      </c>
      <c r="V30" s="20"/>
      <c r="W30" s="20">
        <f>S30+T30+U30</f>
        <v>3665.24</v>
      </c>
      <c r="X30" s="20"/>
      <c r="Y30" s="20"/>
      <c r="Z30" s="20"/>
      <c r="AA30" s="20"/>
      <c r="AB30" s="7">
        <f>INPUT!$H$25</f>
        <v>90</v>
      </c>
      <c r="AC30" s="20">
        <f>$AC$17*E30</f>
        <v>2080.2809999999999</v>
      </c>
      <c r="AD30" s="20">
        <f>ROUND((($A$28*$AD$17*5)+($A$28*$AD$18*7))/12,2)</f>
        <v>1593.58</v>
      </c>
      <c r="AE30" s="20"/>
      <c r="AF30" s="20">
        <f>AB30+AC30+AD30</f>
        <v>3763.8609999999999</v>
      </c>
      <c r="AG30" s="20"/>
      <c r="AH30" s="20"/>
      <c r="AI30" s="19">
        <f>AF30-W30</f>
        <v>98.621000000000095</v>
      </c>
      <c r="AJ30" s="18">
        <f>AF30/W30-1</f>
        <v>2.6907105673844134E-2</v>
      </c>
    </row>
    <row r="31" spans="1:41" x14ac:dyDescent="0.2">
      <c r="A31" s="1"/>
      <c r="C31" s="13"/>
      <c r="E31" s="1"/>
      <c r="J31" s="5"/>
      <c r="P31" s="57"/>
      <c r="S31" s="7"/>
      <c r="T31" s="20"/>
      <c r="U31" s="20"/>
      <c r="V31" s="20"/>
      <c r="W31" s="20"/>
      <c r="X31" s="20"/>
      <c r="Y31" s="20"/>
      <c r="Z31" s="20"/>
      <c r="AA31" s="20"/>
      <c r="AB31" s="7"/>
      <c r="AC31" s="20"/>
      <c r="AD31" s="20"/>
      <c r="AE31" s="20"/>
      <c r="AF31" s="20"/>
      <c r="AG31" s="20"/>
      <c r="AH31" s="20"/>
      <c r="AI31" s="19"/>
      <c r="AJ31" s="18"/>
    </row>
    <row r="32" spans="1:41" x14ac:dyDescent="0.2">
      <c r="A32" s="1">
        <v>150</v>
      </c>
      <c r="C32" s="13">
        <v>0.3</v>
      </c>
      <c r="E32" s="1">
        <f>C32*($A$32*730)</f>
        <v>32850</v>
      </c>
      <c r="G32" s="29">
        <f>+W32</f>
        <v>3674.59</v>
      </c>
      <c r="H32" s="29">
        <f>+AF32</f>
        <v>3817.7035000000005</v>
      </c>
      <c r="I32" s="29">
        <f>+H32-G32</f>
        <v>143.11350000000039</v>
      </c>
      <c r="J32" s="57">
        <f>ROUND(+I32/G32,4)</f>
        <v>3.8899999999999997E-2</v>
      </c>
      <c r="K32" s="29">
        <f>ROUND($T$10*$E32,2)</f>
        <v>-8.7100000000000009</v>
      </c>
      <c r="L32" s="29">
        <f>ROUND($T$11*$E32,2)</f>
        <v>61.89</v>
      </c>
      <c r="M32" s="29">
        <f>ROUND($T$12*$E32,2)</f>
        <v>297.27999999999997</v>
      </c>
      <c r="N32" s="29">
        <f>+G32+K32+L32+M32</f>
        <v>4025.05</v>
      </c>
      <c r="O32" s="29">
        <f>+H32+K32+L32+M32</f>
        <v>4168.1635000000006</v>
      </c>
      <c r="P32" s="57">
        <f>(O32-N32)/N32</f>
        <v>3.5555707382517079E-2</v>
      </c>
      <c r="S32" s="7">
        <f>$S$20</f>
        <v>90</v>
      </c>
      <c r="T32" s="20">
        <f>$T$17*E32</f>
        <v>1333.7099999999998</v>
      </c>
      <c r="U32" s="20">
        <f>ROUND((($A$32*$U$17*5)+($A$32*$U$18*7))/12,2)</f>
        <v>2250.88</v>
      </c>
      <c r="V32" s="20"/>
      <c r="W32" s="20">
        <f>S32+T32+U32</f>
        <v>3674.59</v>
      </c>
      <c r="X32" s="20"/>
      <c r="Y32" s="20"/>
      <c r="Z32" s="20"/>
      <c r="AA32" s="20"/>
      <c r="AB32" s="7">
        <f>INPUT!$H$25</f>
        <v>90</v>
      </c>
      <c r="AC32" s="20">
        <f>$AC$17*E32</f>
        <v>1337.3235000000002</v>
      </c>
      <c r="AD32" s="20">
        <f>ROUND((($A$32*$AD$17*5)+($A$32*$AD$18*7))/12,2)</f>
        <v>2390.38</v>
      </c>
      <c r="AE32" s="20"/>
      <c r="AF32" s="20">
        <f>AB32+AC32+AD32</f>
        <v>3817.7035000000005</v>
      </c>
      <c r="AG32" s="20"/>
      <c r="AH32" s="20"/>
      <c r="AI32" s="19">
        <f>AF32-W32</f>
        <v>143.11350000000039</v>
      </c>
      <c r="AJ32" s="18">
        <f>AF32/W32-1</f>
        <v>3.8946794064099732E-2</v>
      </c>
    </row>
    <row r="33" spans="1:36" x14ac:dyDescent="0.2">
      <c r="A33" s="1"/>
      <c r="C33" s="13">
        <v>0.5</v>
      </c>
      <c r="E33" s="1">
        <f>C33*($A$32*730)</f>
        <v>54750</v>
      </c>
      <c r="G33" s="29">
        <f>+W33</f>
        <v>4563.7299999999996</v>
      </c>
      <c r="H33" s="29">
        <f>+AF33</f>
        <v>4709.2525000000005</v>
      </c>
      <c r="I33" s="29">
        <f>+H33-G33</f>
        <v>145.52250000000095</v>
      </c>
      <c r="J33" s="57">
        <f>ROUND(+I33/G33,4)</f>
        <v>3.1899999999999998E-2</v>
      </c>
      <c r="K33" s="29">
        <f>ROUND($T$10*$E33,2)</f>
        <v>-14.52</v>
      </c>
      <c r="L33" s="29">
        <f>ROUND($T$11*$E33,2)</f>
        <v>103.15</v>
      </c>
      <c r="M33" s="29">
        <f>ROUND($T$12*$E33,2)</f>
        <v>495.47</v>
      </c>
      <c r="N33" s="29">
        <f>+G33+K33+L33+M33</f>
        <v>5147.829999999999</v>
      </c>
      <c r="O33" s="29">
        <f>+H33+K33+L33+M33</f>
        <v>5293.3525</v>
      </c>
      <c r="P33" s="57">
        <f>(O33-N33)/N33</f>
        <v>2.8268707397097605E-2</v>
      </c>
      <c r="S33" s="7">
        <f>$S$20</f>
        <v>90</v>
      </c>
      <c r="T33" s="20">
        <f>$T$17*E33</f>
        <v>2222.85</v>
      </c>
      <c r="U33" s="20">
        <f>ROUND((($A$32*$U$17*5)+($A$32*$U$18*7))/12,2)</f>
        <v>2250.88</v>
      </c>
      <c r="V33" s="20"/>
      <c r="W33" s="20">
        <f>S33+T33+U33</f>
        <v>4563.7299999999996</v>
      </c>
      <c r="X33" s="20"/>
      <c r="Y33" s="20"/>
      <c r="Z33" s="20"/>
      <c r="AA33" s="20"/>
      <c r="AB33" s="7">
        <f>INPUT!$H$25</f>
        <v>90</v>
      </c>
      <c r="AC33" s="20">
        <f>$AC$17*E33</f>
        <v>2228.8724999999999</v>
      </c>
      <c r="AD33" s="20">
        <f>ROUND((($A$32*$AD$17*5)+($A$32*$AD$18*7))/12,2)</f>
        <v>2390.38</v>
      </c>
      <c r="AE33" s="20"/>
      <c r="AF33" s="20">
        <f>AB33+AC33+AD33</f>
        <v>4709.2525000000005</v>
      </c>
      <c r="AG33" s="20"/>
      <c r="AH33" s="20"/>
      <c r="AI33" s="19">
        <f>AF33-W33</f>
        <v>145.52250000000095</v>
      </c>
      <c r="AJ33" s="18">
        <f>AF33/W33-1</f>
        <v>3.1886746148435785E-2</v>
      </c>
    </row>
    <row r="34" spans="1:36" x14ac:dyDescent="0.2">
      <c r="A34" s="1"/>
      <c r="C34" s="13">
        <v>0.7</v>
      </c>
      <c r="E34" s="1">
        <f>C34*($A$32*730)</f>
        <v>76650</v>
      </c>
      <c r="G34" s="29">
        <f>+W34</f>
        <v>5452.87</v>
      </c>
      <c r="H34" s="29">
        <f>+AF34</f>
        <v>5600.8015000000005</v>
      </c>
      <c r="I34" s="29">
        <f>+H34-G34</f>
        <v>147.9315000000006</v>
      </c>
      <c r="J34" s="57">
        <f>ROUND(+I34/G34,4)</f>
        <v>2.7099999999999999E-2</v>
      </c>
      <c r="K34" s="29">
        <f>ROUND($T$10*$E34,2)</f>
        <v>-20.32</v>
      </c>
      <c r="L34" s="29">
        <f>ROUND($T$11*$E34,2)</f>
        <v>144.41</v>
      </c>
      <c r="M34" s="29">
        <f>ROUND($T$12*$E34,2)</f>
        <v>693.66</v>
      </c>
      <c r="N34" s="29">
        <f>+G34+K34+L34+M34</f>
        <v>6270.62</v>
      </c>
      <c r="O34" s="29">
        <f>+H34+K34+L34+M34</f>
        <v>6418.5515000000005</v>
      </c>
      <c r="P34" s="57">
        <f>(O34-N34)/N34</f>
        <v>2.3591207886939504E-2</v>
      </c>
      <c r="S34" s="7">
        <f>$S$20</f>
        <v>90</v>
      </c>
      <c r="T34" s="20">
        <f>$T$17*E34</f>
        <v>3111.99</v>
      </c>
      <c r="U34" s="20">
        <f>ROUND((($A$32*$U$17*5)+($A$32*$U$18*7))/12,2)</f>
        <v>2250.88</v>
      </c>
      <c r="V34" s="20"/>
      <c r="W34" s="20">
        <f>S34+T34+U34</f>
        <v>5452.87</v>
      </c>
      <c r="X34" s="20"/>
      <c r="Y34" s="20"/>
      <c r="Z34" s="20"/>
      <c r="AA34" s="20"/>
      <c r="AB34" s="7">
        <f>INPUT!$H$25</f>
        <v>90</v>
      </c>
      <c r="AC34" s="20">
        <f>$AC$17*E34</f>
        <v>3120.4215000000004</v>
      </c>
      <c r="AD34" s="20">
        <f>ROUND((($A$32*$AD$17*5)+($A$32*$AD$18*7))/12,2)</f>
        <v>2390.38</v>
      </c>
      <c r="AE34" s="20"/>
      <c r="AF34" s="20">
        <f>AB34+AC34+AD34</f>
        <v>5600.8015000000005</v>
      </c>
      <c r="AG34" s="20"/>
      <c r="AH34" s="20"/>
      <c r="AI34" s="19">
        <f>AF34-W34</f>
        <v>147.9315000000006</v>
      </c>
      <c r="AJ34" s="18">
        <f>AF34/W34-1</f>
        <v>2.7129108157722515E-2</v>
      </c>
    </row>
    <row r="35" spans="1:36" x14ac:dyDescent="0.2">
      <c r="A35" s="1"/>
      <c r="C35" s="13"/>
      <c r="E35" s="1"/>
      <c r="J35" s="5"/>
      <c r="P35" s="57"/>
      <c r="S35" s="7"/>
      <c r="T35" s="20"/>
      <c r="U35" s="20"/>
      <c r="V35" s="20"/>
      <c r="W35" s="20"/>
      <c r="X35" s="20"/>
      <c r="Y35" s="20"/>
      <c r="Z35" s="20"/>
      <c r="AA35" s="20"/>
      <c r="AB35" s="7"/>
      <c r="AC35" s="20"/>
      <c r="AD35" s="20"/>
      <c r="AE35" s="20"/>
      <c r="AF35" s="20"/>
      <c r="AG35" s="20"/>
      <c r="AH35" s="20"/>
      <c r="AI35" s="19"/>
      <c r="AJ35" s="18"/>
    </row>
    <row r="36" spans="1:36" x14ac:dyDescent="0.2">
      <c r="A36" s="1">
        <v>250</v>
      </c>
      <c r="C36" s="13">
        <v>0.3</v>
      </c>
      <c r="E36" s="1">
        <f>C36*($A$36*730)</f>
        <v>54750</v>
      </c>
      <c r="G36" s="29">
        <f>+W36</f>
        <v>6064.3099999999995</v>
      </c>
      <c r="H36" s="29">
        <f>+AF36</f>
        <v>6302.8325000000004</v>
      </c>
      <c r="I36" s="29">
        <f>+H36-G36</f>
        <v>238.52250000000095</v>
      </c>
      <c r="J36" s="57">
        <f>ROUND(+I36/G36,4)</f>
        <v>3.9300000000000002E-2</v>
      </c>
      <c r="K36" s="29">
        <f>ROUND($T$10*$E36,2)</f>
        <v>-14.52</v>
      </c>
      <c r="L36" s="29">
        <f>ROUND($T$11*$E36,2)</f>
        <v>103.15</v>
      </c>
      <c r="M36" s="29">
        <f>ROUND($T$12*$E36,2)</f>
        <v>495.47</v>
      </c>
      <c r="N36" s="29">
        <f>+G36+K36+L36+M36</f>
        <v>6648.4099999999989</v>
      </c>
      <c r="O36" s="29">
        <f>+H36+K36+L36+M36</f>
        <v>6886.9324999999999</v>
      </c>
      <c r="P36" s="57">
        <f>(O36-N36)/N36</f>
        <v>3.5876623132448354E-2</v>
      </c>
      <c r="S36" s="7">
        <f>$S$20</f>
        <v>90</v>
      </c>
      <c r="T36" s="20">
        <f>$T$17*E36</f>
        <v>2222.85</v>
      </c>
      <c r="U36" s="20">
        <f>ROUND((($A$36*$U$17*5)+($A$36*$U$18*7))/12,2)</f>
        <v>3751.46</v>
      </c>
      <c r="V36" s="20"/>
      <c r="W36" s="20">
        <f>S36+T36+U36</f>
        <v>6064.3099999999995</v>
      </c>
      <c r="X36" s="20"/>
      <c r="Y36" s="20"/>
      <c r="Z36" s="20"/>
      <c r="AA36" s="20"/>
      <c r="AB36" s="7">
        <f>INPUT!$H$25</f>
        <v>90</v>
      </c>
      <c r="AC36" s="20">
        <f>$AC$17*E36</f>
        <v>2228.8724999999999</v>
      </c>
      <c r="AD36" s="20">
        <f>ROUND((($A$36*$AD$17*5)+($A$36*$AD$18*7))/12,2)</f>
        <v>3983.96</v>
      </c>
      <c r="AE36" s="20"/>
      <c r="AF36" s="20">
        <f>AB36+AC36+AD36</f>
        <v>6302.8325000000004</v>
      </c>
      <c r="AG36" s="20"/>
      <c r="AH36" s="20"/>
      <c r="AI36" s="19">
        <f>AF36-W36</f>
        <v>238.52250000000095</v>
      </c>
      <c r="AJ36" s="18">
        <f>AF36/W36-1</f>
        <v>3.9332174641468098E-2</v>
      </c>
    </row>
    <row r="37" spans="1:36" x14ac:dyDescent="0.2">
      <c r="A37" s="1"/>
      <c r="C37" s="13">
        <v>0.5</v>
      </c>
      <c r="E37" s="1">
        <f>C37*($A$36*730)</f>
        <v>91250</v>
      </c>
      <c r="G37" s="29">
        <f>+W37</f>
        <v>7546.2099999999991</v>
      </c>
      <c r="H37" s="29">
        <f>+AF37</f>
        <v>7788.7475000000004</v>
      </c>
      <c r="I37" s="29">
        <f>+H37-G37</f>
        <v>242.53750000000127</v>
      </c>
      <c r="J37" s="57">
        <f>ROUND(+I37/G37,4)</f>
        <v>3.2099999999999997E-2</v>
      </c>
      <c r="K37" s="29">
        <f>ROUND($T$10*$E37,2)</f>
        <v>-24.19</v>
      </c>
      <c r="L37" s="29">
        <f>ROUND($T$11*$E37,2)</f>
        <v>171.92</v>
      </c>
      <c r="M37" s="29">
        <f>ROUND($T$12*$E37,2)</f>
        <v>825.78</v>
      </c>
      <c r="N37" s="29">
        <f>+G37+K37+L37+M37</f>
        <v>8519.7199999999993</v>
      </c>
      <c r="O37" s="29">
        <f>+H37+K37+L37+M37</f>
        <v>8762.2575000000015</v>
      </c>
      <c r="P37" s="57">
        <f>(O37-N37)/N37</f>
        <v>2.8467778283793623E-2</v>
      </c>
      <c r="S37" s="7">
        <f>$S$20</f>
        <v>90</v>
      </c>
      <c r="T37" s="20">
        <f>$T$17*E37</f>
        <v>3704.7499999999995</v>
      </c>
      <c r="U37" s="20">
        <f>ROUND((($A$36*$U$17*5)+($A$36*$U$18*7))/12,2)</f>
        <v>3751.46</v>
      </c>
      <c r="V37" s="20"/>
      <c r="W37" s="20">
        <f>S37+T37+U37</f>
        <v>7546.2099999999991</v>
      </c>
      <c r="X37" s="20"/>
      <c r="Y37" s="20"/>
      <c r="Z37" s="20"/>
      <c r="AA37" s="20"/>
      <c r="AB37" s="7">
        <f>INPUT!$H$25</f>
        <v>90</v>
      </c>
      <c r="AC37" s="20">
        <f>$AC$17*E37</f>
        <v>3714.7875000000004</v>
      </c>
      <c r="AD37" s="20">
        <f>ROUND((($A$36*$AD$17*5)+($A$36*$AD$18*7))/12,2)</f>
        <v>3983.96</v>
      </c>
      <c r="AE37" s="20"/>
      <c r="AF37" s="20">
        <f>AB37+AC37+AD37</f>
        <v>7788.7475000000004</v>
      </c>
      <c r="AG37" s="20"/>
      <c r="AH37" s="20"/>
      <c r="AI37" s="19">
        <f>AF37-W37</f>
        <v>242.53750000000127</v>
      </c>
      <c r="AJ37" s="18">
        <f>AF37/W37-1</f>
        <v>3.2140306193440216E-2</v>
      </c>
    </row>
    <row r="38" spans="1:36" x14ac:dyDescent="0.2">
      <c r="A38" s="1"/>
      <c r="C38" s="13">
        <v>0.7</v>
      </c>
      <c r="E38" s="1">
        <f>C38*($A$36*730)</f>
        <v>127749.99999999999</v>
      </c>
      <c r="G38" s="29">
        <f>+W38</f>
        <v>9028.1099999999988</v>
      </c>
      <c r="H38" s="29">
        <f>+AF38</f>
        <v>9274.6624999999985</v>
      </c>
      <c r="I38" s="29">
        <f>+H38-G38</f>
        <v>246.55249999999978</v>
      </c>
      <c r="J38" s="57">
        <f>ROUND(+I38/G38,4)</f>
        <v>2.7300000000000001E-2</v>
      </c>
      <c r="K38" s="29">
        <f>ROUND($T$10*$E38,2)</f>
        <v>-33.869999999999997</v>
      </c>
      <c r="L38" s="29">
        <f>ROUND($T$11*$E38,2)</f>
        <v>240.69</v>
      </c>
      <c r="M38" s="29">
        <f>ROUND($T$12*$E38,2)</f>
        <v>1156.0899999999999</v>
      </c>
      <c r="N38" s="29">
        <f>+G38+K38+L38+M38</f>
        <v>10391.019999999999</v>
      </c>
      <c r="O38" s="29">
        <f>+H38+K38+L38+M38</f>
        <v>10637.572499999998</v>
      </c>
      <c r="P38" s="57">
        <f>(O38-N38)/N38</f>
        <v>2.372745890201345E-2</v>
      </c>
      <c r="S38" s="7">
        <f>$S$20</f>
        <v>90</v>
      </c>
      <c r="T38" s="20">
        <f>$T$17*E38</f>
        <v>5186.6499999999987</v>
      </c>
      <c r="U38" s="20">
        <f>ROUND((($A$36*$U$17*5)+($A$36*$U$18*7))/12,2)</f>
        <v>3751.46</v>
      </c>
      <c r="V38" s="20"/>
      <c r="W38" s="20">
        <f>S38+T38+U38</f>
        <v>9028.1099999999988</v>
      </c>
      <c r="X38" s="20"/>
      <c r="Y38" s="20"/>
      <c r="Z38" s="20"/>
      <c r="AA38" s="20"/>
      <c r="AB38" s="7">
        <f>INPUT!$H$25</f>
        <v>90</v>
      </c>
      <c r="AC38" s="20">
        <f>$AC$17*E38</f>
        <v>5200.7024999999994</v>
      </c>
      <c r="AD38" s="20">
        <f>ROUND((($A$36*$AD$17*5)+($A$36*$AD$18*7))/12,2)</f>
        <v>3983.96</v>
      </c>
      <c r="AE38" s="20"/>
      <c r="AF38" s="20">
        <f>AB38+AC38+AD38</f>
        <v>9274.6624999999985</v>
      </c>
      <c r="AG38" s="20"/>
      <c r="AH38" s="20"/>
      <c r="AI38" s="19">
        <f>AF38-W38</f>
        <v>246.55249999999978</v>
      </c>
      <c r="AJ38" s="18">
        <f>AF38/W38-1</f>
        <v>2.7309425782362062E-2</v>
      </c>
    </row>
    <row r="39" spans="1:36" x14ac:dyDescent="0.2">
      <c r="E39" s="1"/>
      <c r="L39" s="29"/>
      <c r="T39" s="20"/>
      <c r="U39" s="20"/>
      <c r="V39" s="20"/>
      <c r="W39" s="20"/>
      <c r="X39" s="20"/>
      <c r="Y39" s="20"/>
      <c r="Z39" s="20"/>
      <c r="AA39" s="20"/>
    </row>
    <row r="40" spans="1:36" x14ac:dyDescent="0.2">
      <c r="A40" s="17" t="s">
        <v>373</v>
      </c>
      <c r="E40" s="1"/>
      <c r="L40" s="29"/>
      <c r="T40" s="20"/>
      <c r="U40" s="20"/>
      <c r="V40" s="20"/>
      <c r="W40" s="20"/>
      <c r="X40" s="20"/>
      <c r="Y40" s="20"/>
      <c r="Z40" s="20"/>
      <c r="AA40" s="20"/>
    </row>
    <row r="41" spans="1:36" x14ac:dyDescent="0.2">
      <c r="A41" s="228" t="str">
        <f>("Average usage = "&amp;TEXT(INPUT!H19*1,"0,000")&amp;" kWh per month")</f>
        <v>Average usage = 58,604 kWh per month</v>
      </c>
      <c r="T41" s="20"/>
      <c r="U41" s="20"/>
      <c r="V41" s="20"/>
      <c r="W41" s="20"/>
      <c r="X41" s="20"/>
      <c r="Y41" s="20"/>
      <c r="Z41" s="20"/>
      <c r="AA41" s="20"/>
    </row>
    <row r="42" spans="1:36" x14ac:dyDescent="0.2">
      <c r="A42" s="230" t="s">
        <v>375</v>
      </c>
      <c r="E42" s="1"/>
      <c r="S42" s="7"/>
      <c r="T42" s="20"/>
      <c r="U42" s="12"/>
      <c r="W42" s="12"/>
      <c r="AA42" s="6"/>
      <c r="AC42" s="9"/>
    </row>
    <row r="43" spans="1:36" x14ac:dyDescent="0.2">
      <c r="A43" s="229" t="s">
        <v>376</v>
      </c>
      <c r="E43" s="1"/>
      <c r="S43" s="7"/>
      <c r="T43" s="20"/>
      <c r="U43" s="12"/>
      <c r="W43" s="12"/>
      <c r="AA43" s="6"/>
      <c r="AC43" s="9"/>
    </row>
    <row r="44" spans="1:36" x14ac:dyDescent="0.2">
      <c r="A44" s="230" t="str">
        <f>+'Rate Case Constants'!C26</f>
        <v>Calculations may vary from other schedules due to rounding</v>
      </c>
    </row>
    <row r="45" spans="1:36" x14ac:dyDescent="0.2">
      <c r="A45" s="47"/>
    </row>
  </sheetData>
  <mergeCells count="5">
    <mergeCell ref="K15:M15"/>
    <mergeCell ref="A1:P1"/>
    <mergeCell ref="A2:P2"/>
    <mergeCell ref="A3:P3"/>
    <mergeCell ref="A4:P4"/>
  </mergeCells>
  <phoneticPr fontId="5" type="noConversion"/>
  <printOptions horizontalCentered="1"/>
  <pageMargins left="0.25" right="0.25" top="1" bottom="0.5" header="1" footer="0.5"/>
  <pageSetup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18</vt:i4>
      </vt:variant>
    </vt:vector>
  </HeadingPairs>
  <TitlesOfParts>
    <vt:vector size="38" baseType="lpstr">
      <vt:lpstr>INPUT</vt:lpstr>
      <vt:lpstr>Rate Case Constants</vt:lpstr>
      <vt:lpstr>SCHEDULES===&gt;</vt:lpstr>
      <vt:lpstr>Rate RS-VFD</vt:lpstr>
      <vt:lpstr>Rate RTOD Energy</vt:lpstr>
      <vt:lpstr>Rate RTOD Demand</vt:lpstr>
      <vt:lpstr>Rate GS Single Phase</vt:lpstr>
      <vt:lpstr>Rate GS Three Phase</vt:lpstr>
      <vt:lpstr>Rate PS Secondary</vt:lpstr>
      <vt:lpstr>Rate PS Primary</vt:lpstr>
      <vt:lpstr>Rate TOD Secondary</vt:lpstr>
      <vt:lpstr>Rate CTOD Primary</vt:lpstr>
      <vt:lpstr>Rate ITOD Primary</vt:lpstr>
      <vt:lpstr>Rate RTS</vt:lpstr>
      <vt:lpstr>Rate FLS Transmission</vt:lpstr>
      <vt:lpstr>Rate FLS Primary</vt:lpstr>
      <vt:lpstr>Rate LS-RLS</vt:lpstr>
      <vt:lpstr>Rate LE</vt:lpstr>
      <vt:lpstr>Rate TE</vt:lpstr>
      <vt:lpstr>Rate CTAC</vt:lpstr>
      <vt:lpstr>INPUT!Print_Area</vt:lpstr>
      <vt:lpstr>'Rate CTAC'!Print_Area</vt:lpstr>
      <vt:lpstr>'Rate CTOD Primary'!Print_Area</vt:lpstr>
      <vt:lpstr>'Rate FLS Primary'!Print_Area</vt:lpstr>
      <vt:lpstr>'Rate FLS Transmission'!Print_Area</vt:lpstr>
      <vt:lpstr>'Rate GS Single Phase'!Print_Area</vt:lpstr>
      <vt:lpstr>'Rate GS Three Phase'!Print_Area</vt:lpstr>
      <vt:lpstr>'Rate ITOD Primary'!Print_Area</vt:lpstr>
      <vt:lpstr>'Rate LE'!Print_Area</vt:lpstr>
      <vt:lpstr>'Rate LS-RLS'!Print_Area</vt:lpstr>
      <vt:lpstr>'Rate PS Primary'!Print_Area</vt:lpstr>
      <vt:lpstr>'Rate PS Secondary'!Print_Area</vt:lpstr>
      <vt:lpstr>'Rate RS-VFD'!Print_Area</vt:lpstr>
      <vt:lpstr>'Rate RTOD Demand'!Print_Area</vt:lpstr>
      <vt:lpstr>'Rate RTOD Energy'!Print_Area</vt:lpstr>
      <vt:lpstr>'Rate RTS'!Print_Area</vt:lpstr>
      <vt:lpstr>'Rate TE'!Print_Area</vt:lpstr>
      <vt:lpstr>'Rate TOD Secondary'!Print_Area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2015-01-12T03:38:34Z</dcterms:created>
  <dcterms:modified xsi:type="dcterms:W3CDTF">2015-01-12T03:43:04Z</dcterms:modified>
</cp:coreProperties>
</file>