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60" yWindow="-150" windowWidth="19950" windowHeight="12330"/>
  </bookViews>
  <sheets>
    <sheet name="Index" sheetId="1" r:id="rId1"/>
    <sheet name="Sch M-2.1-G" sheetId="2" r:id="rId2"/>
    <sheet name="Sch M-2.2-G" sheetId="3" r:id="rId3"/>
    <sheet name="Sch M-2.3-G Pg. 1" sheetId="4" r:id="rId4"/>
    <sheet name="Sch M-2.3-G Pg. 2-8" sheetId="5" r:id="rId5"/>
  </sheets>
  <definedNames>
    <definedName name="BNE_MESSAGES_HIDDEN" localSheetId="4" hidden="1">#REF!</definedName>
    <definedName name="BNE_MESSAGES_HIDDEN" hidden="1">#REF!</definedName>
    <definedName name="Z_601D5A54_F509_4FA9_B11B_60A776D8D782_.wvu.PrintArea" localSheetId="3" hidden="1">'Sch M-2.3-G Pg. 1'!$A$1:$J$32</definedName>
    <definedName name="Z_601D5A54_F509_4FA9_B11B_60A776D8D782_.wvu.PrintArea" localSheetId="4" hidden="1">'Sch M-2.3-G Pg. 2-8'!$C$6:$M$297</definedName>
    <definedName name="Z_601D5A54_F509_4FA9_B11B_60A776D8D782_.wvu.PrintTitles" localSheetId="4" hidden="1">'Sch M-2.3-G Pg. 2-8'!$6:$9</definedName>
  </definedNames>
  <calcPr calcId="145621"/>
</workbook>
</file>

<file path=xl/calcChain.xml><?xml version="1.0" encoding="utf-8"?>
<calcChain xmlns="http://schemas.openxmlformats.org/spreadsheetml/2006/main">
  <c r="M292" i="5" l="1"/>
  <c r="J288" i="5"/>
  <c r="L288" i="5"/>
  <c r="F285" i="5"/>
  <c r="J285" i="5" s="1"/>
  <c r="L258" i="5"/>
  <c r="J258" i="5"/>
  <c r="M248" i="5"/>
  <c r="G245" i="5"/>
  <c r="L243" i="5"/>
  <c r="M241" i="5"/>
  <c r="J241" i="5"/>
  <c r="L211" i="5"/>
  <c r="J211" i="5"/>
  <c r="J214" i="5" s="1"/>
  <c r="M205" i="5"/>
  <c r="L201" i="5"/>
  <c r="J194" i="5"/>
  <c r="L194" i="5"/>
  <c r="G217" i="5"/>
  <c r="R192" i="5"/>
  <c r="J192" i="5"/>
  <c r="J199" i="5" s="1"/>
  <c r="J203" i="5" s="1"/>
  <c r="M172" i="5"/>
  <c r="M171" i="5"/>
  <c r="M170" i="5"/>
  <c r="M158" i="5"/>
  <c r="J158" i="5"/>
  <c r="M156" i="5"/>
  <c r="J156" i="5"/>
  <c r="I160" i="5"/>
  <c r="J160" i="5" s="1"/>
  <c r="G163" i="5"/>
  <c r="D15" i="3" s="1"/>
  <c r="M150" i="5"/>
  <c r="M130" i="5"/>
  <c r="M129" i="5"/>
  <c r="M114" i="5"/>
  <c r="F115" i="5"/>
  <c r="L107" i="5"/>
  <c r="L108" i="5" s="1"/>
  <c r="L119" i="5" s="1"/>
  <c r="M80" i="5"/>
  <c r="M79" i="5"/>
  <c r="M78" i="5"/>
  <c r="L68" i="5"/>
  <c r="L67" i="5" s="1"/>
  <c r="M64" i="5"/>
  <c r="J64" i="5"/>
  <c r="M63" i="5"/>
  <c r="J56" i="5"/>
  <c r="M53" i="5"/>
  <c r="M52" i="5"/>
  <c r="N52" i="5" s="1"/>
  <c r="J52" i="5"/>
  <c r="M30" i="5"/>
  <c r="M29" i="5"/>
  <c r="M28" i="5"/>
  <c r="G21" i="5"/>
  <c r="D9" i="3" s="1"/>
  <c r="N14" i="5"/>
  <c r="M14" i="5"/>
  <c r="F28" i="4"/>
  <c r="H28" i="4" s="1"/>
  <c r="C25" i="4"/>
  <c r="C31" i="4" s="1"/>
  <c r="D19" i="3"/>
  <c r="D25" i="2"/>
  <c r="L118" i="5" l="1"/>
  <c r="J217" i="5"/>
  <c r="D25" i="4"/>
  <c r="D31" i="4" s="1"/>
  <c r="J68" i="5"/>
  <c r="M119" i="5"/>
  <c r="J283" i="5"/>
  <c r="J287" i="5"/>
  <c r="E25" i="4"/>
  <c r="E31" i="4" s="1"/>
  <c r="M17" i="5"/>
  <c r="M21" i="5" s="1"/>
  <c r="J63" i="5"/>
  <c r="J67" i="5"/>
  <c r="J115" i="5"/>
  <c r="M118" i="5"/>
  <c r="M243" i="5"/>
  <c r="M258" i="5"/>
  <c r="M283" i="5"/>
  <c r="D23" i="3"/>
  <c r="J57" i="5"/>
  <c r="H71" i="5"/>
  <c r="J243" i="5"/>
  <c r="J246" i="5" s="1"/>
  <c r="J260" i="5"/>
  <c r="M288" i="5"/>
  <c r="M256" i="5"/>
  <c r="D21" i="3"/>
  <c r="M211" i="5"/>
  <c r="M214" i="5" s="1"/>
  <c r="N17" i="5"/>
  <c r="J17" i="5"/>
  <c r="L57" i="5"/>
  <c r="L56" i="5" s="1"/>
  <c r="M56" i="5" s="1"/>
  <c r="M71" i="5" s="1"/>
  <c r="M68" i="5"/>
  <c r="J119" i="5"/>
  <c r="J150" i="5"/>
  <c r="N150" i="5"/>
  <c r="J152" i="5"/>
  <c r="R193" i="5"/>
  <c r="M194" i="5"/>
  <c r="O194" i="5" s="1"/>
  <c r="O195" i="5" s="1"/>
  <c r="J256" i="5"/>
  <c r="L260" i="5"/>
  <c r="M260" i="5" s="1"/>
  <c r="L287" i="5"/>
  <c r="M287" i="5" s="1"/>
  <c r="G71" i="5"/>
  <c r="D11" i="3"/>
  <c r="M57" i="5"/>
  <c r="M67" i="5"/>
  <c r="M115" i="5"/>
  <c r="F29" i="4"/>
  <c r="H29" i="4" s="1"/>
  <c r="J14" i="5"/>
  <c r="J21" i="5" s="1"/>
  <c r="J53" i="5"/>
  <c r="J71" i="5" s="1"/>
  <c r="M192" i="5"/>
  <c r="M199" i="5" s="1"/>
  <c r="M203" i="5" s="1"/>
  <c r="F17" i="3"/>
  <c r="L245" i="5"/>
  <c r="M245" i="5" s="1"/>
  <c r="M246" i="5" s="1"/>
  <c r="M250" i="5" s="1"/>
  <c r="M285" i="5"/>
  <c r="M290" i="5" s="1"/>
  <c r="M294" i="5" s="1"/>
  <c r="Q107" i="5"/>
  <c r="J114" i="5"/>
  <c r="J118" i="5"/>
  <c r="L152" i="5"/>
  <c r="L160" i="5" s="1"/>
  <c r="M160" i="5" s="1"/>
  <c r="P246" i="5" l="1"/>
  <c r="J250" i="5"/>
  <c r="M217" i="5"/>
  <c r="Q243" i="5"/>
  <c r="Q245" i="5"/>
  <c r="J262" i="5"/>
  <c r="G84" i="5"/>
  <c r="J290" i="5"/>
  <c r="M252" i="5"/>
  <c r="M262" i="5"/>
  <c r="M265" i="5" s="1"/>
  <c r="J265" i="5"/>
  <c r="D17" i="3"/>
  <c r="J163" i="5"/>
  <c r="F19" i="3"/>
  <c r="M152" i="5"/>
  <c r="M163" i="5" s="1"/>
  <c r="M219" i="5" l="1"/>
  <c r="J294" i="5"/>
  <c r="I23" i="3"/>
  <c r="D23" i="2"/>
  <c r="E23" i="2" s="1"/>
  <c r="I19" i="3"/>
  <c r="J19" i="3" s="1"/>
  <c r="K19" i="3" s="1"/>
  <c r="D19" i="2"/>
  <c r="E19" i="2" s="1"/>
  <c r="D17" i="2"/>
  <c r="E17" i="2" s="1"/>
  <c r="I17" i="3"/>
  <c r="J17" i="3" s="1"/>
  <c r="K17" i="3" s="1"/>
  <c r="F21" i="3"/>
  <c r="M267" i="5"/>
  <c r="M220" i="5"/>
  <c r="H19" i="4"/>
  <c r="N220" i="5"/>
  <c r="N253" i="5"/>
  <c r="M253" i="5"/>
  <c r="H21" i="4"/>
  <c r="M296" i="5" l="1"/>
  <c r="G122" i="5"/>
  <c r="M107" i="5"/>
  <c r="J107" i="5"/>
  <c r="M268" i="5"/>
  <c r="H22" i="4"/>
  <c r="N268" i="5"/>
  <c r="I21" i="3"/>
  <c r="J21" i="3" s="1"/>
  <c r="K21" i="3" s="1"/>
  <c r="D21" i="2"/>
  <c r="E21" i="2" s="1"/>
  <c r="H23" i="4" l="1"/>
  <c r="N297" i="5"/>
  <c r="M297" i="5"/>
  <c r="F23" i="3"/>
  <c r="J23" i="3" s="1"/>
  <c r="K23" i="3" s="1"/>
  <c r="M103" i="5"/>
  <c r="J103" i="5"/>
  <c r="M108" i="5"/>
  <c r="H122" i="5"/>
  <c r="G133" i="5" s="1"/>
  <c r="J108" i="5"/>
  <c r="M104" i="5"/>
  <c r="J104" i="5"/>
  <c r="J122" i="5" l="1"/>
  <c r="D13" i="3"/>
  <c r="M122" i="5"/>
  <c r="L73" i="5" l="1"/>
  <c r="M75" i="5" s="1"/>
  <c r="M84" i="5" s="1"/>
  <c r="J75" i="5"/>
  <c r="J84" i="5" l="1"/>
  <c r="M86" i="5" l="1"/>
  <c r="M87" i="5"/>
  <c r="I11" i="3"/>
  <c r="D11" i="2"/>
  <c r="E11" i="2" s="1"/>
  <c r="F11" i="3"/>
  <c r="N87" i="5" l="1"/>
  <c r="H13" i="4"/>
  <c r="L23" i="5"/>
  <c r="M25" i="5" s="1"/>
  <c r="M33" i="5" s="1"/>
  <c r="J25" i="5"/>
  <c r="J33" i="5" s="1"/>
  <c r="J11" i="3"/>
  <c r="K11" i="3" s="1"/>
  <c r="F9" i="3" l="1"/>
  <c r="M35" i="5"/>
  <c r="I9" i="3" l="1"/>
  <c r="J9" i="3" s="1"/>
  <c r="K9" i="3" s="1"/>
  <c r="M36" i="5"/>
  <c r="N36" i="5"/>
  <c r="D9" i="2" l="1"/>
  <c r="H11" i="4"/>
  <c r="E9" i="2" l="1"/>
  <c r="L124" i="5" l="1"/>
  <c r="M126" i="5" s="1"/>
  <c r="M133" i="5" s="1"/>
  <c r="J126" i="5"/>
  <c r="J133" i="5" l="1"/>
  <c r="I13" i="3" l="1"/>
  <c r="M135" i="5"/>
  <c r="F13" i="3"/>
  <c r="F25" i="4"/>
  <c r="F31" i="4" s="1"/>
  <c r="B25" i="4"/>
  <c r="B31" i="4" s="1"/>
  <c r="J13" i="3" l="1"/>
  <c r="K13" i="3" s="1"/>
  <c r="M136" i="5"/>
  <c r="N136" i="5"/>
  <c r="D13" i="2"/>
  <c r="E13" i="2" l="1"/>
  <c r="H15" i="4"/>
  <c r="L165" i="5" l="1"/>
  <c r="M167" i="5" s="1"/>
  <c r="M174" i="5" s="1"/>
  <c r="J167" i="5"/>
  <c r="J174" i="5" s="1"/>
  <c r="F15" i="3" l="1"/>
  <c r="B27" i="2"/>
  <c r="M176" i="5"/>
  <c r="I15" i="3" l="1"/>
  <c r="J15" i="3" s="1"/>
  <c r="K15" i="3" s="1"/>
  <c r="N177" i="5"/>
  <c r="M177" i="5"/>
  <c r="D15" i="2" l="1"/>
  <c r="C27" i="2"/>
  <c r="H17" i="4"/>
  <c r="G25" i="4"/>
  <c r="H25" i="4" l="1"/>
  <c r="G31" i="4"/>
  <c r="H31" i="4" s="1"/>
  <c r="E15" i="2"/>
  <c r="D27" i="2"/>
  <c r="E27" i="2" s="1"/>
</calcChain>
</file>

<file path=xl/sharedStrings.xml><?xml version="1.0" encoding="utf-8"?>
<sst xmlns="http://schemas.openxmlformats.org/spreadsheetml/2006/main" count="381" uniqueCount="166">
  <si>
    <t>SCHEDULE M</t>
  </si>
  <si>
    <t>BILLING DETERMINANTS AND EXHIBITS FOR THE FORECASTED PERIOD</t>
  </si>
  <si>
    <t>LOUISVILLE GAS AND ELECTRIC COMPANY</t>
  </si>
  <si>
    <t>CASE NO. 2014-00372</t>
  </si>
  <si>
    <t>GAS OPERATIONS</t>
  </si>
  <si>
    <t>BASE PERIOD:</t>
  </si>
  <si>
    <t>FOR THE 12 MONTHS ENDED FEBRUARY 28, 2015</t>
  </si>
  <si>
    <t>FORECASTED PERIOD:</t>
  </si>
  <si>
    <t>FOR THE 12 MONTHS ENDED JUNE 30, 2016</t>
  </si>
  <si>
    <t>SCHEDULE</t>
  </si>
  <si>
    <t>DESCRIPTION</t>
  </si>
  <si>
    <t>M-2.1-G</t>
  </si>
  <si>
    <t>FORECAST PERIOD REVENUES AT CURRENT AND PROPOSED RATES</t>
  </si>
  <si>
    <t>M-2.2-G</t>
  </si>
  <si>
    <t>AVERAGE BILL COMPARISON AT CURRENT AND PROPOSED RATES BY RATE CLASS</t>
  </si>
  <si>
    <t>M-2.3-G</t>
  </si>
  <si>
    <t>Page 1</t>
  </si>
  <si>
    <t>SUMMARY OF PROPOSED GAS REVENUE INCREASE</t>
  </si>
  <si>
    <t>Pages 2-8</t>
  </si>
  <si>
    <t>CALCULATION OF PROPOSED GAS RATE INCREASE</t>
  </si>
  <si>
    <t>DATA:  ____ BASE PERIOD  __X__  FORECAST PERIOD</t>
  </si>
  <si>
    <t>SCHEDULE M-2.1-G</t>
  </si>
  <si>
    <t>TYPE OF FILING: __X__ ORIGINAL  _____ UPDATED  _____ REVISED</t>
  </si>
  <si>
    <t>Page 1 of 1</t>
  </si>
  <si>
    <t>WORK PAPER REFERENCE NO(S):</t>
  </si>
  <si>
    <t>Witness:  M. J. Blake</t>
  </si>
  <si>
    <t>Rate Class</t>
  </si>
  <si>
    <t>Total Revenue at Present Rates</t>
  </si>
  <si>
    <t>Total Revenue at Proposed Rates</t>
  </si>
  <si>
    <t>Change in Total Revenue</t>
  </si>
  <si>
    <t>Percent Change in Total Revenue</t>
  </si>
  <si>
    <t>Residential Gas Service (RGS)</t>
  </si>
  <si>
    <t>Commercial Gas Service (CGS)</t>
  </si>
  <si>
    <t>Industrial Gas Service (IGS)</t>
  </si>
  <si>
    <t>As Available Gas Service (AAGS)</t>
  </si>
  <si>
    <t>Firm Transportation (FT)</t>
  </si>
  <si>
    <t>Special Contract Intra-Company Sales</t>
  </si>
  <si>
    <t>Special Contract Intra-Company Transportation</t>
  </si>
  <si>
    <t>Special Contract</t>
  </si>
  <si>
    <t>Distributed Generation Gas Service (DGGS)</t>
  </si>
  <si>
    <t>TOTAL</t>
  </si>
  <si>
    <t>SCHEDULE M-2.2-G</t>
  </si>
  <si>
    <t>Customer Months</t>
  </si>
  <si>
    <t>Billed Mcf</t>
  </si>
  <si>
    <t>Average Consumption-Mcf</t>
  </si>
  <si>
    <t>Annual Revenue at Current Rates</t>
  </si>
  <si>
    <t>Average Current Bill</t>
  </si>
  <si>
    <t>Revenue Increase</t>
  </si>
  <si>
    <t>Annual Revenue at Proposed Rates</t>
  </si>
  <si>
    <t>Average Proposed Bill</t>
  </si>
  <si>
    <t>Change in Average Bill</t>
  </si>
  <si>
    <t>Percentage Change in Average Bill</t>
  </si>
  <si>
    <t>Increase</t>
  </si>
  <si>
    <t>SCHEDULE M-2.3-G</t>
  </si>
  <si>
    <t>Page 1 of 8</t>
  </si>
  <si>
    <t>WITNESS:   M. J. BLAKE</t>
  </si>
  <si>
    <t>Total</t>
  </si>
  <si>
    <t>Base Rate</t>
  </si>
  <si>
    <t>GLT</t>
  </si>
  <si>
    <t>GSC</t>
  </si>
  <si>
    <t>DSM</t>
  </si>
  <si>
    <t>Current</t>
  </si>
  <si>
    <t>Percentage</t>
  </si>
  <si>
    <t>Revenue</t>
  </si>
  <si>
    <t>Change</t>
  </si>
  <si>
    <t>Residential Gas Service - Rate RGS</t>
  </si>
  <si>
    <t>Commercial Gas Service - Rate CGS</t>
  </si>
  <si>
    <t>Industrial Gas Service - Rate IGS</t>
  </si>
  <si>
    <t>As-Available Gas Service - Rate AAGS</t>
  </si>
  <si>
    <t>Total Firm Transportation Service (Non-Standby) Rate FT</t>
  </si>
  <si>
    <t>Special Contract - Intra-Company Sales</t>
  </si>
  <si>
    <t>Special Contract - Intra-Company Transportation</t>
  </si>
  <si>
    <t>Subtotal Sales to Ultimate Consumers and Inter-Company</t>
  </si>
  <si>
    <t>Late Payment Charge</t>
  </si>
  <si>
    <t>Miscellaneous Revenue</t>
  </si>
  <si>
    <t>Total Sales to Ultimate Consumers and Inter-Company</t>
  </si>
  <si>
    <t>Monthly Transport Customer Charge</t>
  </si>
  <si>
    <t>Page 2 of 8</t>
  </si>
  <si>
    <t>Calculated</t>
  </si>
  <si>
    <t>Proposed Rates</t>
  </si>
  <si>
    <t>Present</t>
  </si>
  <si>
    <t>@ Present</t>
  </si>
  <si>
    <t xml:space="preserve">Unit </t>
  </si>
  <si>
    <t>MCF</t>
  </si>
  <si>
    <t>Rates</t>
  </si>
  <si>
    <t>Charges</t>
  </si>
  <si>
    <t>RATE RGS:</t>
  </si>
  <si>
    <t>RGS</t>
  </si>
  <si>
    <t>Residential Gas Service Rate RGS</t>
  </si>
  <si>
    <t>Basic Service Charge for the 12-Month Period</t>
  </si>
  <si>
    <t>Distribution Cost Component (MCF)</t>
  </si>
  <si>
    <t>Subtotal</t>
  </si>
  <si>
    <t>Correction Factor</t>
  </si>
  <si>
    <r>
      <rPr>
        <b/>
        <sz val="12"/>
        <rFont val="Times New Roman"/>
        <family val="1"/>
      </rPr>
      <t>Subtotal Rate RGS</t>
    </r>
    <r>
      <rPr>
        <sz val="12"/>
        <rFont val="Times New Roman"/>
        <family val="1"/>
      </rPr>
      <t xml:space="preserve"> after application of Correction Factor</t>
    </r>
  </si>
  <si>
    <t>Gas Line Tracker (GLT) - Forecasted</t>
  </si>
  <si>
    <t>Gas Supply Clause (GSC) - Forecasted</t>
  </si>
  <si>
    <t>Demand-side Management (DSM) - Forecasted</t>
  </si>
  <si>
    <t>Total Residential Gas Service Rate RGS</t>
  </si>
  <si>
    <t>Proposed Increase in Revenue</t>
  </si>
  <si>
    <t>Target Increase Input</t>
  </si>
  <si>
    <t>SCHEDULE M-2.3</t>
  </si>
  <si>
    <t>Page 3 of 8</t>
  </si>
  <si>
    <t>WITNESS:   M. BLAKE</t>
  </si>
  <si>
    <t>Off-Peak</t>
  </si>
  <si>
    <t>Customers</t>
  </si>
  <si>
    <t>RATE CGS:</t>
  </si>
  <si>
    <t>CGS</t>
  </si>
  <si>
    <t>Firm Commercial Gas Service Rate CGS</t>
  </si>
  <si>
    <t>Customers for the 12-Month Period</t>
  </si>
  <si>
    <t>TSC-Cashout</t>
  </si>
  <si>
    <t>Basic Service Charge (meters &lt; 5000 cfh)</t>
  </si>
  <si>
    <t>Basic Service Charge (meters 5000 cfh or &gt;)</t>
  </si>
  <si>
    <t>Distribution Cost Component</t>
  </si>
  <si>
    <t>On Peak Mcf</t>
  </si>
  <si>
    <t>Off Peak Mcf</t>
  </si>
  <si>
    <t>from TS Tab</t>
  </si>
  <si>
    <t>Gas Transportation Service/Firm Balancing Service Rider to Rate CGS</t>
  </si>
  <si>
    <t>Administrative Charges</t>
  </si>
  <si>
    <t>Pool Manager Charges</t>
  </si>
  <si>
    <r>
      <rPr>
        <b/>
        <sz val="12"/>
        <rFont val="Times New Roman"/>
        <family val="1"/>
      </rPr>
      <t>Subtotal Rate CGS</t>
    </r>
    <r>
      <rPr>
        <sz val="12"/>
        <rFont val="Times New Roman"/>
        <family val="1"/>
      </rPr>
      <t xml:space="preserve"> after application of Correction Factor</t>
    </r>
  </si>
  <si>
    <t>Total Commercial Gas Service Rate CGS</t>
  </si>
  <si>
    <t>Page 4 of 8</t>
  </si>
  <si>
    <t>RATE IGS:</t>
  </si>
  <si>
    <t>IGS</t>
  </si>
  <si>
    <t>Firm Industrial Gas Service Rate IGS</t>
  </si>
  <si>
    <t>TSI-Cashout</t>
  </si>
  <si>
    <t>Gas Transportation Service/Firm Balancing Service Rider to Rate IGS</t>
  </si>
  <si>
    <r>
      <rPr>
        <b/>
        <sz val="12"/>
        <rFont val="Times New Roman"/>
        <family val="1"/>
      </rPr>
      <t>Subtotal Rate IGS</t>
    </r>
    <r>
      <rPr>
        <sz val="12"/>
        <rFont val="Times New Roman"/>
        <family val="1"/>
      </rPr>
      <t xml:space="preserve"> after application of Correction Factor</t>
    </r>
  </si>
  <si>
    <t>Total Industrial Gas Service Rate IGS</t>
  </si>
  <si>
    <t>Page 5 of 8</t>
  </si>
  <si>
    <r>
      <t>RATE AAGS:</t>
    </r>
    <r>
      <rPr>
        <sz val="14"/>
        <rFont val="Times New Roman"/>
        <family val="1"/>
      </rPr>
      <t xml:space="preserve">  </t>
    </r>
  </si>
  <si>
    <t>AAGS-C</t>
  </si>
  <si>
    <t>As Available Gas Service Rate AAGS</t>
  </si>
  <si>
    <t>AAGS-I</t>
  </si>
  <si>
    <t>Gas Transportation Service/Firm Balancing Service Rider to Rate AAGS</t>
  </si>
  <si>
    <t>(In Revenue Requirements as a ProForma Adjustment)</t>
  </si>
  <si>
    <t>Distribution Cost Component (Mcf)</t>
  </si>
  <si>
    <r>
      <rPr>
        <b/>
        <sz val="12"/>
        <rFont val="Times New Roman"/>
        <family val="1"/>
      </rPr>
      <t>Subtotal Rate AAGS</t>
    </r>
    <r>
      <rPr>
        <sz val="12"/>
        <rFont val="Times New Roman"/>
        <family val="1"/>
      </rPr>
      <t xml:space="preserve"> after application of Correction Factor</t>
    </r>
  </si>
  <si>
    <t>Total As Available Gas Service Rate AAGS</t>
  </si>
  <si>
    <t>Page 6 of 8</t>
  </si>
  <si>
    <t>RATE FT:</t>
  </si>
  <si>
    <t>Firm Transportation Service (Transportation Only) Rate FT</t>
  </si>
  <si>
    <r>
      <rPr>
        <b/>
        <sz val="12"/>
        <rFont val="Times New Roman"/>
        <family val="1"/>
      </rPr>
      <t>Subtotal Rate FT</t>
    </r>
    <r>
      <rPr>
        <sz val="12"/>
        <rFont val="Times New Roman"/>
        <family val="1"/>
      </rPr>
      <t xml:space="preserve"> after application of Correction Factor</t>
    </r>
  </si>
  <si>
    <t>RATE PS-FT:</t>
  </si>
  <si>
    <t>Pooling Service Rate PS - FT</t>
  </si>
  <si>
    <t xml:space="preserve">         Total Rate PS-FT</t>
  </si>
  <si>
    <t>Total Firm Transportation (Non-Standby) Rate FT</t>
  </si>
  <si>
    <t>Page 7 of 8</t>
  </si>
  <si>
    <t>INTRA-COMPANY SPECIAL CONTRACTS</t>
  </si>
  <si>
    <t>Intra-Company Special Contract - Sales Service</t>
  </si>
  <si>
    <t>SPC-LGE</t>
  </si>
  <si>
    <t>Mcf</t>
  </si>
  <si>
    <t>Demand Charge</t>
  </si>
  <si>
    <t>Mcfd</t>
  </si>
  <si>
    <t xml:space="preserve">  Subtotal</t>
  </si>
  <si>
    <t>Total Intra-Company Special Contract - Sales Service</t>
  </si>
  <si>
    <t>Proposed Increase</t>
  </si>
  <si>
    <t>Intra-Company Special Contract - Rate FT Customer</t>
  </si>
  <si>
    <t>SPC-PADDY</t>
  </si>
  <si>
    <t xml:space="preserve">     Subtotal</t>
  </si>
  <si>
    <t>Total Intra-Company Special Contract - Rate FT Customer</t>
  </si>
  <si>
    <t>Page 8 of 8</t>
  </si>
  <si>
    <t>SPECIAL CONTRACTS - TRANSPORTATION SERVICE</t>
  </si>
  <si>
    <t>Customer Charges</t>
  </si>
  <si>
    <t>Distribution Charge</t>
  </si>
  <si>
    <t>Total Special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</si>
</sst>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  <numFmt numFmtId="166" formatCode="#,##0.0_);\(#,##0.0\)"/>
    <numFmt numFmtId="167" formatCode="_(* #,##0_);_(* \(#,##0\);_(* &quot;-&quot;??_);_(@_)"/>
    <numFmt numFmtId="168" formatCode="0.000000"/>
    <numFmt numFmtId="169" formatCode="0.00000%"/>
    <numFmt numFmtId="170" formatCode="[$-409]mmmm\-yy;@"/>
    <numFmt numFmtId="171" formatCode="_(&quot;$&quot;* #,##0.00000_);_(&quot;$&quot;* \(#,##0.00000\);_(&quot;$&quot;* &quot;-&quot;??_);_(@_)"/>
    <numFmt numFmtId="172" formatCode="_(* #,##0.000000_);_(* \(#,##0.000000\);_(* &quot;-&quot;??_);_(@_)"/>
    <numFmt numFmtId="173" formatCode="_(&quot;$&quot;* #,##0.00000_);_(&quot;$&quot;* \(#,##0.00000\);_(&quot;$&quot;* &quot;-&quot;???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_);_(@_)"/>
    <numFmt numFmtId="176" formatCode="_(* #,##0.0_);_(* \(#,##0.0\);_(* &quot;-&quot;??_);_(@_)"/>
    <numFmt numFmtId="177" formatCode="_(&quot;$&quot;* #,##0.00_);_(&quot;$&quot;* \(#,##0.00\);_(&quot;$&quot;* &quot;-&quot;_);_(@_)"/>
    <numFmt numFmtId="178" formatCode="_(&quot;$&quot;* #,##0_);_(&quot;$&quot;* \(#,##0\);_(&quot;$&quot;* &quot;-&quot;_)"/>
    <numFmt numFmtId="179" formatCode="_(&quot;$&quot;* #,##0.0000000_);_(&quot;$&quot;* \(#,##0.0000000\);_(&quot;$&quot;* &quot;-&quot;_);_(@_)"/>
    <numFmt numFmtId="180" formatCode="_(&quot;$&quot;* #,##0.000_);_(&quot;$&quot;* \(#,##0.000\);_(&quot;$&quot;* &quot;-&quot;_);_(@_)"/>
    <numFmt numFmtId="181" formatCode="[$-409]mmm\-yy;@"/>
    <numFmt numFmtId="182" formatCode="&quot;$&quot;#,##0\ ;\(&quot;$&quot;#,##0\)"/>
    <numFmt numFmtId="183" formatCode="_([$€-2]* #,##0.00_);_([$€-2]* \(#,##0.00\);_([$€-2]* &quot;-&quot;??_)"/>
    <numFmt numFmtId="184" formatCode="General_)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color theme="1"/>
      <name val="Times New Roman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b/>
      <u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6" fillId="0" borderId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22" fillId="0" borderId="0"/>
    <xf numFmtId="43" fontId="7" fillId="0" borderId="0" applyFont="0" applyFill="0" applyBorder="0" applyAlignment="0" applyProtection="0"/>
    <xf numFmtId="17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1" fontId="29" fillId="10" borderId="0" applyNumberFormat="0" applyBorder="0" applyAlignment="0" applyProtection="0"/>
    <xf numFmtId="181" fontId="29" fillId="10" borderId="0" applyNumberFormat="0" applyBorder="0" applyAlignment="0" applyProtection="0"/>
    <xf numFmtId="170" fontId="21" fillId="34" borderId="0" applyNumberFormat="0" applyBorder="0" applyAlignment="0" applyProtection="0"/>
    <xf numFmtId="170" fontId="21" fillId="34" borderId="0" applyNumberFormat="0" applyBorder="0" applyAlignment="0" applyProtection="0"/>
    <xf numFmtId="170" fontId="21" fillId="34" borderId="0" applyNumberFormat="0" applyBorder="0" applyAlignment="0" applyProtection="0"/>
    <xf numFmtId="170" fontId="21" fillId="34" borderId="0" applyNumberFormat="0" applyBorder="0" applyAlignment="0" applyProtection="0"/>
    <xf numFmtId="170" fontId="21" fillId="34" borderId="0" applyNumberFormat="0" applyBorder="0" applyAlignment="0" applyProtection="0"/>
    <xf numFmtId="170" fontId="21" fillId="34" borderId="0" applyNumberFormat="0" applyBorder="0" applyAlignment="0" applyProtection="0"/>
    <xf numFmtId="17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81" fontId="29" fillId="14" borderId="0" applyNumberFormat="0" applyBorder="0" applyAlignment="0" applyProtection="0"/>
    <xf numFmtId="181" fontId="29" fillId="14" borderId="0" applyNumberFormat="0" applyBorder="0" applyAlignment="0" applyProtection="0"/>
    <xf numFmtId="170" fontId="21" fillId="35" borderId="0" applyNumberFormat="0" applyBorder="0" applyAlignment="0" applyProtection="0"/>
    <xf numFmtId="170" fontId="21" fillId="35" borderId="0" applyNumberFormat="0" applyBorder="0" applyAlignment="0" applyProtection="0"/>
    <xf numFmtId="170" fontId="21" fillId="35" borderId="0" applyNumberFormat="0" applyBorder="0" applyAlignment="0" applyProtection="0"/>
    <xf numFmtId="170" fontId="21" fillId="35" borderId="0" applyNumberFormat="0" applyBorder="0" applyAlignment="0" applyProtection="0"/>
    <xf numFmtId="170" fontId="21" fillId="35" borderId="0" applyNumberFormat="0" applyBorder="0" applyAlignment="0" applyProtection="0"/>
    <xf numFmtId="170" fontId="21" fillId="35" borderId="0" applyNumberFormat="0" applyBorder="0" applyAlignment="0" applyProtection="0"/>
    <xf numFmtId="17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181" fontId="29" fillId="18" borderId="0" applyNumberFormat="0" applyBorder="0" applyAlignment="0" applyProtection="0"/>
    <xf numFmtId="181" fontId="29" fillId="18" borderId="0" applyNumberFormat="0" applyBorder="0" applyAlignment="0" applyProtection="0"/>
    <xf numFmtId="170" fontId="21" fillId="36" borderId="0" applyNumberFormat="0" applyBorder="0" applyAlignment="0" applyProtection="0"/>
    <xf numFmtId="170" fontId="21" fillId="36" borderId="0" applyNumberFormat="0" applyBorder="0" applyAlignment="0" applyProtection="0"/>
    <xf numFmtId="170" fontId="21" fillId="36" borderId="0" applyNumberFormat="0" applyBorder="0" applyAlignment="0" applyProtection="0"/>
    <xf numFmtId="170" fontId="21" fillId="36" borderId="0" applyNumberFormat="0" applyBorder="0" applyAlignment="0" applyProtection="0"/>
    <xf numFmtId="170" fontId="21" fillId="36" borderId="0" applyNumberFormat="0" applyBorder="0" applyAlignment="0" applyProtection="0"/>
    <xf numFmtId="170" fontId="21" fillId="36" borderId="0" applyNumberFormat="0" applyBorder="0" applyAlignment="0" applyProtection="0"/>
    <xf numFmtId="17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81" fontId="29" fillId="22" borderId="0" applyNumberFormat="0" applyBorder="0" applyAlignment="0" applyProtection="0"/>
    <xf numFmtId="181" fontId="29" fillId="22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81" fontId="29" fillId="26" borderId="0" applyNumberFormat="0" applyBorder="0" applyAlignment="0" applyProtection="0"/>
    <xf numFmtId="181" fontId="29" fillId="26" borderId="0" applyNumberFormat="0" applyBorder="0" applyAlignment="0" applyProtection="0"/>
    <xf numFmtId="170" fontId="21" fillId="38" borderId="0" applyNumberFormat="0" applyBorder="0" applyAlignment="0" applyProtection="0"/>
    <xf numFmtId="170" fontId="21" fillId="38" borderId="0" applyNumberFormat="0" applyBorder="0" applyAlignment="0" applyProtection="0"/>
    <xf numFmtId="170" fontId="21" fillId="38" borderId="0" applyNumberFormat="0" applyBorder="0" applyAlignment="0" applyProtection="0"/>
    <xf numFmtId="170" fontId="21" fillId="38" borderId="0" applyNumberFormat="0" applyBorder="0" applyAlignment="0" applyProtection="0"/>
    <xf numFmtId="170" fontId="21" fillId="38" borderId="0" applyNumberFormat="0" applyBorder="0" applyAlignment="0" applyProtection="0"/>
    <xf numFmtId="170" fontId="21" fillId="38" borderId="0" applyNumberFormat="0" applyBorder="0" applyAlignment="0" applyProtection="0"/>
    <xf numFmtId="17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81" fontId="29" fillId="30" borderId="0" applyNumberFormat="0" applyBorder="0" applyAlignment="0" applyProtection="0"/>
    <xf numFmtId="181" fontId="29" fillId="30" borderId="0" applyNumberFormat="0" applyBorder="0" applyAlignment="0" applyProtection="0"/>
    <xf numFmtId="170" fontId="21" fillId="39" borderId="0" applyNumberFormat="0" applyBorder="0" applyAlignment="0" applyProtection="0"/>
    <xf numFmtId="170" fontId="21" fillId="39" borderId="0" applyNumberFormat="0" applyBorder="0" applyAlignment="0" applyProtection="0"/>
    <xf numFmtId="170" fontId="21" fillId="39" borderId="0" applyNumberFormat="0" applyBorder="0" applyAlignment="0" applyProtection="0"/>
    <xf numFmtId="170" fontId="21" fillId="39" borderId="0" applyNumberFormat="0" applyBorder="0" applyAlignment="0" applyProtection="0"/>
    <xf numFmtId="170" fontId="21" fillId="39" borderId="0" applyNumberFormat="0" applyBorder="0" applyAlignment="0" applyProtection="0"/>
    <xf numFmtId="170" fontId="21" fillId="39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81" fontId="29" fillId="11" borderId="0" applyNumberFormat="0" applyBorder="0" applyAlignment="0" applyProtection="0"/>
    <xf numFmtId="181" fontId="29" fillId="11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81" fontId="29" fillId="15" borderId="0" applyNumberFormat="0" applyBorder="0" applyAlignment="0" applyProtection="0"/>
    <xf numFmtId="181" fontId="29" fillId="15" borderId="0" applyNumberFormat="0" applyBorder="0" applyAlignment="0" applyProtection="0"/>
    <xf numFmtId="170" fontId="21" fillId="41" borderId="0" applyNumberFormat="0" applyBorder="0" applyAlignment="0" applyProtection="0"/>
    <xf numFmtId="170" fontId="21" fillId="41" borderId="0" applyNumberFormat="0" applyBorder="0" applyAlignment="0" applyProtection="0"/>
    <xf numFmtId="170" fontId="21" fillId="41" borderId="0" applyNumberFormat="0" applyBorder="0" applyAlignment="0" applyProtection="0"/>
    <xf numFmtId="170" fontId="21" fillId="41" borderId="0" applyNumberFormat="0" applyBorder="0" applyAlignment="0" applyProtection="0"/>
    <xf numFmtId="170" fontId="21" fillId="41" borderId="0" applyNumberFormat="0" applyBorder="0" applyAlignment="0" applyProtection="0"/>
    <xf numFmtId="170" fontId="21" fillId="41" borderId="0" applyNumberFormat="0" applyBorder="0" applyAlignment="0" applyProtection="0"/>
    <xf numFmtId="17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81" fontId="29" fillId="19" borderId="0" applyNumberFormat="0" applyBorder="0" applyAlignment="0" applyProtection="0"/>
    <xf numFmtId="181" fontId="29" fillId="19" borderId="0" applyNumberFormat="0" applyBorder="0" applyAlignment="0" applyProtection="0"/>
    <xf numFmtId="170" fontId="21" fillId="42" borderId="0" applyNumberFormat="0" applyBorder="0" applyAlignment="0" applyProtection="0"/>
    <xf numFmtId="170" fontId="21" fillId="42" borderId="0" applyNumberFormat="0" applyBorder="0" applyAlignment="0" applyProtection="0"/>
    <xf numFmtId="170" fontId="21" fillId="42" borderId="0" applyNumberFormat="0" applyBorder="0" applyAlignment="0" applyProtection="0"/>
    <xf numFmtId="170" fontId="21" fillId="42" borderId="0" applyNumberFormat="0" applyBorder="0" applyAlignment="0" applyProtection="0"/>
    <xf numFmtId="170" fontId="21" fillId="42" borderId="0" applyNumberFormat="0" applyBorder="0" applyAlignment="0" applyProtection="0"/>
    <xf numFmtId="170" fontId="21" fillId="42" borderId="0" applyNumberFormat="0" applyBorder="0" applyAlignment="0" applyProtection="0"/>
    <xf numFmtId="17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81" fontId="29" fillId="23" borderId="0" applyNumberFormat="0" applyBorder="0" applyAlignment="0" applyProtection="0"/>
    <xf numFmtId="181" fontId="29" fillId="23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17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81" fontId="29" fillId="27" borderId="0" applyNumberFormat="0" applyBorder="0" applyAlignment="0" applyProtection="0"/>
    <xf numFmtId="181" fontId="29" fillId="27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17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81" fontId="29" fillId="31" borderId="0" applyNumberFormat="0" applyBorder="0" applyAlignment="0" applyProtection="0"/>
    <xf numFmtId="181" fontId="29" fillId="31" borderId="0" applyNumberFormat="0" applyBorder="0" applyAlignment="0" applyProtection="0"/>
    <xf numFmtId="170" fontId="21" fillId="43" borderId="0" applyNumberFormat="0" applyBorder="0" applyAlignment="0" applyProtection="0"/>
    <xf numFmtId="170" fontId="21" fillId="43" borderId="0" applyNumberFormat="0" applyBorder="0" applyAlignment="0" applyProtection="0"/>
    <xf numFmtId="170" fontId="21" fillId="43" borderId="0" applyNumberFormat="0" applyBorder="0" applyAlignment="0" applyProtection="0"/>
    <xf numFmtId="170" fontId="21" fillId="43" borderId="0" applyNumberFormat="0" applyBorder="0" applyAlignment="0" applyProtection="0"/>
    <xf numFmtId="170" fontId="21" fillId="43" borderId="0" applyNumberFormat="0" applyBorder="0" applyAlignment="0" applyProtection="0"/>
    <xf numFmtId="170" fontId="21" fillId="43" borderId="0" applyNumberFormat="0" applyBorder="0" applyAlignment="0" applyProtection="0"/>
    <xf numFmtId="17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81" fontId="31" fillId="12" borderId="0" applyNumberFormat="0" applyBorder="0" applyAlignment="0" applyProtection="0"/>
    <xf numFmtId="181" fontId="31" fillId="12" borderId="0" applyNumberFormat="0" applyBorder="0" applyAlignment="0" applyProtection="0"/>
    <xf numFmtId="170" fontId="30" fillId="44" borderId="0" applyNumberFormat="0" applyBorder="0" applyAlignment="0" applyProtection="0"/>
    <xf numFmtId="170" fontId="30" fillId="44" borderId="0" applyNumberFormat="0" applyBorder="0" applyAlignment="0" applyProtection="0"/>
    <xf numFmtId="170" fontId="30" fillId="44" borderId="0" applyNumberFormat="0" applyBorder="0" applyAlignment="0" applyProtection="0"/>
    <xf numFmtId="170" fontId="30" fillId="44" borderId="0" applyNumberFormat="0" applyBorder="0" applyAlignment="0" applyProtection="0"/>
    <xf numFmtId="170" fontId="30" fillId="44" borderId="0" applyNumberFormat="0" applyBorder="0" applyAlignment="0" applyProtection="0"/>
    <xf numFmtId="17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81" fontId="31" fillId="16" borderId="0" applyNumberFormat="0" applyBorder="0" applyAlignment="0" applyProtection="0"/>
    <xf numFmtId="181" fontId="31" fillId="16" borderId="0" applyNumberFormat="0" applyBorder="0" applyAlignment="0" applyProtection="0"/>
    <xf numFmtId="170" fontId="30" fillId="41" borderId="0" applyNumberFormat="0" applyBorder="0" applyAlignment="0" applyProtection="0"/>
    <xf numFmtId="170" fontId="30" fillId="41" borderId="0" applyNumberFormat="0" applyBorder="0" applyAlignment="0" applyProtection="0"/>
    <xf numFmtId="170" fontId="30" fillId="41" borderId="0" applyNumberFormat="0" applyBorder="0" applyAlignment="0" applyProtection="0"/>
    <xf numFmtId="170" fontId="30" fillId="41" borderId="0" applyNumberFormat="0" applyBorder="0" applyAlignment="0" applyProtection="0"/>
    <xf numFmtId="170" fontId="30" fillId="41" borderId="0" applyNumberFormat="0" applyBorder="0" applyAlignment="0" applyProtection="0"/>
    <xf numFmtId="17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81" fontId="31" fillId="20" borderId="0" applyNumberFormat="0" applyBorder="0" applyAlignment="0" applyProtection="0"/>
    <xf numFmtId="181" fontId="31" fillId="20" borderId="0" applyNumberFormat="0" applyBorder="0" applyAlignment="0" applyProtection="0"/>
    <xf numFmtId="170" fontId="30" fillId="42" borderId="0" applyNumberFormat="0" applyBorder="0" applyAlignment="0" applyProtection="0"/>
    <xf numFmtId="170" fontId="30" fillId="42" borderId="0" applyNumberFormat="0" applyBorder="0" applyAlignment="0" applyProtection="0"/>
    <xf numFmtId="170" fontId="30" fillId="42" borderId="0" applyNumberFormat="0" applyBorder="0" applyAlignment="0" applyProtection="0"/>
    <xf numFmtId="170" fontId="30" fillId="42" borderId="0" applyNumberFormat="0" applyBorder="0" applyAlignment="0" applyProtection="0"/>
    <xf numFmtId="170" fontId="30" fillId="42" borderId="0" applyNumberFormat="0" applyBorder="0" applyAlignment="0" applyProtection="0"/>
    <xf numFmtId="17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81" fontId="31" fillId="24" borderId="0" applyNumberFormat="0" applyBorder="0" applyAlignment="0" applyProtection="0"/>
    <xf numFmtId="181" fontId="31" fillId="24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81" fontId="31" fillId="28" borderId="0" applyNumberFormat="0" applyBorder="0" applyAlignment="0" applyProtection="0"/>
    <xf numFmtId="181" fontId="31" fillId="28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81" fontId="31" fillId="32" borderId="0" applyNumberFormat="0" applyBorder="0" applyAlignment="0" applyProtection="0"/>
    <xf numFmtId="181" fontId="31" fillId="32" borderId="0" applyNumberFormat="0" applyBorder="0" applyAlignment="0" applyProtection="0"/>
    <xf numFmtId="170" fontId="30" fillId="47" borderId="0" applyNumberFormat="0" applyBorder="0" applyAlignment="0" applyProtection="0"/>
    <xf numFmtId="170" fontId="30" fillId="47" borderId="0" applyNumberFormat="0" applyBorder="0" applyAlignment="0" applyProtection="0"/>
    <xf numFmtId="170" fontId="30" fillId="47" borderId="0" applyNumberFormat="0" applyBorder="0" applyAlignment="0" applyProtection="0"/>
    <xf numFmtId="170" fontId="30" fillId="47" borderId="0" applyNumberFormat="0" applyBorder="0" applyAlignment="0" applyProtection="0"/>
    <xf numFmtId="170" fontId="30" fillId="47" borderId="0" applyNumberFormat="0" applyBorder="0" applyAlignment="0" applyProtection="0"/>
    <xf numFmtId="17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81" fontId="31" fillId="9" borderId="0" applyNumberFormat="0" applyBorder="0" applyAlignment="0" applyProtection="0"/>
    <xf numFmtId="181" fontId="31" fillId="9" borderId="0" applyNumberFormat="0" applyBorder="0" applyAlignment="0" applyProtection="0"/>
    <xf numFmtId="170" fontId="30" fillId="48" borderId="0" applyNumberFormat="0" applyBorder="0" applyAlignment="0" applyProtection="0"/>
    <xf numFmtId="170" fontId="30" fillId="48" borderId="0" applyNumberFormat="0" applyBorder="0" applyAlignment="0" applyProtection="0"/>
    <xf numFmtId="170" fontId="30" fillId="48" borderId="0" applyNumberFormat="0" applyBorder="0" applyAlignment="0" applyProtection="0"/>
    <xf numFmtId="170" fontId="30" fillId="48" borderId="0" applyNumberFormat="0" applyBorder="0" applyAlignment="0" applyProtection="0"/>
    <xf numFmtId="170" fontId="30" fillId="48" borderId="0" applyNumberFormat="0" applyBorder="0" applyAlignment="0" applyProtection="0"/>
    <xf numFmtId="170" fontId="30" fillId="48" borderId="0" applyNumberFormat="0" applyBorder="0" applyAlignment="0" applyProtection="0"/>
    <xf numFmtId="17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81" fontId="31" fillId="13" borderId="0" applyNumberFormat="0" applyBorder="0" applyAlignment="0" applyProtection="0"/>
    <xf numFmtId="181" fontId="31" fillId="13" borderId="0" applyNumberFormat="0" applyBorder="0" applyAlignment="0" applyProtection="0"/>
    <xf numFmtId="170" fontId="30" fillId="49" borderId="0" applyNumberFormat="0" applyBorder="0" applyAlignment="0" applyProtection="0"/>
    <xf numFmtId="170" fontId="30" fillId="49" borderId="0" applyNumberFormat="0" applyBorder="0" applyAlignment="0" applyProtection="0"/>
    <xf numFmtId="170" fontId="30" fillId="49" borderId="0" applyNumberFormat="0" applyBorder="0" applyAlignment="0" applyProtection="0"/>
    <xf numFmtId="170" fontId="30" fillId="49" borderId="0" applyNumberFormat="0" applyBorder="0" applyAlignment="0" applyProtection="0"/>
    <xf numFmtId="170" fontId="30" fillId="49" borderId="0" applyNumberFormat="0" applyBorder="0" applyAlignment="0" applyProtection="0"/>
    <xf numFmtId="170" fontId="30" fillId="49" borderId="0" applyNumberFormat="0" applyBorder="0" applyAlignment="0" applyProtection="0"/>
    <xf numFmtId="17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81" fontId="31" fillId="17" borderId="0" applyNumberFormat="0" applyBorder="0" applyAlignment="0" applyProtection="0"/>
    <xf numFmtId="181" fontId="31" fillId="17" borderId="0" applyNumberFormat="0" applyBorder="0" applyAlignment="0" applyProtection="0"/>
    <xf numFmtId="170" fontId="30" fillId="50" borderId="0" applyNumberFormat="0" applyBorder="0" applyAlignment="0" applyProtection="0"/>
    <xf numFmtId="170" fontId="30" fillId="50" borderId="0" applyNumberFormat="0" applyBorder="0" applyAlignment="0" applyProtection="0"/>
    <xf numFmtId="170" fontId="30" fillId="50" borderId="0" applyNumberFormat="0" applyBorder="0" applyAlignment="0" applyProtection="0"/>
    <xf numFmtId="170" fontId="30" fillId="50" borderId="0" applyNumberFormat="0" applyBorder="0" applyAlignment="0" applyProtection="0"/>
    <xf numFmtId="170" fontId="30" fillId="50" borderId="0" applyNumberFormat="0" applyBorder="0" applyAlignment="0" applyProtection="0"/>
    <xf numFmtId="17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81" fontId="31" fillId="21" borderId="0" applyNumberFormat="0" applyBorder="0" applyAlignment="0" applyProtection="0"/>
    <xf numFmtId="181" fontId="31" fillId="21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81" fontId="31" fillId="25" borderId="0" applyNumberFormat="0" applyBorder="0" applyAlignment="0" applyProtection="0"/>
    <xf numFmtId="181" fontId="31" fillId="25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181" fontId="31" fillId="29" borderId="0" applyNumberFormat="0" applyBorder="0" applyAlignment="0" applyProtection="0"/>
    <xf numFmtId="181" fontId="31" fillId="29" borderId="0" applyNumberFormat="0" applyBorder="0" applyAlignment="0" applyProtection="0"/>
    <xf numFmtId="170" fontId="30" fillId="51" borderId="0" applyNumberFormat="0" applyBorder="0" applyAlignment="0" applyProtection="0"/>
    <xf numFmtId="170" fontId="30" fillId="51" borderId="0" applyNumberFormat="0" applyBorder="0" applyAlignment="0" applyProtection="0"/>
    <xf numFmtId="170" fontId="30" fillId="51" borderId="0" applyNumberFormat="0" applyBorder="0" applyAlignment="0" applyProtection="0"/>
    <xf numFmtId="170" fontId="30" fillId="51" borderId="0" applyNumberFormat="0" applyBorder="0" applyAlignment="0" applyProtection="0"/>
    <xf numFmtId="170" fontId="30" fillId="51" borderId="0" applyNumberFormat="0" applyBorder="0" applyAlignment="0" applyProtection="0"/>
    <xf numFmtId="17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81" fontId="33" fillId="3" borderId="0" applyNumberFormat="0" applyBorder="0" applyAlignment="0" applyProtection="0"/>
    <xf numFmtId="181" fontId="33" fillId="3" borderId="0" applyNumberFormat="0" applyBorder="0" applyAlignment="0" applyProtection="0"/>
    <xf numFmtId="170" fontId="32" fillId="35" borderId="0" applyNumberFormat="0" applyBorder="0" applyAlignment="0" applyProtection="0"/>
    <xf numFmtId="170" fontId="32" fillId="35" borderId="0" applyNumberFormat="0" applyBorder="0" applyAlignment="0" applyProtection="0"/>
    <xf numFmtId="170" fontId="32" fillId="35" borderId="0" applyNumberFormat="0" applyBorder="0" applyAlignment="0" applyProtection="0"/>
    <xf numFmtId="170" fontId="32" fillId="35" borderId="0" applyNumberFormat="0" applyBorder="0" applyAlignment="0" applyProtection="0"/>
    <xf numFmtId="170" fontId="32" fillId="35" borderId="0" applyNumberFormat="0" applyBorder="0" applyAlignment="0" applyProtection="0"/>
    <xf numFmtId="170" fontId="32" fillId="35" borderId="0" applyNumberFormat="0" applyBorder="0" applyAlignment="0" applyProtection="0"/>
    <xf numFmtId="17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4" fillId="52" borderId="16" applyNumberFormat="0" applyAlignment="0" applyProtection="0"/>
    <xf numFmtId="0" fontId="34" fillId="52" borderId="16" applyNumberFormat="0" applyAlignment="0" applyProtection="0"/>
    <xf numFmtId="0" fontId="34" fillId="52" borderId="16" applyNumberFormat="0" applyAlignment="0" applyProtection="0"/>
    <xf numFmtId="0" fontId="34" fillId="52" borderId="16" applyNumberFormat="0" applyAlignment="0" applyProtection="0"/>
    <xf numFmtId="0" fontId="34" fillId="52" borderId="16" applyNumberFormat="0" applyAlignment="0" applyProtection="0"/>
    <xf numFmtId="181" fontId="35" fillId="6" borderId="4" applyNumberFormat="0" applyAlignment="0" applyProtection="0"/>
    <xf numFmtId="181" fontId="35" fillId="6" borderId="4" applyNumberFormat="0" applyAlignment="0" applyProtection="0"/>
    <xf numFmtId="170" fontId="34" fillId="52" borderId="16" applyNumberFormat="0" applyAlignment="0" applyProtection="0"/>
    <xf numFmtId="170" fontId="34" fillId="52" borderId="16" applyNumberFormat="0" applyAlignment="0" applyProtection="0"/>
    <xf numFmtId="170" fontId="34" fillId="52" borderId="16" applyNumberFormat="0" applyAlignment="0" applyProtection="0"/>
    <xf numFmtId="170" fontId="34" fillId="52" borderId="16" applyNumberFormat="0" applyAlignment="0" applyProtection="0"/>
    <xf numFmtId="170" fontId="34" fillId="52" borderId="16" applyNumberFormat="0" applyAlignment="0" applyProtection="0"/>
    <xf numFmtId="170" fontId="34" fillId="52" borderId="16" applyNumberFormat="0" applyAlignment="0" applyProtection="0"/>
    <xf numFmtId="170" fontId="34" fillId="52" borderId="16" applyNumberFormat="0" applyAlignment="0" applyProtection="0"/>
    <xf numFmtId="0" fontId="34" fillId="52" borderId="16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0" fontId="36" fillId="53" borderId="17" applyNumberFormat="0" applyAlignment="0" applyProtection="0"/>
    <xf numFmtId="181" fontId="37" fillId="7" borderId="7" applyNumberFormat="0" applyAlignment="0" applyProtection="0"/>
    <xf numFmtId="181" fontId="37" fillId="7" borderId="7" applyNumberFormat="0" applyAlignment="0" applyProtection="0"/>
    <xf numFmtId="170" fontId="36" fillId="53" borderId="17" applyNumberFormat="0" applyAlignment="0" applyProtection="0"/>
    <xf numFmtId="170" fontId="36" fillId="53" borderId="17" applyNumberFormat="0" applyAlignment="0" applyProtection="0"/>
    <xf numFmtId="170" fontId="36" fillId="53" borderId="17" applyNumberFormat="0" applyAlignment="0" applyProtection="0"/>
    <xf numFmtId="170" fontId="36" fillId="53" borderId="17" applyNumberFormat="0" applyAlignment="0" applyProtection="0"/>
    <xf numFmtId="170" fontId="36" fillId="53" borderId="17" applyNumberFormat="0" applyAlignment="0" applyProtection="0"/>
    <xf numFmtId="170" fontId="36" fillId="53" borderId="17" applyNumberFormat="0" applyAlignment="0" applyProtection="0"/>
    <xf numFmtId="170" fontId="36" fillId="53" borderId="17" applyNumberFormat="0" applyAlignment="0" applyProtection="0"/>
    <xf numFmtId="0" fontId="36" fillId="53" borderId="1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81" fontId="40" fillId="0" borderId="0" applyProtection="0"/>
    <xf numFmtId="181" fontId="40" fillId="0" borderId="0" applyProtection="0"/>
    <xf numFmtId="0" fontId="40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81" fontId="19" fillId="0" borderId="0" applyProtection="0"/>
    <xf numFmtId="181" fontId="19" fillId="0" borderId="0" applyProtection="0"/>
    <xf numFmtId="0" fontId="19" fillId="0" borderId="0" applyProtection="0"/>
    <xf numFmtId="17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81" fontId="41" fillId="0" borderId="0" applyProtection="0"/>
    <xf numFmtId="181" fontId="41" fillId="0" borderId="0" applyProtection="0"/>
    <xf numFmtId="0" fontId="41" fillId="0" borderId="0" applyProtection="0"/>
    <xf numFmtId="17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181" fontId="42" fillId="0" borderId="0" applyProtection="0"/>
    <xf numFmtId="181" fontId="42" fillId="0" borderId="0" applyProtection="0"/>
    <xf numFmtId="0" fontId="42" fillId="0" borderId="0" applyProtection="0"/>
    <xf numFmtId="17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81" fontId="7" fillId="0" borderId="0" applyProtection="0"/>
    <xf numFmtId="181" fontId="7" fillId="0" borderId="0" applyProtection="0"/>
    <xf numFmtId="0" fontId="7" fillId="0" borderId="0" applyProtection="0"/>
    <xf numFmtId="17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81" fontId="40" fillId="0" borderId="0" applyProtection="0"/>
    <xf numFmtId="181" fontId="40" fillId="0" borderId="0" applyProtection="0"/>
    <xf numFmtId="0" fontId="40" fillId="0" borderId="0" applyProtection="0"/>
    <xf numFmtId="17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181" fontId="43" fillId="0" borderId="0" applyProtection="0"/>
    <xf numFmtId="181" fontId="43" fillId="0" borderId="0" applyProtection="0"/>
    <xf numFmtId="0" fontId="43" fillId="0" borderId="0" applyProtection="0"/>
    <xf numFmtId="2" fontId="7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81" fontId="45" fillId="2" borderId="0" applyNumberFormat="0" applyBorder="0" applyAlignment="0" applyProtection="0"/>
    <xf numFmtId="181" fontId="45" fillId="2" borderId="0" applyNumberFormat="0" applyBorder="0" applyAlignment="0" applyProtection="0"/>
    <xf numFmtId="170" fontId="44" fillId="36" borderId="0" applyNumberFormat="0" applyBorder="0" applyAlignment="0" applyProtection="0"/>
    <xf numFmtId="170" fontId="44" fillId="36" borderId="0" applyNumberFormat="0" applyBorder="0" applyAlignment="0" applyProtection="0"/>
    <xf numFmtId="170" fontId="44" fillId="36" borderId="0" applyNumberFormat="0" applyBorder="0" applyAlignment="0" applyProtection="0"/>
    <xf numFmtId="170" fontId="44" fillId="36" borderId="0" applyNumberFormat="0" applyBorder="0" applyAlignment="0" applyProtection="0"/>
    <xf numFmtId="170" fontId="44" fillId="36" borderId="0" applyNumberFormat="0" applyBorder="0" applyAlignment="0" applyProtection="0"/>
    <xf numFmtId="170" fontId="44" fillId="36" borderId="0" applyNumberFormat="0" applyBorder="0" applyAlignment="0" applyProtection="0"/>
    <xf numFmtId="17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81" fontId="47" fillId="0" borderId="1" applyNumberFormat="0" applyFill="0" applyAlignment="0" applyProtection="0"/>
    <xf numFmtId="181" fontId="47" fillId="0" borderId="1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81" fontId="49" fillId="0" borderId="2" applyNumberFormat="0" applyFill="0" applyAlignment="0" applyProtection="0"/>
    <xf numFmtId="181" fontId="49" fillId="0" borderId="2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181" fontId="51" fillId="0" borderId="3" applyNumberFormat="0" applyFill="0" applyAlignment="0" applyProtection="0"/>
    <xf numFmtId="181" fontId="51" fillId="0" borderId="3" applyNumberFormat="0" applyFill="0" applyAlignment="0" applyProtection="0"/>
    <xf numFmtId="170" fontId="50" fillId="0" borderId="20" applyNumberFormat="0" applyFill="0" applyAlignment="0" applyProtection="0"/>
    <xf numFmtId="170" fontId="50" fillId="0" borderId="20" applyNumberFormat="0" applyFill="0" applyAlignment="0" applyProtection="0"/>
    <xf numFmtId="170" fontId="50" fillId="0" borderId="20" applyNumberFormat="0" applyFill="0" applyAlignment="0" applyProtection="0"/>
    <xf numFmtId="170" fontId="50" fillId="0" borderId="20" applyNumberFormat="0" applyFill="0" applyAlignment="0" applyProtection="0"/>
    <xf numFmtId="170" fontId="50" fillId="0" borderId="20" applyNumberFormat="0" applyFill="0" applyAlignment="0" applyProtection="0"/>
    <xf numFmtId="170" fontId="50" fillId="0" borderId="20" applyNumberFormat="0" applyFill="0" applyAlignment="0" applyProtection="0"/>
    <xf numFmtId="17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181" fontId="53" fillId="5" borderId="4" applyNumberFormat="0" applyAlignment="0" applyProtection="0"/>
    <xf numFmtId="181" fontId="53" fillId="5" borderId="4" applyNumberFormat="0" applyAlignment="0" applyProtection="0"/>
    <xf numFmtId="170" fontId="52" fillId="39" borderId="16" applyNumberFormat="0" applyAlignment="0" applyProtection="0"/>
    <xf numFmtId="170" fontId="52" fillId="39" borderId="16" applyNumberFormat="0" applyAlignment="0" applyProtection="0"/>
    <xf numFmtId="170" fontId="52" fillId="39" borderId="16" applyNumberFormat="0" applyAlignment="0" applyProtection="0"/>
    <xf numFmtId="170" fontId="52" fillId="39" borderId="16" applyNumberFormat="0" applyAlignment="0" applyProtection="0"/>
    <xf numFmtId="170" fontId="52" fillId="39" borderId="16" applyNumberFormat="0" applyAlignment="0" applyProtection="0"/>
    <xf numFmtId="170" fontId="52" fillId="39" borderId="16" applyNumberFormat="0" applyAlignment="0" applyProtection="0"/>
    <xf numFmtId="170" fontId="52" fillId="39" borderId="16" applyNumberFormat="0" applyAlignment="0" applyProtection="0"/>
    <xf numFmtId="0" fontId="52" fillId="39" borderId="16" applyNumberFormat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181" fontId="55" fillId="0" borderId="6" applyNumberFormat="0" applyFill="0" applyAlignment="0" applyProtection="0"/>
    <xf numFmtId="181" fontId="55" fillId="0" borderId="6" applyNumberFormat="0" applyFill="0" applyAlignment="0" applyProtection="0"/>
    <xf numFmtId="170" fontId="54" fillId="0" borderId="21" applyNumberFormat="0" applyFill="0" applyAlignment="0" applyProtection="0"/>
    <xf numFmtId="170" fontId="54" fillId="0" borderId="21" applyNumberFormat="0" applyFill="0" applyAlignment="0" applyProtection="0"/>
    <xf numFmtId="170" fontId="54" fillId="0" borderId="21" applyNumberFormat="0" applyFill="0" applyAlignment="0" applyProtection="0"/>
    <xf numFmtId="170" fontId="54" fillId="0" borderId="21" applyNumberFormat="0" applyFill="0" applyAlignment="0" applyProtection="0"/>
    <xf numFmtId="170" fontId="54" fillId="0" borderId="21" applyNumberFormat="0" applyFill="0" applyAlignment="0" applyProtection="0"/>
    <xf numFmtId="170" fontId="54" fillId="0" borderId="21" applyNumberFormat="0" applyFill="0" applyAlignment="0" applyProtection="0"/>
    <xf numFmtId="17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181" fontId="57" fillId="4" borderId="0" applyNumberFormat="0" applyBorder="0" applyAlignment="0" applyProtection="0"/>
    <xf numFmtId="181" fontId="57" fillId="4" borderId="0" applyNumberFormat="0" applyBorder="0" applyAlignment="0" applyProtection="0"/>
    <xf numFmtId="170" fontId="56" fillId="54" borderId="0" applyNumberFormat="0" applyBorder="0" applyAlignment="0" applyProtection="0"/>
    <xf numFmtId="170" fontId="56" fillId="54" borderId="0" applyNumberFormat="0" applyBorder="0" applyAlignment="0" applyProtection="0"/>
    <xf numFmtId="170" fontId="56" fillId="54" borderId="0" applyNumberFormat="0" applyBorder="0" applyAlignment="0" applyProtection="0"/>
    <xf numFmtId="170" fontId="56" fillId="54" borderId="0" applyNumberFormat="0" applyBorder="0" applyAlignment="0" applyProtection="0"/>
    <xf numFmtId="170" fontId="56" fillId="54" borderId="0" applyNumberFormat="0" applyBorder="0" applyAlignment="0" applyProtection="0"/>
    <xf numFmtId="170" fontId="56" fillId="54" borderId="0" applyNumberFormat="0" applyBorder="0" applyAlignment="0" applyProtection="0"/>
    <xf numFmtId="170" fontId="56" fillId="54" borderId="0" applyNumberFormat="0" applyBorder="0" applyAlignment="0" applyProtection="0"/>
    <xf numFmtId="0" fontId="56" fillId="54" borderId="0" applyNumberFormat="0" applyBorder="0" applyAlignment="0" applyProtection="0"/>
    <xf numFmtId="170" fontId="7" fillId="0" borderId="0"/>
    <xf numFmtId="170" fontId="7" fillId="0" borderId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81" fontId="7" fillId="0" borderId="0"/>
    <xf numFmtId="181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0" fontId="7" fillId="0" borderId="0"/>
    <xf numFmtId="41" fontId="6" fillId="0" borderId="0"/>
    <xf numFmtId="41" fontId="6" fillId="0" borderId="0"/>
    <xf numFmtId="41" fontId="6" fillId="0" borderId="0"/>
    <xf numFmtId="0" fontId="1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81" fontId="29" fillId="0" borderId="0"/>
    <xf numFmtId="181" fontId="29" fillId="0" borderId="0"/>
    <xf numFmtId="0" fontId="7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0" fontId="7" fillId="0" borderId="0"/>
    <xf numFmtId="181" fontId="29" fillId="0" borderId="0"/>
    <xf numFmtId="181" fontId="29" fillId="0" borderId="0"/>
    <xf numFmtId="0" fontId="7" fillId="0" borderId="0"/>
    <xf numFmtId="184" fontId="22" fillId="0" borderId="0"/>
    <xf numFmtId="181" fontId="29" fillId="0" borderId="0"/>
    <xf numFmtId="181" fontId="29" fillId="0" borderId="0"/>
    <xf numFmtId="170" fontId="7" fillId="0" borderId="0"/>
    <xf numFmtId="181" fontId="29" fillId="0" borderId="0"/>
    <xf numFmtId="181" fontId="29" fillId="0" borderId="0"/>
    <xf numFmtId="170" fontId="7" fillId="0" borderId="0"/>
    <xf numFmtId="181" fontId="29" fillId="0" borderId="0"/>
    <xf numFmtId="181" fontId="29" fillId="0" borderId="0"/>
    <xf numFmtId="170" fontId="7" fillId="0" borderId="0"/>
    <xf numFmtId="181" fontId="29" fillId="0" borderId="0"/>
    <xf numFmtId="181" fontId="29" fillId="0" borderId="0"/>
    <xf numFmtId="170" fontId="7" fillId="0" borderId="0"/>
    <xf numFmtId="181" fontId="29" fillId="0" borderId="0"/>
    <xf numFmtId="181" fontId="29" fillId="0" borderId="0"/>
    <xf numFmtId="0" fontId="59" fillId="55" borderId="22" applyNumberFormat="0" applyFont="0" applyAlignment="0" applyProtection="0"/>
    <xf numFmtId="0" fontId="59" fillId="55" borderId="22" applyNumberFormat="0" applyFont="0" applyAlignment="0" applyProtection="0"/>
    <xf numFmtId="0" fontId="59" fillId="55" borderId="22" applyNumberFormat="0" applyFont="0" applyAlignment="0" applyProtection="0"/>
    <xf numFmtId="0" fontId="59" fillId="55" borderId="22" applyNumberFormat="0" applyFont="0" applyAlignment="0" applyProtection="0"/>
    <xf numFmtId="0" fontId="59" fillId="55" borderId="22" applyNumberFormat="0" applyFont="0" applyAlignment="0" applyProtection="0"/>
    <xf numFmtId="170" fontId="59" fillId="55" borderId="22" applyNumberFormat="0" applyFont="0" applyAlignment="0" applyProtection="0"/>
    <xf numFmtId="181" fontId="59" fillId="8" borderId="8" applyNumberFormat="0" applyFont="0" applyAlignment="0" applyProtection="0"/>
    <xf numFmtId="181" fontId="59" fillId="8" borderId="8" applyNumberFormat="0" applyFont="0" applyAlignment="0" applyProtection="0"/>
    <xf numFmtId="170" fontId="59" fillId="55" borderId="22" applyNumberFormat="0" applyFont="0" applyAlignment="0" applyProtection="0"/>
    <xf numFmtId="181" fontId="59" fillId="8" borderId="8" applyNumberFormat="0" applyFont="0" applyAlignment="0" applyProtection="0"/>
    <xf numFmtId="181" fontId="59" fillId="8" borderId="8" applyNumberFormat="0" applyFont="0" applyAlignment="0" applyProtection="0"/>
    <xf numFmtId="170" fontId="59" fillId="55" borderId="22" applyNumberFormat="0" applyFont="0" applyAlignment="0" applyProtection="0"/>
    <xf numFmtId="181" fontId="59" fillId="8" borderId="8" applyNumberFormat="0" applyFont="0" applyAlignment="0" applyProtection="0"/>
    <xf numFmtId="181" fontId="59" fillId="8" borderId="8" applyNumberFormat="0" applyFont="0" applyAlignment="0" applyProtection="0"/>
    <xf numFmtId="170" fontId="59" fillId="55" borderId="22" applyNumberFormat="0" applyFont="0" applyAlignment="0" applyProtection="0"/>
    <xf numFmtId="181" fontId="59" fillId="8" borderId="8" applyNumberFormat="0" applyFont="0" applyAlignment="0" applyProtection="0"/>
    <xf numFmtId="181" fontId="59" fillId="8" borderId="8" applyNumberFormat="0" applyFont="0" applyAlignment="0" applyProtection="0"/>
    <xf numFmtId="170" fontId="59" fillId="55" borderId="22" applyNumberFormat="0" applyFont="0" applyAlignment="0" applyProtection="0"/>
    <xf numFmtId="181" fontId="59" fillId="8" borderId="8" applyNumberFormat="0" applyFont="0" applyAlignment="0" applyProtection="0"/>
    <xf numFmtId="181" fontId="59" fillId="8" borderId="8" applyNumberFormat="0" applyFont="0" applyAlignment="0" applyProtection="0"/>
    <xf numFmtId="170" fontId="59" fillId="55" borderId="22" applyNumberFormat="0" applyFont="0" applyAlignment="0" applyProtection="0"/>
    <xf numFmtId="181" fontId="59" fillId="8" borderId="8" applyNumberFormat="0" applyFont="0" applyAlignment="0" applyProtection="0"/>
    <xf numFmtId="181" fontId="59" fillId="8" borderId="8" applyNumberFormat="0" applyFont="0" applyAlignment="0" applyProtection="0"/>
    <xf numFmtId="170" fontId="59" fillId="55" borderId="22" applyNumberFormat="0" applyFont="0" applyAlignment="0" applyProtection="0"/>
    <xf numFmtId="181" fontId="59" fillId="8" borderId="8" applyNumberFormat="0" applyFont="0" applyAlignment="0" applyProtection="0"/>
    <xf numFmtId="181" fontId="59" fillId="8" borderId="8" applyNumberFormat="0" applyFont="0" applyAlignment="0" applyProtection="0"/>
    <xf numFmtId="0" fontId="59" fillId="55" borderId="22" applyNumberFormat="0" applyFont="0" applyAlignment="0" applyProtection="0"/>
    <xf numFmtId="0" fontId="60" fillId="52" borderId="23" applyNumberFormat="0" applyAlignment="0" applyProtection="0"/>
    <xf numFmtId="0" fontId="60" fillId="52" borderId="23" applyNumberFormat="0" applyAlignment="0" applyProtection="0"/>
    <xf numFmtId="0" fontId="60" fillId="52" borderId="23" applyNumberFormat="0" applyAlignment="0" applyProtection="0"/>
    <xf numFmtId="0" fontId="60" fillId="52" borderId="23" applyNumberFormat="0" applyAlignment="0" applyProtection="0"/>
    <xf numFmtId="0" fontId="60" fillId="52" borderId="23" applyNumberFormat="0" applyAlignment="0" applyProtection="0"/>
    <xf numFmtId="181" fontId="61" fillId="6" borderId="5" applyNumberFormat="0" applyAlignment="0" applyProtection="0"/>
    <xf numFmtId="181" fontId="61" fillId="6" borderId="5" applyNumberFormat="0" applyAlignment="0" applyProtection="0"/>
    <xf numFmtId="170" fontId="60" fillId="52" borderId="23" applyNumberFormat="0" applyAlignment="0" applyProtection="0"/>
    <xf numFmtId="170" fontId="60" fillId="52" borderId="23" applyNumberFormat="0" applyAlignment="0" applyProtection="0"/>
    <xf numFmtId="170" fontId="60" fillId="52" borderId="23" applyNumberFormat="0" applyAlignment="0" applyProtection="0"/>
    <xf numFmtId="170" fontId="60" fillId="52" borderId="23" applyNumberFormat="0" applyAlignment="0" applyProtection="0"/>
    <xf numFmtId="170" fontId="60" fillId="52" borderId="23" applyNumberFormat="0" applyAlignment="0" applyProtection="0"/>
    <xf numFmtId="170" fontId="60" fillId="52" borderId="23" applyNumberFormat="0" applyAlignment="0" applyProtection="0"/>
    <xf numFmtId="170" fontId="60" fillId="52" borderId="23" applyNumberFormat="0" applyAlignment="0" applyProtection="0"/>
    <xf numFmtId="0" fontId="60" fillId="52" borderId="23" applyNumberFormat="0" applyAlignment="0" applyProtection="0"/>
    <xf numFmtId="4" fontId="62" fillId="56" borderId="0">
      <alignment horizontal="right"/>
    </xf>
    <xf numFmtId="170" fontId="63" fillId="56" borderId="0">
      <alignment horizontal="center" vertical="center"/>
    </xf>
    <xf numFmtId="0" fontId="63" fillId="56" borderId="0">
      <alignment horizontal="center" vertical="center"/>
    </xf>
    <xf numFmtId="0" fontId="63" fillId="56" borderId="0">
      <alignment horizontal="center" vertical="center"/>
    </xf>
    <xf numFmtId="0" fontId="63" fillId="56" borderId="0">
      <alignment horizontal="center" vertical="center"/>
    </xf>
    <xf numFmtId="0" fontId="63" fillId="56" borderId="0">
      <alignment horizontal="center" vertical="center"/>
    </xf>
    <xf numFmtId="0" fontId="63" fillId="56" borderId="0">
      <alignment horizontal="center" vertical="center"/>
    </xf>
    <xf numFmtId="0" fontId="63" fillId="56" borderId="0">
      <alignment horizontal="center" vertical="center"/>
    </xf>
    <xf numFmtId="181" fontId="63" fillId="56" borderId="0">
      <alignment horizontal="center" vertical="center"/>
    </xf>
    <xf numFmtId="181" fontId="63" fillId="56" borderId="0">
      <alignment horizontal="center" vertical="center"/>
    </xf>
    <xf numFmtId="0" fontId="63" fillId="56" borderId="0">
      <alignment horizontal="center" vertical="center"/>
    </xf>
    <xf numFmtId="170" fontId="64" fillId="56" borderId="24"/>
    <xf numFmtId="0" fontId="64" fillId="56" borderId="24"/>
    <xf numFmtId="0" fontId="64" fillId="56" borderId="24"/>
    <xf numFmtId="0" fontId="64" fillId="56" borderId="24"/>
    <xf numFmtId="0" fontId="64" fillId="56" borderId="24"/>
    <xf numFmtId="0" fontId="64" fillId="56" borderId="24"/>
    <xf numFmtId="0" fontId="64" fillId="56" borderId="24"/>
    <xf numFmtId="181" fontId="64" fillId="56" borderId="24"/>
    <xf numFmtId="181" fontId="64" fillId="56" borderId="24"/>
    <xf numFmtId="0" fontId="64" fillId="56" borderId="24"/>
    <xf numFmtId="170" fontId="63" fillId="56" borderId="0" applyBorder="0">
      <alignment horizontal="centerContinuous"/>
    </xf>
    <xf numFmtId="0" fontId="63" fillId="56" borderId="0" applyBorder="0">
      <alignment horizontal="centerContinuous"/>
    </xf>
    <xf numFmtId="0" fontId="63" fillId="56" borderId="0" applyBorder="0">
      <alignment horizontal="centerContinuous"/>
    </xf>
    <xf numFmtId="0" fontId="63" fillId="56" borderId="0" applyBorder="0">
      <alignment horizontal="centerContinuous"/>
    </xf>
    <xf numFmtId="0" fontId="63" fillId="56" borderId="0" applyBorder="0">
      <alignment horizontal="centerContinuous"/>
    </xf>
    <xf numFmtId="0" fontId="63" fillId="56" borderId="0" applyBorder="0">
      <alignment horizontal="centerContinuous"/>
    </xf>
    <xf numFmtId="0" fontId="63" fillId="56" borderId="0" applyBorder="0">
      <alignment horizontal="centerContinuous"/>
    </xf>
    <xf numFmtId="181" fontId="63" fillId="56" borderId="0" applyBorder="0">
      <alignment horizontal="centerContinuous"/>
    </xf>
    <xf numFmtId="181" fontId="63" fillId="56" borderId="0" applyBorder="0">
      <alignment horizontal="centerContinuous"/>
    </xf>
    <xf numFmtId="0" fontId="63" fillId="56" borderId="0" applyBorder="0">
      <alignment horizontal="centerContinuous"/>
    </xf>
    <xf numFmtId="170" fontId="65" fillId="56" borderId="0" applyBorder="0">
      <alignment horizontal="centerContinuous"/>
    </xf>
    <xf numFmtId="0" fontId="65" fillId="56" borderId="0" applyBorder="0">
      <alignment horizontal="centerContinuous"/>
    </xf>
    <xf numFmtId="0" fontId="65" fillId="56" borderId="0" applyBorder="0">
      <alignment horizontal="centerContinuous"/>
    </xf>
    <xf numFmtId="0" fontId="65" fillId="56" borderId="0" applyBorder="0">
      <alignment horizontal="centerContinuous"/>
    </xf>
    <xf numFmtId="0" fontId="65" fillId="56" borderId="0" applyBorder="0">
      <alignment horizontal="centerContinuous"/>
    </xf>
    <xf numFmtId="0" fontId="65" fillId="56" borderId="0" applyBorder="0">
      <alignment horizontal="centerContinuous"/>
    </xf>
    <xf numFmtId="0" fontId="65" fillId="56" borderId="0" applyBorder="0">
      <alignment horizontal="centerContinuous"/>
    </xf>
    <xf numFmtId="181" fontId="65" fillId="56" borderId="0" applyBorder="0">
      <alignment horizontal="centerContinuous"/>
    </xf>
    <xf numFmtId="181" fontId="65" fillId="56" borderId="0" applyBorder="0">
      <alignment horizontal="centerContinuous"/>
    </xf>
    <xf numFmtId="0" fontId="65" fillId="56" borderId="0" applyBorder="0">
      <alignment horizontal="centerContinuous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1" fontId="2" fillId="0" borderId="0" applyNumberFormat="0" applyFill="0" applyBorder="0" applyAlignment="0" applyProtection="0"/>
    <xf numFmtId="181" fontId="2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181" fontId="68" fillId="0" borderId="9" applyNumberFormat="0" applyFill="0" applyAlignment="0" applyProtection="0"/>
    <xf numFmtId="181" fontId="68" fillId="0" borderId="9" applyNumberFormat="0" applyFill="0" applyAlignment="0" applyProtection="0"/>
    <xf numFmtId="170" fontId="67" fillId="0" borderId="25" applyNumberFormat="0" applyFill="0" applyAlignment="0" applyProtection="0"/>
    <xf numFmtId="170" fontId="67" fillId="0" borderId="25" applyNumberFormat="0" applyFill="0" applyAlignment="0" applyProtection="0"/>
    <xf numFmtId="170" fontId="67" fillId="0" borderId="25" applyNumberFormat="0" applyFill="0" applyAlignment="0" applyProtection="0"/>
    <xf numFmtId="170" fontId="67" fillId="0" borderId="25" applyNumberFormat="0" applyFill="0" applyAlignment="0" applyProtection="0"/>
    <xf numFmtId="170" fontId="67" fillId="0" borderId="25" applyNumberFormat="0" applyFill="0" applyAlignment="0" applyProtection="0"/>
    <xf numFmtId="170" fontId="67" fillId="0" borderId="25" applyNumberFormat="0" applyFill="0" applyAlignment="0" applyProtection="0"/>
    <xf numFmtId="17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3" fontId="4" fillId="0" borderId="0" xfId="0" applyNumberFormat="1" applyFont="1"/>
    <xf numFmtId="41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5" fillId="0" borderId="0" xfId="0" applyNumberFormat="1" applyFont="1"/>
    <xf numFmtId="41" fontId="5" fillId="0" borderId="0" xfId="0" applyNumberFormat="1" applyFont="1" applyAlignment="1">
      <alignment horizontal="right"/>
    </xf>
    <xf numFmtId="41" fontId="6" fillId="0" borderId="10" xfId="4" applyFont="1" applyBorder="1" applyAlignment="1">
      <alignment horizontal="center"/>
    </xf>
    <xf numFmtId="41" fontId="6" fillId="0" borderId="10" xfId="4" quotePrefix="1" applyFont="1" applyBorder="1" applyAlignment="1">
      <alignment horizontal="center" wrapText="1"/>
    </xf>
    <xf numFmtId="164" fontId="6" fillId="0" borderId="10" xfId="5" quotePrefix="1" applyNumberFormat="1" applyFont="1" applyBorder="1" applyAlignment="1">
      <alignment horizontal="center" wrapText="1"/>
    </xf>
    <xf numFmtId="41" fontId="6" fillId="0" borderId="0" xfId="4" quotePrefix="1" applyFont="1" applyAlignment="1">
      <alignment horizontal="center"/>
    </xf>
    <xf numFmtId="41" fontId="6" fillId="0" borderId="0" xfId="4" quotePrefix="1" applyFont="1" applyAlignment="1">
      <alignment horizontal="left"/>
    </xf>
    <xf numFmtId="164" fontId="6" fillId="0" borderId="0" xfId="2" applyNumberFormat="1" applyFont="1" applyFill="1"/>
    <xf numFmtId="10" fontId="6" fillId="0" borderId="0" xfId="3" applyNumberFormat="1" applyFont="1" applyAlignment="1">
      <alignment horizontal="center"/>
    </xf>
    <xf numFmtId="164" fontId="6" fillId="0" borderId="0" xfId="2" applyNumberFormat="1" applyFont="1" applyFill="1" applyBorder="1"/>
    <xf numFmtId="10" fontId="6" fillId="0" borderId="0" xfId="3" applyNumberFormat="1" applyFont="1" applyBorder="1" applyAlignment="1">
      <alignment horizontal="center"/>
    </xf>
    <xf numFmtId="41" fontId="8" fillId="0" borderId="0" xfId="4" applyFont="1"/>
    <xf numFmtId="164" fontId="6" fillId="0" borderId="11" xfId="2" applyNumberFormat="1" applyFont="1" applyBorder="1"/>
    <xf numFmtId="10" fontId="6" fillId="0" borderId="11" xfId="3" applyNumberFormat="1" applyFont="1" applyBorder="1" applyAlignment="1">
      <alignment horizontal="center"/>
    </xf>
    <xf numFmtId="43" fontId="10" fillId="0" borderId="0" xfId="6" quotePrefix="1" applyFont="1" applyAlignment="1">
      <alignment horizontal="left"/>
    </xf>
    <xf numFmtId="0" fontId="11" fillId="0" borderId="0" xfId="0" applyFont="1"/>
    <xf numFmtId="0" fontId="12" fillId="0" borderId="0" xfId="0" quotePrefix="1" applyFont="1" applyAlignment="1">
      <alignment horizontal="right"/>
    </xf>
    <xf numFmtId="41" fontId="10" fillId="0" borderId="0" xfId="4" applyFont="1" applyFill="1" applyAlignment="1">
      <alignment horizontal="left"/>
    </xf>
    <xf numFmtId="0" fontId="12" fillId="0" borderId="0" xfId="0" applyFont="1" applyAlignment="1">
      <alignment horizontal="right"/>
    </xf>
    <xf numFmtId="41" fontId="13" fillId="0" borderId="0" xfId="4" applyFont="1" applyFill="1" applyAlignment="1">
      <alignment horizontal="left"/>
    </xf>
    <xf numFmtId="0" fontId="11" fillId="0" borderId="10" xfId="0" applyFont="1" applyBorder="1"/>
    <xf numFmtId="0" fontId="11" fillId="0" borderId="10" xfId="0" applyFont="1" applyBorder="1" applyAlignment="1">
      <alignment horizontal="center" wrapText="1"/>
    </xf>
    <xf numFmtId="0" fontId="11" fillId="0" borderId="10" xfId="0" quotePrefix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5" fontId="11" fillId="0" borderId="0" xfId="0" applyNumberFormat="1" applyFont="1" applyAlignment="1">
      <alignment horizontal="center" wrapText="1"/>
    </xf>
    <xf numFmtId="37" fontId="0" fillId="0" borderId="0" xfId="0" applyNumberFormat="1"/>
    <xf numFmtId="166" fontId="0" fillId="0" borderId="0" xfId="0" applyNumberFormat="1"/>
    <xf numFmtId="164" fontId="0" fillId="0" borderId="0" xfId="2" applyNumberFormat="1" applyFont="1"/>
    <xf numFmtId="44" fontId="0" fillId="0" borderId="0" xfId="2" applyNumberFormat="1" applyFont="1"/>
    <xf numFmtId="44" fontId="0" fillId="0" borderId="0" xfId="0" applyNumberFormat="1"/>
    <xf numFmtId="10" fontId="0" fillId="0" borderId="0" xfId="3" applyNumberFormat="1" applyFont="1"/>
    <xf numFmtId="164" fontId="11" fillId="0" borderId="0" xfId="0" applyNumberFormat="1" applyFont="1"/>
    <xf numFmtId="1" fontId="0" fillId="0" borderId="0" xfId="0" applyNumberFormat="1"/>
    <xf numFmtId="44" fontId="0" fillId="0" borderId="0" xfId="2" applyFont="1"/>
    <xf numFmtId="41" fontId="13" fillId="0" borderId="0" xfId="4" applyFont="1" applyFill="1"/>
    <xf numFmtId="167" fontId="11" fillId="0" borderId="0" xfId="6" applyNumberFormat="1" applyFont="1" applyFill="1"/>
    <xf numFmtId="164" fontId="11" fillId="0" borderId="0" xfId="2" applyNumberFormat="1" applyFont="1" applyFill="1"/>
    <xf numFmtId="41" fontId="10" fillId="0" borderId="0" xfId="4" applyFont="1" applyFill="1"/>
    <xf numFmtId="167" fontId="11" fillId="0" borderId="0" xfId="6" applyNumberFormat="1" applyFont="1"/>
    <xf numFmtId="0" fontId="11" fillId="0" borderId="0" xfId="0" applyFont="1" applyAlignment="1">
      <alignment horizontal="left" indent="1"/>
    </xf>
    <xf numFmtId="167" fontId="14" fillId="0" borderId="0" xfId="6" applyNumberFormat="1" applyFont="1"/>
    <xf numFmtId="0" fontId="11" fillId="0" borderId="0" xfId="0" applyFont="1" applyAlignment="1">
      <alignment horizontal="left"/>
    </xf>
    <xf numFmtId="164" fontId="11" fillId="0" borderId="0" xfId="2" applyNumberFormat="1" applyFont="1"/>
    <xf numFmtId="167" fontId="15" fillId="0" borderId="0" xfId="6" applyNumberFormat="1" applyFont="1"/>
    <xf numFmtId="167" fontId="16" fillId="0" borderId="0" xfId="6" applyNumberFormat="1" applyFont="1"/>
    <xf numFmtId="164" fontId="16" fillId="0" borderId="0" xfId="0" applyNumberFormat="1" applyFont="1"/>
    <xf numFmtId="37" fontId="11" fillId="0" borderId="0" xfId="0" applyNumberFormat="1" applyFont="1"/>
    <xf numFmtId="37" fontId="11" fillId="33" borderId="0" xfId="0" applyNumberFormat="1" applyFont="1" applyFill="1"/>
    <xf numFmtId="0" fontId="11" fillId="33" borderId="0" xfId="0" applyFont="1" applyFill="1"/>
    <xf numFmtId="37" fontId="11" fillId="0" borderId="0" xfId="0" applyNumberFormat="1" applyFont="1" applyFill="1"/>
    <xf numFmtId="0" fontId="11" fillId="0" borderId="0" xfId="0" applyFont="1" applyFill="1"/>
    <xf numFmtId="168" fontId="11" fillId="0" borderId="0" xfId="2" applyNumberFormat="1" applyFont="1"/>
    <xf numFmtId="164" fontId="14" fillId="0" borderId="0" xfId="2" applyNumberFormat="1" applyFont="1"/>
    <xf numFmtId="0" fontId="11" fillId="0" borderId="0" xfId="0" quotePrefix="1" applyFont="1" applyAlignment="1">
      <alignment horizontal="left"/>
    </xf>
    <xf numFmtId="164" fontId="16" fillId="0" borderId="0" xfId="2" applyNumberFormat="1" applyFont="1"/>
    <xf numFmtId="43" fontId="10" fillId="0" borderId="0" xfId="6" applyFont="1" applyBorder="1" applyAlignment="1">
      <alignment horizontal="left"/>
    </xf>
    <xf numFmtId="0" fontId="17" fillId="0" borderId="0" xfId="0" applyFont="1" applyBorder="1"/>
    <xf numFmtId="41" fontId="10" fillId="0" borderId="0" xfId="4" quotePrefix="1" applyFont="1" applyBorder="1" applyAlignment="1">
      <alignment horizontal="right"/>
    </xf>
    <xf numFmtId="0" fontId="18" fillId="0" borderId="0" xfId="0" applyFont="1" applyFill="1"/>
    <xf numFmtId="0" fontId="18" fillId="0" borderId="0" xfId="0" applyFont="1"/>
    <xf numFmtId="41" fontId="10" fillId="0" borderId="0" xfId="4" applyFont="1" applyBorder="1" applyAlignment="1">
      <alignment horizontal="left"/>
    </xf>
    <xf numFmtId="41" fontId="10" fillId="0" borderId="0" xfId="4" applyFont="1" applyBorder="1" applyAlignment="1">
      <alignment horizontal="right"/>
    </xf>
    <xf numFmtId="41" fontId="19" fillId="0" borderId="0" xfId="4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64" fontId="18" fillId="0" borderId="0" xfId="7" applyNumberFormat="1" applyFont="1"/>
    <xf numFmtId="164" fontId="18" fillId="0" borderId="0" xfId="0" applyNumberFormat="1" applyFont="1"/>
    <xf numFmtId="10" fontId="18" fillId="0" borderId="0" xfId="3" applyNumberFormat="1" applyFont="1"/>
    <xf numFmtId="44" fontId="18" fillId="0" borderId="0" xfId="2" applyNumberFormat="1" applyFont="1"/>
    <xf numFmtId="167" fontId="18" fillId="0" borderId="0" xfId="8" applyNumberFormat="1" applyFont="1"/>
    <xf numFmtId="167" fontId="18" fillId="0" borderId="0" xfId="8" applyNumberFormat="1" applyFont="1" applyFill="1"/>
    <xf numFmtId="10" fontId="18" fillId="0" borderId="0" xfId="3" applyNumberFormat="1" applyFont="1" applyFill="1"/>
    <xf numFmtId="164" fontId="18" fillId="0" borderId="12" xfId="7" applyNumberFormat="1" applyFont="1" applyBorder="1"/>
    <xf numFmtId="164" fontId="18" fillId="0" borderId="12" xfId="7" applyNumberFormat="1" applyFont="1" applyFill="1" applyBorder="1"/>
    <xf numFmtId="10" fontId="18" fillId="0" borderId="12" xfId="3" applyNumberFormat="1" applyFont="1" applyFill="1" applyBorder="1"/>
    <xf numFmtId="44" fontId="18" fillId="0" borderId="0" xfId="0" applyNumberFormat="1" applyFont="1"/>
    <xf numFmtId="167" fontId="18" fillId="0" borderId="0" xfId="0" applyNumberFormat="1" applyFont="1" applyFill="1"/>
    <xf numFmtId="43" fontId="18" fillId="0" borderId="0" xfId="1" applyFont="1"/>
    <xf numFmtId="169" fontId="18" fillId="0" borderId="0" xfId="3" applyNumberFormat="1" applyFont="1"/>
    <xf numFmtId="43" fontId="10" fillId="0" borderId="0" xfId="6" applyFont="1" applyFill="1" applyBorder="1" applyAlignment="1">
      <alignment horizontal="left"/>
    </xf>
    <xf numFmtId="0" fontId="17" fillId="0" borderId="0" xfId="0" applyFont="1" applyFill="1" applyBorder="1"/>
    <xf numFmtId="164" fontId="17" fillId="0" borderId="0" xfId="2" applyNumberFormat="1" applyFont="1" applyFill="1" applyBorder="1"/>
    <xf numFmtId="0" fontId="6" fillId="0" borderId="0" xfId="0" applyFont="1" applyFill="1"/>
    <xf numFmtId="41" fontId="10" fillId="0" borderId="0" xfId="4" quotePrefix="1" applyFont="1" applyFill="1" applyBorder="1" applyAlignment="1">
      <alignment horizontal="right"/>
    </xf>
    <xf numFmtId="41" fontId="10" fillId="0" borderId="0" xfId="4" applyFont="1" applyFill="1" applyBorder="1" applyAlignment="1">
      <alignment horizontal="left"/>
    </xf>
    <xf numFmtId="41" fontId="10" fillId="0" borderId="0" xfId="4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8" fillId="0" borderId="0" xfId="12" applyFont="1" applyFill="1" applyAlignment="1">
      <alignment horizontal="right"/>
    </xf>
    <xf numFmtId="170" fontId="8" fillId="0" borderId="0" xfId="11" applyFont="1" applyFill="1" applyBorder="1" applyAlignment="1">
      <alignment horizontal="center"/>
    </xf>
    <xf numFmtId="0" fontId="8" fillId="0" borderId="0" xfId="12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quotePrefix="1" applyFont="1" applyFill="1" applyAlignment="1">
      <alignment horizontal="right"/>
    </xf>
    <xf numFmtId="0" fontId="8" fillId="0" borderId="0" xfId="12" applyFont="1" applyFill="1" applyAlignment="1">
      <alignment horizontal="center"/>
    </xf>
    <xf numFmtId="0" fontId="8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0" xfId="12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4" fontId="8" fillId="0" borderId="10" xfId="12" applyNumberFormat="1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12" applyFont="1" applyFill="1" applyBorder="1" applyAlignment="1">
      <alignment horizontal="right"/>
    </xf>
    <xf numFmtId="0" fontId="23" fillId="0" borderId="0" xfId="0" applyFont="1" applyFill="1"/>
    <xf numFmtId="0" fontId="8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right"/>
    </xf>
    <xf numFmtId="0" fontId="6" fillId="0" borderId="0" xfId="12" applyFont="1" applyFill="1"/>
    <xf numFmtId="167" fontId="26" fillId="0" borderId="0" xfId="10" applyNumberFormat="1" applyFont="1" applyFill="1"/>
    <xf numFmtId="37" fontId="6" fillId="0" borderId="0" xfId="1" applyNumberFormat="1" applyFont="1" applyFill="1"/>
    <xf numFmtId="44" fontId="6" fillId="0" borderId="0" xfId="2" applyFont="1" applyFill="1"/>
    <xf numFmtId="164" fontId="6" fillId="0" borderId="0" xfId="0" applyNumberFormat="1" applyFont="1" applyFill="1"/>
    <xf numFmtId="44" fontId="6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171" fontId="6" fillId="0" borderId="0" xfId="2" applyNumberFormat="1" applyFont="1" applyFill="1"/>
    <xf numFmtId="171" fontId="6" fillId="0" borderId="0" xfId="0" applyNumberFormat="1" applyFont="1" applyFill="1"/>
    <xf numFmtId="0" fontId="8" fillId="0" borderId="0" xfId="12" applyFont="1" applyFill="1"/>
    <xf numFmtId="37" fontId="8" fillId="0" borderId="0" xfId="0" applyNumberFormat="1" applyFont="1" applyFill="1"/>
    <xf numFmtId="164" fontId="8" fillId="0" borderId="0" xfId="12" applyNumberFormat="1" applyFont="1" applyFill="1" applyBorder="1"/>
    <xf numFmtId="0" fontId="6" fillId="0" borderId="0" xfId="12" applyFont="1" applyFill="1" applyAlignment="1">
      <alignment horizontal="right"/>
    </xf>
    <xf numFmtId="172" fontId="6" fillId="0" borderId="0" xfId="10" applyNumberFormat="1" applyFont="1" applyFill="1" applyBorder="1"/>
    <xf numFmtId="172" fontId="6" fillId="0" borderId="0" xfId="0" applyNumberFormat="1" applyFont="1" applyFill="1"/>
    <xf numFmtId="37" fontId="6" fillId="0" borderId="0" xfId="0" applyNumberFormat="1" applyFont="1" applyFill="1"/>
    <xf numFmtId="164" fontId="8" fillId="0" borderId="14" xfId="0" applyNumberFormat="1" applyFont="1" applyFill="1" applyBorder="1"/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Border="1"/>
    <xf numFmtId="167" fontId="6" fillId="0" borderId="15" xfId="1" applyNumberFormat="1" applyFont="1" applyFill="1" applyBorder="1"/>
    <xf numFmtId="0" fontId="6" fillId="0" borderId="0" xfId="0" applyFont="1" applyFill="1" applyAlignment="1">
      <alignment horizontal="right"/>
    </xf>
    <xf numFmtId="10" fontId="6" fillId="0" borderId="0" xfId="13" applyNumberFormat="1" applyFont="1" applyFill="1"/>
    <xf numFmtId="167" fontId="6" fillId="0" borderId="0" xfId="0" applyNumberFormat="1" applyFont="1" applyFill="1"/>
    <xf numFmtId="0" fontId="8" fillId="0" borderId="10" xfId="0" applyFont="1" applyFill="1" applyBorder="1" applyAlignment="1">
      <alignment horizontal="right"/>
    </xf>
    <xf numFmtId="10" fontId="27" fillId="0" borderId="0" xfId="14" applyNumberFormat="1" applyFont="1" applyFill="1"/>
    <xf numFmtId="0" fontId="6" fillId="0" borderId="0" xfId="0" applyFont="1" applyFill="1" applyAlignment="1">
      <alignment horizontal="left" indent="1"/>
    </xf>
    <xf numFmtId="37" fontId="18" fillId="0" borderId="0" xfId="0" applyNumberFormat="1" applyFont="1" applyFill="1"/>
    <xf numFmtId="10" fontId="27" fillId="0" borderId="0" xfId="0" applyNumberFormat="1" applyFont="1" applyFill="1"/>
    <xf numFmtId="42" fontId="6" fillId="0" borderId="0" xfId="0" applyNumberFormat="1" applyFont="1" applyFill="1"/>
    <xf numFmtId="43" fontId="6" fillId="0" borderId="0" xfId="1" applyFont="1" applyFill="1"/>
    <xf numFmtId="173" fontId="6" fillId="0" borderId="0" xfId="0" applyNumberFormat="1" applyFont="1" applyFill="1"/>
    <xf numFmtId="164" fontId="6" fillId="0" borderId="0" xfId="12" applyNumberFormat="1" applyFont="1" applyFill="1" applyBorder="1"/>
    <xf numFmtId="37" fontId="0" fillId="0" borderId="0" xfId="0" applyNumberFormat="1" applyFill="1"/>
    <xf numFmtId="37" fontId="6" fillId="0" borderId="0" xfId="1" applyNumberFormat="1" applyFont="1" applyFill="1" applyAlignment="1">
      <alignment horizontal="center"/>
    </xf>
    <xf numFmtId="164" fontId="8" fillId="0" borderId="14" xfId="12" applyNumberFormat="1" applyFont="1" applyFill="1" applyBorder="1"/>
    <xf numFmtId="10" fontId="18" fillId="0" borderId="0" xfId="0" applyNumberFormat="1" applyFont="1" applyFill="1"/>
    <xf numFmtId="44" fontId="6" fillId="0" borderId="0" xfId="2" applyNumberFormat="1" applyFont="1" applyFill="1"/>
    <xf numFmtId="44" fontId="6" fillId="0" borderId="0" xfId="12" applyNumberFormat="1" applyFont="1" applyFill="1" applyBorder="1"/>
    <xf numFmtId="174" fontId="6" fillId="0" borderId="0" xfId="2" applyNumberFormat="1" applyFont="1" applyFill="1"/>
    <xf numFmtId="174" fontId="6" fillId="0" borderId="0" xfId="0" applyNumberFormat="1" applyFont="1" applyFill="1"/>
    <xf numFmtId="0" fontId="23" fillId="0" borderId="0" xfId="0" quotePrefix="1" applyFont="1" applyFill="1" applyAlignment="1">
      <alignment horizontal="left"/>
    </xf>
    <xf numFmtId="0" fontId="18" fillId="0" borderId="0" xfId="0" quotePrefix="1" applyFont="1" applyFill="1" applyAlignment="1">
      <alignment horizontal="left"/>
    </xf>
    <xf numFmtId="175" fontId="6" fillId="0" borderId="0" xfId="0" applyNumberFormat="1" applyFont="1" applyFill="1"/>
    <xf numFmtId="0" fontId="6" fillId="0" borderId="0" xfId="0" applyFont="1" applyFill="1" applyBorder="1"/>
    <xf numFmtId="173" fontId="0" fillId="0" borderId="0" xfId="0" applyNumberFormat="1" applyFill="1"/>
    <xf numFmtId="8" fontId="6" fillId="0" borderId="0" xfId="0" applyNumberFormat="1" applyFont="1" applyFill="1"/>
    <xf numFmtId="0" fontId="6" fillId="0" borderId="0" xfId="0" applyFont="1" applyFill="1" applyAlignment="1">
      <alignment wrapText="1"/>
    </xf>
    <xf numFmtId="1" fontId="6" fillId="0" borderId="0" xfId="0" applyNumberFormat="1" applyFont="1" applyFill="1" applyBorder="1"/>
    <xf numFmtId="44" fontId="18" fillId="0" borderId="0" xfId="0" applyNumberFormat="1" applyFont="1" applyFill="1"/>
    <xf numFmtId="176" fontId="6" fillId="0" borderId="0" xfId="0" applyNumberFormat="1" applyFont="1" applyFill="1"/>
    <xf numFmtId="42" fontId="6" fillId="0" borderId="13" xfId="0" applyNumberFormat="1" applyFont="1" applyFill="1" applyBorder="1"/>
    <xf numFmtId="177" fontId="6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 applyAlignment="1">
      <alignment horizontal="left"/>
    </xf>
    <xf numFmtId="178" fontId="18" fillId="0" borderId="0" xfId="0" applyNumberFormat="1" applyFont="1" applyFill="1"/>
    <xf numFmtId="42" fontId="18" fillId="0" borderId="0" xfId="0" applyNumberFormat="1" applyFont="1" applyFill="1"/>
    <xf numFmtId="42" fontId="6" fillId="0" borderId="0" xfId="0" applyNumberFormat="1" applyFont="1" applyFill="1" applyBorder="1"/>
    <xf numFmtId="164" fontId="6" fillId="0" borderId="14" xfId="7" applyNumberFormat="1" applyFont="1" applyFill="1" applyBorder="1"/>
    <xf numFmtId="10" fontId="6" fillId="0" borderId="0" xfId="3" applyNumberFormat="1" applyFont="1" applyFill="1" applyBorder="1"/>
    <xf numFmtId="43" fontId="6" fillId="0" borderId="0" xfId="0" applyNumberFormat="1" applyFont="1" applyFill="1"/>
    <xf numFmtId="164" fontId="8" fillId="0" borderId="14" xfId="7" applyNumberFormat="1" applyFont="1" applyFill="1" applyBorder="1"/>
    <xf numFmtId="0" fontId="8" fillId="0" borderId="0" xfId="0" quotePrefix="1" applyFont="1" applyFill="1" applyProtection="1"/>
    <xf numFmtId="179" fontId="6" fillId="0" borderId="0" xfId="0" applyNumberFormat="1" applyFont="1" applyFill="1"/>
    <xf numFmtId="173" fontId="18" fillId="0" borderId="0" xfId="0" applyNumberFormat="1" applyFont="1" applyFill="1"/>
    <xf numFmtId="0" fontId="6" fillId="0" borderId="0" xfId="12" applyFont="1" applyFill="1" applyAlignment="1">
      <alignment horizontal="left" indent="1"/>
    </xf>
    <xf numFmtId="42" fontId="8" fillId="0" borderId="0" xfId="12" applyNumberFormat="1" applyFont="1" applyFill="1" applyBorder="1"/>
    <xf numFmtId="180" fontId="6" fillId="0" borderId="0" xfId="0" applyNumberFormat="1" applyFont="1" applyFill="1"/>
    <xf numFmtId="0" fontId="0" fillId="0" borderId="0" xfId="0" applyAlignment="1">
      <alignment horizontal="center"/>
    </xf>
    <xf numFmtId="170" fontId="8" fillId="0" borderId="10" xfId="11" applyFont="1" applyFill="1" applyBorder="1" applyAlignment="1">
      <alignment horizontal="center"/>
    </xf>
  </cellXfs>
  <cellStyles count="850"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 9" xfId="29"/>
    <cellStyle name="20% - Accent2 10" xfId="30"/>
    <cellStyle name="20% - Accent2 11" xfId="31"/>
    <cellStyle name="20% - Accent2 12" xfId="32"/>
    <cellStyle name="20% - Accent2 13" xfId="33"/>
    <cellStyle name="20% - Accent2 14" xfId="34"/>
    <cellStyle name="20% - Accent2 15" xfId="35"/>
    <cellStyle name="20% - Accent2 16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14" xfId="49"/>
    <cellStyle name="20% - Accent3 15" xfId="50"/>
    <cellStyle name="20% - Accent3 1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 10" xfId="60"/>
    <cellStyle name="20% - Accent4 11" xfId="61"/>
    <cellStyle name="20% - Accent4 12" xfId="62"/>
    <cellStyle name="20% - Accent4 13" xfId="63"/>
    <cellStyle name="20% - Accent4 14" xfId="64"/>
    <cellStyle name="20% - Accent4 15" xfId="65"/>
    <cellStyle name="20% - Accent4 16" xfId="66"/>
    <cellStyle name="20% - Accent4 2" xfId="67"/>
    <cellStyle name="20% - Accent4 3" xfId="68"/>
    <cellStyle name="20% - Accent4 4" xfId="69"/>
    <cellStyle name="20% - Accent4 5" xfId="70"/>
    <cellStyle name="20% - Accent4 6" xfId="71"/>
    <cellStyle name="20% - Accent4 7" xfId="72"/>
    <cellStyle name="20% - Accent4 8" xfId="73"/>
    <cellStyle name="20% - Accent4 9" xfId="74"/>
    <cellStyle name="20% - Accent5 10" xfId="75"/>
    <cellStyle name="20% - Accent5 11" xfId="76"/>
    <cellStyle name="20% - Accent5 12" xfId="77"/>
    <cellStyle name="20% - Accent5 13" xfId="78"/>
    <cellStyle name="20% - Accent5 14" xfId="79"/>
    <cellStyle name="20% - Accent5 15" xfId="80"/>
    <cellStyle name="20% - Accent5 16" xfId="81"/>
    <cellStyle name="20% - Accent5 2" xfId="82"/>
    <cellStyle name="20% - Accent5 3" xfId="83"/>
    <cellStyle name="20% - Accent5 4" xfId="84"/>
    <cellStyle name="20% - Accent5 5" xfId="85"/>
    <cellStyle name="20% - Accent5 6" xfId="86"/>
    <cellStyle name="20% - Accent5 7" xfId="87"/>
    <cellStyle name="20% - Accent5 8" xfId="88"/>
    <cellStyle name="20% - Accent5 9" xfId="89"/>
    <cellStyle name="20% - Accent6 10" xfId="90"/>
    <cellStyle name="20% - Accent6 11" xfId="91"/>
    <cellStyle name="20% - Accent6 12" xfId="92"/>
    <cellStyle name="20% - Accent6 13" xfId="93"/>
    <cellStyle name="20% - Accent6 14" xfId="94"/>
    <cellStyle name="20% - Accent6 15" xfId="95"/>
    <cellStyle name="20% - Accent6 16" xfId="96"/>
    <cellStyle name="20% - Accent6 2" xfId="97"/>
    <cellStyle name="20% - Accent6 3" xfId="98"/>
    <cellStyle name="20% - Accent6 4" xfId="99"/>
    <cellStyle name="20% - Accent6 5" xfId="100"/>
    <cellStyle name="20% - Accent6 6" xfId="101"/>
    <cellStyle name="20% - Accent6 7" xfId="102"/>
    <cellStyle name="20% - Accent6 8" xfId="103"/>
    <cellStyle name="20% - Accent6 9" xfId="104"/>
    <cellStyle name="40% - Accent1 10" xfId="105"/>
    <cellStyle name="40% - Accent1 11" xfId="106"/>
    <cellStyle name="40% - Accent1 12" xfId="107"/>
    <cellStyle name="40% - Accent1 13" xfId="108"/>
    <cellStyle name="40% - Accent1 14" xfId="109"/>
    <cellStyle name="40% - Accent1 15" xfId="110"/>
    <cellStyle name="40% - Accent1 16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1 8" xfId="118"/>
    <cellStyle name="40% - Accent1 9" xfId="119"/>
    <cellStyle name="40% - Accent2 10" xfId="120"/>
    <cellStyle name="40% - Accent2 11" xfId="121"/>
    <cellStyle name="40% - Accent2 12" xfId="122"/>
    <cellStyle name="40% - Accent2 13" xfId="123"/>
    <cellStyle name="40% - Accent2 14" xfId="124"/>
    <cellStyle name="40% - Accent2 15" xfId="125"/>
    <cellStyle name="40% - Accent2 16" xfId="126"/>
    <cellStyle name="40% - Accent2 2" xfId="127"/>
    <cellStyle name="40% - Accent2 3" xfId="128"/>
    <cellStyle name="40% - Accent2 4" xfId="129"/>
    <cellStyle name="40% - Accent2 5" xfId="130"/>
    <cellStyle name="40% - Accent2 6" xfId="131"/>
    <cellStyle name="40% - Accent2 7" xfId="132"/>
    <cellStyle name="40% - Accent2 8" xfId="133"/>
    <cellStyle name="40% - Accent2 9" xfId="134"/>
    <cellStyle name="40% - Accent3 10" xfId="135"/>
    <cellStyle name="40% - Accent3 11" xfId="136"/>
    <cellStyle name="40% - Accent3 12" xfId="137"/>
    <cellStyle name="40% - Accent3 13" xfId="138"/>
    <cellStyle name="40% - Accent3 14" xfId="139"/>
    <cellStyle name="40% - Accent3 15" xfId="140"/>
    <cellStyle name="40% - Accent3 16" xfId="141"/>
    <cellStyle name="40% - Accent3 2" xfId="142"/>
    <cellStyle name="40% - Accent3 3" xfId="143"/>
    <cellStyle name="40% - Accent3 4" xfId="144"/>
    <cellStyle name="40% - Accent3 5" xfId="145"/>
    <cellStyle name="40% - Accent3 6" xfId="146"/>
    <cellStyle name="40% - Accent3 7" xfId="147"/>
    <cellStyle name="40% - Accent3 8" xfId="148"/>
    <cellStyle name="40% - Accent3 9" xfId="149"/>
    <cellStyle name="40% - Accent4 10" xfId="150"/>
    <cellStyle name="40% - Accent4 11" xfId="151"/>
    <cellStyle name="40% - Accent4 12" xfId="152"/>
    <cellStyle name="40% - Accent4 13" xfId="153"/>
    <cellStyle name="40% - Accent4 14" xfId="154"/>
    <cellStyle name="40% - Accent4 15" xfId="155"/>
    <cellStyle name="40% - Accent4 16" xfId="156"/>
    <cellStyle name="40% - Accent4 2" xfId="157"/>
    <cellStyle name="40% - Accent4 3" xfId="158"/>
    <cellStyle name="40% - Accent4 4" xfId="159"/>
    <cellStyle name="40% - Accent4 5" xfId="160"/>
    <cellStyle name="40% - Accent4 6" xfId="161"/>
    <cellStyle name="40% - Accent4 7" xfId="162"/>
    <cellStyle name="40% - Accent4 8" xfId="163"/>
    <cellStyle name="40% - Accent4 9" xfId="164"/>
    <cellStyle name="40% - Accent5 10" xfId="165"/>
    <cellStyle name="40% - Accent5 11" xfId="166"/>
    <cellStyle name="40% - Accent5 12" xfId="167"/>
    <cellStyle name="40% - Accent5 13" xfId="168"/>
    <cellStyle name="40% - Accent5 14" xfId="169"/>
    <cellStyle name="40% - Accent5 15" xfId="170"/>
    <cellStyle name="40% - Accent5 16" xfId="171"/>
    <cellStyle name="40% - Accent5 2" xfId="172"/>
    <cellStyle name="40% - Accent5 3" xfId="173"/>
    <cellStyle name="40% - Accent5 4" xfId="174"/>
    <cellStyle name="40% - Accent5 5" xfId="175"/>
    <cellStyle name="40% - Accent5 6" xfId="176"/>
    <cellStyle name="40% - Accent5 7" xfId="177"/>
    <cellStyle name="40% - Accent5 8" xfId="178"/>
    <cellStyle name="40% - Accent5 9" xfId="179"/>
    <cellStyle name="40% - Accent6 10" xfId="180"/>
    <cellStyle name="40% - Accent6 11" xfId="181"/>
    <cellStyle name="40% - Accent6 12" xfId="182"/>
    <cellStyle name="40% - Accent6 13" xfId="183"/>
    <cellStyle name="40% - Accent6 14" xfId="184"/>
    <cellStyle name="40% - Accent6 15" xfId="185"/>
    <cellStyle name="40% - Accent6 16" xfId="186"/>
    <cellStyle name="40% - Accent6 2" xfId="187"/>
    <cellStyle name="40% - Accent6 3" xfId="188"/>
    <cellStyle name="40% - Accent6 4" xfId="189"/>
    <cellStyle name="40% - Accent6 5" xfId="190"/>
    <cellStyle name="40% - Accent6 6" xfId="191"/>
    <cellStyle name="40% - Accent6 7" xfId="192"/>
    <cellStyle name="40% - Accent6 8" xfId="193"/>
    <cellStyle name="40% - Accent6 9" xfId="194"/>
    <cellStyle name="60% - Accent1 10" xfId="195"/>
    <cellStyle name="60% - Accent1 11" xfId="196"/>
    <cellStyle name="60% - Accent1 12" xfId="197"/>
    <cellStyle name="60% - Accent1 13" xfId="198"/>
    <cellStyle name="60% - Accent1 14" xfId="199"/>
    <cellStyle name="60% - Accent1 15" xfId="200"/>
    <cellStyle name="60% - Accent1 16" xfId="201"/>
    <cellStyle name="60% - Accent1 2" xfId="202"/>
    <cellStyle name="60% - Accent1 3" xfId="203"/>
    <cellStyle name="60% - Accent1 4" xfId="204"/>
    <cellStyle name="60% - Accent1 5" xfId="205"/>
    <cellStyle name="60% - Accent1 6" xfId="206"/>
    <cellStyle name="60% - Accent1 7" xfId="207"/>
    <cellStyle name="60% - Accent1 8" xfId="208"/>
    <cellStyle name="60% - Accent1 9" xfId="209"/>
    <cellStyle name="60% - Accent2 10" xfId="210"/>
    <cellStyle name="60% - Accent2 11" xfId="211"/>
    <cellStyle name="60% - Accent2 12" xfId="212"/>
    <cellStyle name="60% - Accent2 13" xfId="213"/>
    <cellStyle name="60% - Accent2 14" xfId="214"/>
    <cellStyle name="60% - Accent2 15" xfId="215"/>
    <cellStyle name="60% - Accent2 16" xfId="216"/>
    <cellStyle name="60% - Accent2 2" xfId="217"/>
    <cellStyle name="60% - Accent2 3" xfId="218"/>
    <cellStyle name="60% - Accent2 4" xfId="219"/>
    <cellStyle name="60% - Accent2 5" xfId="220"/>
    <cellStyle name="60% - Accent2 6" xfId="221"/>
    <cellStyle name="60% - Accent2 7" xfId="222"/>
    <cellStyle name="60% - Accent2 8" xfId="223"/>
    <cellStyle name="60% - Accent2 9" xfId="224"/>
    <cellStyle name="60% - Accent3 10" xfId="225"/>
    <cellStyle name="60% - Accent3 11" xfId="226"/>
    <cellStyle name="60% - Accent3 12" xfId="227"/>
    <cellStyle name="60% - Accent3 13" xfId="228"/>
    <cellStyle name="60% - Accent3 14" xfId="229"/>
    <cellStyle name="60% - Accent3 15" xfId="230"/>
    <cellStyle name="60% - Accent3 16" xfId="231"/>
    <cellStyle name="60% - Accent3 2" xfId="232"/>
    <cellStyle name="60% - Accent3 3" xfId="233"/>
    <cellStyle name="60% - Accent3 4" xfId="234"/>
    <cellStyle name="60% - Accent3 5" xfId="235"/>
    <cellStyle name="60% - Accent3 6" xfId="236"/>
    <cellStyle name="60% - Accent3 7" xfId="237"/>
    <cellStyle name="60% - Accent3 8" xfId="238"/>
    <cellStyle name="60% - Accent3 9" xfId="239"/>
    <cellStyle name="60% - Accent4 10" xfId="240"/>
    <cellStyle name="60% - Accent4 11" xfId="241"/>
    <cellStyle name="60% - Accent4 12" xfId="242"/>
    <cellStyle name="60% - Accent4 13" xfId="243"/>
    <cellStyle name="60% - Accent4 14" xfId="244"/>
    <cellStyle name="60% - Accent4 15" xfId="245"/>
    <cellStyle name="60% - Accent4 16" xfId="246"/>
    <cellStyle name="60% - Accent4 2" xfId="247"/>
    <cellStyle name="60% - Accent4 3" xfId="248"/>
    <cellStyle name="60% - Accent4 4" xfId="249"/>
    <cellStyle name="60% - Accent4 5" xfId="250"/>
    <cellStyle name="60% - Accent4 6" xfId="251"/>
    <cellStyle name="60% - Accent4 7" xfId="252"/>
    <cellStyle name="60% - Accent4 8" xfId="253"/>
    <cellStyle name="60% - Accent4 9" xfId="254"/>
    <cellStyle name="60% - Accent5 10" xfId="255"/>
    <cellStyle name="60% - Accent5 11" xfId="256"/>
    <cellStyle name="60% - Accent5 12" xfId="257"/>
    <cellStyle name="60% - Accent5 13" xfId="258"/>
    <cellStyle name="60% - Accent5 14" xfId="259"/>
    <cellStyle name="60% - Accent5 15" xfId="260"/>
    <cellStyle name="60% - Accent5 16" xfId="261"/>
    <cellStyle name="60% - Accent5 2" xfId="262"/>
    <cellStyle name="60% - Accent5 3" xfId="263"/>
    <cellStyle name="60% - Accent5 4" xfId="264"/>
    <cellStyle name="60% - Accent5 5" xfId="265"/>
    <cellStyle name="60% - Accent5 6" xfId="266"/>
    <cellStyle name="60% - Accent5 7" xfId="267"/>
    <cellStyle name="60% - Accent5 8" xfId="268"/>
    <cellStyle name="60% - Accent5 9" xfId="269"/>
    <cellStyle name="60% - Accent6 10" xfId="270"/>
    <cellStyle name="60% - Accent6 11" xfId="271"/>
    <cellStyle name="60% - Accent6 12" xfId="272"/>
    <cellStyle name="60% - Accent6 13" xfId="273"/>
    <cellStyle name="60% - Accent6 14" xfId="274"/>
    <cellStyle name="60% - Accent6 15" xfId="275"/>
    <cellStyle name="60% - Accent6 16" xfId="276"/>
    <cellStyle name="60% - Accent6 2" xfId="277"/>
    <cellStyle name="60% - Accent6 3" xfId="278"/>
    <cellStyle name="60% - Accent6 4" xfId="279"/>
    <cellStyle name="60% - Accent6 5" xfId="280"/>
    <cellStyle name="60% - Accent6 6" xfId="281"/>
    <cellStyle name="60% - Accent6 7" xfId="282"/>
    <cellStyle name="60% - Accent6 8" xfId="283"/>
    <cellStyle name="60% - Accent6 9" xfId="284"/>
    <cellStyle name="Accent1 10" xfId="285"/>
    <cellStyle name="Accent1 11" xfId="286"/>
    <cellStyle name="Accent1 12" xfId="287"/>
    <cellStyle name="Accent1 13" xfId="288"/>
    <cellStyle name="Accent1 14" xfId="289"/>
    <cellStyle name="Accent1 15" xfId="290"/>
    <cellStyle name="Accent1 16" xfId="291"/>
    <cellStyle name="Accent1 2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10" xfId="300"/>
    <cellStyle name="Accent2 11" xfId="301"/>
    <cellStyle name="Accent2 12" xfId="302"/>
    <cellStyle name="Accent2 13" xfId="303"/>
    <cellStyle name="Accent2 14" xfId="304"/>
    <cellStyle name="Accent2 15" xfId="305"/>
    <cellStyle name="Accent2 16" xfId="306"/>
    <cellStyle name="Accent2 2" xfId="307"/>
    <cellStyle name="Accent2 3" xfId="308"/>
    <cellStyle name="Accent2 4" xfId="309"/>
    <cellStyle name="Accent2 5" xfId="310"/>
    <cellStyle name="Accent2 6" xfId="311"/>
    <cellStyle name="Accent2 7" xfId="312"/>
    <cellStyle name="Accent2 8" xfId="313"/>
    <cellStyle name="Accent2 9" xfId="314"/>
    <cellStyle name="Accent3 10" xfId="315"/>
    <cellStyle name="Accent3 11" xfId="316"/>
    <cellStyle name="Accent3 12" xfId="317"/>
    <cellStyle name="Accent3 13" xfId="318"/>
    <cellStyle name="Accent3 14" xfId="319"/>
    <cellStyle name="Accent3 15" xfId="320"/>
    <cellStyle name="Accent3 16" xfId="321"/>
    <cellStyle name="Accent3 2" xfId="322"/>
    <cellStyle name="Accent3 3" xfId="323"/>
    <cellStyle name="Accent3 4" xfId="324"/>
    <cellStyle name="Accent3 5" xfId="325"/>
    <cellStyle name="Accent3 6" xfId="326"/>
    <cellStyle name="Accent3 7" xfId="327"/>
    <cellStyle name="Accent3 8" xfId="328"/>
    <cellStyle name="Accent3 9" xfId="329"/>
    <cellStyle name="Accent4 10" xfId="330"/>
    <cellStyle name="Accent4 11" xfId="331"/>
    <cellStyle name="Accent4 12" xfId="332"/>
    <cellStyle name="Accent4 13" xfId="333"/>
    <cellStyle name="Accent4 14" xfId="334"/>
    <cellStyle name="Accent4 15" xfId="335"/>
    <cellStyle name="Accent4 16" xfId="336"/>
    <cellStyle name="Accent4 2" xfId="337"/>
    <cellStyle name="Accent4 3" xfId="338"/>
    <cellStyle name="Accent4 4" xfId="339"/>
    <cellStyle name="Accent4 5" xfId="340"/>
    <cellStyle name="Accent4 6" xfId="341"/>
    <cellStyle name="Accent4 7" xfId="342"/>
    <cellStyle name="Accent4 8" xfId="343"/>
    <cellStyle name="Accent4 9" xfId="344"/>
    <cellStyle name="Accent5 10" xfId="345"/>
    <cellStyle name="Accent5 11" xfId="346"/>
    <cellStyle name="Accent5 12" xfId="347"/>
    <cellStyle name="Accent5 13" xfId="348"/>
    <cellStyle name="Accent5 14" xfId="349"/>
    <cellStyle name="Accent5 15" xfId="350"/>
    <cellStyle name="Accent5 16" xfId="351"/>
    <cellStyle name="Accent5 2" xfId="352"/>
    <cellStyle name="Accent5 3" xfId="353"/>
    <cellStyle name="Accent5 4" xfId="354"/>
    <cellStyle name="Accent5 5" xfId="355"/>
    <cellStyle name="Accent5 6" xfId="356"/>
    <cellStyle name="Accent5 7" xfId="357"/>
    <cellStyle name="Accent5 8" xfId="358"/>
    <cellStyle name="Accent5 9" xfId="359"/>
    <cellStyle name="Accent6 10" xfId="360"/>
    <cellStyle name="Accent6 11" xfId="361"/>
    <cellStyle name="Accent6 12" xfId="362"/>
    <cellStyle name="Accent6 13" xfId="363"/>
    <cellStyle name="Accent6 14" xfId="364"/>
    <cellStyle name="Accent6 15" xfId="365"/>
    <cellStyle name="Accent6 16" xfId="366"/>
    <cellStyle name="Accent6 2" xfId="367"/>
    <cellStyle name="Accent6 3" xfId="368"/>
    <cellStyle name="Accent6 4" xfId="369"/>
    <cellStyle name="Accent6 5" xfId="370"/>
    <cellStyle name="Accent6 6" xfId="371"/>
    <cellStyle name="Accent6 7" xfId="372"/>
    <cellStyle name="Accent6 8" xfId="373"/>
    <cellStyle name="Accent6 9" xfId="374"/>
    <cellStyle name="Bad 10" xfId="375"/>
    <cellStyle name="Bad 11" xfId="376"/>
    <cellStyle name="Bad 12" xfId="377"/>
    <cellStyle name="Bad 13" xfId="378"/>
    <cellStyle name="Bad 14" xfId="379"/>
    <cellStyle name="Bad 15" xfId="380"/>
    <cellStyle name="Bad 16" xfId="381"/>
    <cellStyle name="Bad 2" xfId="382"/>
    <cellStyle name="Bad 3" xfId="383"/>
    <cellStyle name="Bad 4" xfId="384"/>
    <cellStyle name="Bad 5" xfId="385"/>
    <cellStyle name="Bad 6" xfId="386"/>
    <cellStyle name="Bad 7" xfId="387"/>
    <cellStyle name="Bad 8" xfId="388"/>
    <cellStyle name="Bad 9" xfId="389"/>
    <cellStyle name="Calculation 10" xfId="390"/>
    <cellStyle name="Calculation 11" xfId="391"/>
    <cellStyle name="Calculation 12" xfId="392"/>
    <cellStyle name="Calculation 13" xfId="393"/>
    <cellStyle name="Calculation 14" xfId="394"/>
    <cellStyle name="Calculation 15" xfId="395"/>
    <cellStyle name="Calculation 16" xfId="396"/>
    <cellStyle name="Calculation 2" xfId="397"/>
    <cellStyle name="Calculation 3" xfId="398"/>
    <cellStyle name="Calculation 4" xfId="399"/>
    <cellStyle name="Calculation 5" xfId="400"/>
    <cellStyle name="Calculation 6" xfId="401"/>
    <cellStyle name="Calculation 7" xfId="402"/>
    <cellStyle name="Calculation 8" xfId="403"/>
    <cellStyle name="Calculation 9" xfId="404"/>
    <cellStyle name="Check Cell 10" xfId="405"/>
    <cellStyle name="Check Cell 11" xfId="406"/>
    <cellStyle name="Check Cell 12" xfId="407"/>
    <cellStyle name="Check Cell 13" xfId="408"/>
    <cellStyle name="Check Cell 14" xfId="409"/>
    <cellStyle name="Check Cell 15" xfId="410"/>
    <cellStyle name="Check Cell 16" xfId="411"/>
    <cellStyle name="Check Cell 2" xfId="412"/>
    <cellStyle name="Check Cell 3" xfId="413"/>
    <cellStyle name="Check Cell 4" xfId="414"/>
    <cellStyle name="Check Cell 5" xfId="415"/>
    <cellStyle name="Check Cell 6" xfId="416"/>
    <cellStyle name="Check Cell 7" xfId="417"/>
    <cellStyle name="Check Cell 8" xfId="418"/>
    <cellStyle name="Check Cell 9" xfId="419"/>
    <cellStyle name="Comma" xfId="1" builtinId="3"/>
    <cellStyle name="Comma 2" xfId="10"/>
    <cellStyle name="Comma 2 10" xfId="420"/>
    <cellStyle name="Comma 2 11" xfId="421"/>
    <cellStyle name="Comma 2 12" xfId="422"/>
    <cellStyle name="Comma 2 13" xfId="423"/>
    <cellStyle name="Comma 2 14" xfId="424"/>
    <cellStyle name="Comma 2 2" xfId="425"/>
    <cellStyle name="Comma 2 3" xfId="426"/>
    <cellStyle name="Comma 2 4" xfId="427"/>
    <cellStyle name="Comma 2 5" xfId="428"/>
    <cellStyle name="Comma 2 6" xfId="429"/>
    <cellStyle name="Comma 2 7" xfId="430"/>
    <cellStyle name="Comma 2 8" xfId="431"/>
    <cellStyle name="Comma 2 9" xfId="432"/>
    <cellStyle name="Comma 3" xfId="433"/>
    <cellStyle name="Comma 4" xfId="434"/>
    <cellStyle name="Comma 5" xfId="435"/>
    <cellStyle name="Comma 6" xfId="6"/>
    <cellStyle name="Comma 7" xfId="8"/>
    <cellStyle name="Comma0" xfId="436"/>
    <cellStyle name="Currency" xfId="2" builtinId="4"/>
    <cellStyle name="Currency 2" xfId="437"/>
    <cellStyle name="Currency 3" xfId="5"/>
    <cellStyle name="Currency 4" xfId="438"/>
    <cellStyle name="Currency 5" xfId="7"/>
    <cellStyle name="Currency0" xfId="439"/>
    <cellStyle name="Date" xfId="440"/>
    <cellStyle name="Euro" xfId="441"/>
    <cellStyle name="Explanatory Text 10" xfId="442"/>
    <cellStyle name="Explanatory Text 11" xfId="443"/>
    <cellStyle name="Explanatory Text 12" xfId="444"/>
    <cellStyle name="Explanatory Text 13" xfId="445"/>
    <cellStyle name="Explanatory Text 14" xfId="446"/>
    <cellStyle name="Explanatory Text 15" xfId="447"/>
    <cellStyle name="Explanatory Text 16" xfId="448"/>
    <cellStyle name="Explanatory Text 2" xfId="449"/>
    <cellStyle name="Explanatory Text 3" xfId="450"/>
    <cellStyle name="Explanatory Text 4" xfId="451"/>
    <cellStyle name="Explanatory Text 5" xfId="452"/>
    <cellStyle name="Explanatory Text 6" xfId="453"/>
    <cellStyle name="Explanatory Text 7" xfId="454"/>
    <cellStyle name="Explanatory Text 8" xfId="455"/>
    <cellStyle name="Explanatory Text 9" xfId="456"/>
    <cellStyle name="F2" xfId="457"/>
    <cellStyle name="F2 2" xfId="458"/>
    <cellStyle name="F2 3" xfId="459"/>
    <cellStyle name="F2 4" xfId="460"/>
    <cellStyle name="F2 5" xfId="461"/>
    <cellStyle name="F2 6" xfId="462"/>
    <cellStyle name="F2 7" xfId="463"/>
    <cellStyle name="F2 8" xfId="464"/>
    <cellStyle name="F2 9" xfId="465"/>
    <cellStyle name="F2_Regenerated Revenues LGE Gas 2008-04 with Elec Gen-Seelye final version " xfId="466"/>
    <cellStyle name="F3" xfId="467"/>
    <cellStyle name="F3 2" xfId="468"/>
    <cellStyle name="F3 3" xfId="469"/>
    <cellStyle name="F3 4" xfId="470"/>
    <cellStyle name="F3 5" xfId="471"/>
    <cellStyle name="F3 6" xfId="472"/>
    <cellStyle name="F3 7" xfId="473"/>
    <cellStyle name="F3 8" xfId="474"/>
    <cellStyle name="F3 9" xfId="475"/>
    <cellStyle name="F3_Regenerated Revenues LGE Gas 2008-04 with Elec Gen-Seelye final version " xfId="476"/>
    <cellStyle name="F4" xfId="477"/>
    <cellStyle name="F4 2" xfId="478"/>
    <cellStyle name="F4 3" xfId="479"/>
    <cellStyle name="F4 4" xfId="480"/>
    <cellStyle name="F4 5" xfId="481"/>
    <cellStyle name="F4 6" xfId="482"/>
    <cellStyle name="F4 7" xfId="483"/>
    <cellStyle name="F4 8" xfId="484"/>
    <cellStyle name="F4 9" xfId="485"/>
    <cellStyle name="F4_Regenerated Revenues LGE Gas 2008-04 with Elec Gen-Seelye final version " xfId="486"/>
    <cellStyle name="F5" xfId="487"/>
    <cellStyle name="F5 2" xfId="488"/>
    <cellStyle name="F5 3" xfId="489"/>
    <cellStyle name="F5 4" xfId="490"/>
    <cellStyle name="F5 5" xfId="491"/>
    <cellStyle name="F5 6" xfId="492"/>
    <cellStyle name="F5 7" xfId="493"/>
    <cellStyle name="F5 8" xfId="494"/>
    <cellStyle name="F5 9" xfId="495"/>
    <cellStyle name="F5_Regenerated Revenues LGE Gas 2008-04 with Elec Gen-Seelye final version " xfId="496"/>
    <cellStyle name="F6" xfId="497"/>
    <cellStyle name="F6 2" xfId="498"/>
    <cellStyle name="F6 3" xfId="499"/>
    <cellStyle name="F6 4" xfId="500"/>
    <cellStyle name="F6 5" xfId="501"/>
    <cellStyle name="F6 6" xfId="502"/>
    <cellStyle name="F6 7" xfId="503"/>
    <cellStyle name="F6 8" xfId="504"/>
    <cellStyle name="F6 9" xfId="505"/>
    <cellStyle name="F6_Regenerated Revenues LGE Gas 2008-04 with Elec Gen-Seelye final version " xfId="506"/>
    <cellStyle name="F7" xfId="507"/>
    <cellStyle name="F7 2" xfId="508"/>
    <cellStyle name="F7 3" xfId="509"/>
    <cellStyle name="F7 4" xfId="510"/>
    <cellStyle name="F7 5" xfId="511"/>
    <cellStyle name="F7 6" xfId="512"/>
    <cellStyle name="F7 7" xfId="513"/>
    <cellStyle name="F7 8" xfId="514"/>
    <cellStyle name="F7 9" xfId="515"/>
    <cellStyle name="F7_Regenerated Revenues LGE Gas 2008-04 with Elec Gen-Seelye final version " xfId="516"/>
    <cellStyle name="F8" xfId="517"/>
    <cellStyle name="F8 2" xfId="518"/>
    <cellStyle name="F8 3" xfId="519"/>
    <cellStyle name="F8 4" xfId="520"/>
    <cellStyle name="F8 5" xfId="521"/>
    <cellStyle name="F8 6" xfId="522"/>
    <cellStyle name="F8 7" xfId="523"/>
    <cellStyle name="F8 8" xfId="524"/>
    <cellStyle name="F8 9" xfId="525"/>
    <cellStyle name="F8_Regenerated Revenues LGE Gas 2008-04 with Elec Gen-Seelye final version " xfId="526"/>
    <cellStyle name="Fixed" xfId="527"/>
    <cellStyle name="Good 10" xfId="528"/>
    <cellStyle name="Good 11" xfId="529"/>
    <cellStyle name="Good 12" xfId="530"/>
    <cellStyle name="Good 13" xfId="531"/>
    <cellStyle name="Good 14" xfId="532"/>
    <cellStyle name="Good 15" xfId="533"/>
    <cellStyle name="Good 16" xfId="534"/>
    <cellStyle name="Good 2" xfId="535"/>
    <cellStyle name="Good 3" xfId="536"/>
    <cellStyle name="Good 4" xfId="537"/>
    <cellStyle name="Good 5" xfId="538"/>
    <cellStyle name="Good 6" xfId="539"/>
    <cellStyle name="Good 7" xfId="540"/>
    <cellStyle name="Good 8" xfId="541"/>
    <cellStyle name="Good 9" xfId="542"/>
    <cellStyle name="Heading 1 10" xfId="543"/>
    <cellStyle name="Heading 1 11" xfId="544"/>
    <cellStyle name="Heading 1 12" xfId="545"/>
    <cellStyle name="Heading 1 13" xfId="546"/>
    <cellStyle name="Heading 1 14" xfId="547"/>
    <cellStyle name="Heading 1 15" xfId="548"/>
    <cellStyle name="Heading 1 16" xfId="549"/>
    <cellStyle name="Heading 1 2" xfId="550"/>
    <cellStyle name="Heading 1 3" xfId="551"/>
    <cellStyle name="Heading 1 4" xfId="552"/>
    <cellStyle name="Heading 1 5" xfId="553"/>
    <cellStyle name="Heading 1 6" xfId="554"/>
    <cellStyle name="Heading 1 7" xfId="555"/>
    <cellStyle name="Heading 1 8" xfId="556"/>
    <cellStyle name="Heading 1 9" xfId="557"/>
    <cellStyle name="Heading 2 10" xfId="558"/>
    <cellStyle name="Heading 2 11" xfId="559"/>
    <cellStyle name="Heading 2 12" xfId="560"/>
    <cellStyle name="Heading 2 13" xfId="561"/>
    <cellStyle name="Heading 2 14" xfId="562"/>
    <cellStyle name="Heading 2 15" xfId="563"/>
    <cellStyle name="Heading 2 16" xfId="564"/>
    <cellStyle name="Heading 2 2" xfId="565"/>
    <cellStyle name="Heading 2 3" xfId="566"/>
    <cellStyle name="Heading 2 4" xfId="567"/>
    <cellStyle name="Heading 2 5" xfId="568"/>
    <cellStyle name="Heading 2 6" xfId="569"/>
    <cellStyle name="Heading 2 7" xfId="570"/>
    <cellStyle name="Heading 2 8" xfId="571"/>
    <cellStyle name="Heading 2 9" xfId="572"/>
    <cellStyle name="Heading 3 10" xfId="573"/>
    <cellStyle name="Heading 3 11" xfId="574"/>
    <cellStyle name="Heading 3 12" xfId="575"/>
    <cellStyle name="Heading 3 13" xfId="576"/>
    <cellStyle name="Heading 3 14" xfId="577"/>
    <cellStyle name="Heading 3 15" xfId="578"/>
    <cellStyle name="Heading 3 16" xfId="579"/>
    <cellStyle name="Heading 3 2" xfId="580"/>
    <cellStyle name="Heading 3 3" xfId="581"/>
    <cellStyle name="Heading 3 4" xfId="582"/>
    <cellStyle name="Heading 3 5" xfId="583"/>
    <cellStyle name="Heading 3 6" xfId="584"/>
    <cellStyle name="Heading 3 7" xfId="585"/>
    <cellStyle name="Heading 3 8" xfId="586"/>
    <cellStyle name="Heading 3 9" xfId="587"/>
    <cellStyle name="Heading 4 10" xfId="588"/>
    <cellStyle name="Heading 4 11" xfId="589"/>
    <cellStyle name="Heading 4 12" xfId="590"/>
    <cellStyle name="Heading 4 13" xfId="591"/>
    <cellStyle name="Heading 4 14" xfId="592"/>
    <cellStyle name="Heading 4 15" xfId="593"/>
    <cellStyle name="Heading 4 16" xfId="594"/>
    <cellStyle name="Heading 4 2" xfId="595"/>
    <cellStyle name="Heading 4 3" xfId="596"/>
    <cellStyle name="Heading 4 4" xfId="597"/>
    <cellStyle name="Heading 4 5" xfId="598"/>
    <cellStyle name="Heading 4 6" xfId="599"/>
    <cellStyle name="Heading 4 7" xfId="600"/>
    <cellStyle name="Heading 4 8" xfId="601"/>
    <cellStyle name="Heading 4 9" xfId="602"/>
    <cellStyle name="Input 10" xfId="603"/>
    <cellStyle name="Input 11" xfId="604"/>
    <cellStyle name="Input 12" xfId="605"/>
    <cellStyle name="Input 13" xfId="606"/>
    <cellStyle name="Input 14" xfId="607"/>
    <cellStyle name="Input 15" xfId="608"/>
    <cellStyle name="Input 16" xfId="609"/>
    <cellStyle name="Input 2" xfId="610"/>
    <cellStyle name="Input 3" xfId="611"/>
    <cellStyle name="Input 4" xfId="612"/>
    <cellStyle name="Input 5" xfId="613"/>
    <cellStyle name="Input 6" xfId="614"/>
    <cellStyle name="Input 7" xfId="615"/>
    <cellStyle name="Input 8" xfId="616"/>
    <cellStyle name="Input 9" xfId="617"/>
    <cellStyle name="Linked Cell 10" xfId="618"/>
    <cellStyle name="Linked Cell 11" xfId="619"/>
    <cellStyle name="Linked Cell 12" xfId="620"/>
    <cellStyle name="Linked Cell 13" xfId="621"/>
    <cellStyle name="Linked Cell 14" xfId="622"/>
    <cellStyle name="Linked Cell 15" xfId="623"/>
    <cellStyle name="Linked Cell 16" xfId="624"/>
    <cellStyle name="Linked Cell 2" xfId="625"/>
    <cellStyle name="Linked Cell 3" xfId="626"/>
    <cellStyle name="Linked Cell 4" xfId="627"/>
    <cellStyle name="Linked Cell 5" xfId="628"/>
    <cellStyle name="Linked Cell 6" xfId="629"/>
    <cellStyle name="Linked Cell 7" xfId="630"/>
    <cellStyle name="Linked Cell 8" xfId="631"/>
    <cellStyle name="Linked Cell 9" xfId="632"/>
    <cellStyle name="Neutral 10" xfId="633"/>
    <cellStyle name="Neutral 11" xfId="634"/>
    <cellStyle name="Neutral 12" xfId="635"/>
    <cellStyle name="Neutral 13" xfId="636"/>
    <cellStyle name="Neutral 14" xfId="637"/>
    <cellStyle name="Neutral 15" xfId="638"/>
    <cellStyle name="Neutral 16" xfId="639"/>
    <cellStyle name="Neutral 2" xfId="640"/>
    <cellStyle name="Neutral 3" xfId="641"/>
    <cellStyle name="Neutral 4" xfId="642"/>
    <cellStyle name="Neutral 5" xfId="643"/>
    <cellStyle name="Neutral 6" xfId="644"/>
    <cellStyle name="Neutral 7" xfId="645"/>
    <cellStyle name="Neutral 8" xfId="646"/>
    <cellStyle name="Neutral 9" xfId="647"/>
    <cellStyle name="Normal" xfId="0" builtinId="0"/>
    <cellStyle name="Normal 10" xfId="648"/>
    <cellStyle name="Normal 11" xfId="649"/>
    <cellStyle name="Normal 12" xfId="650"/>
    <cellStyle name="Normal 13" xfId="651"/>
    <cellStyle name="Normal 14" xfId="652"/>
    <cellStyle name="Normal 15" xfId="653"/>
    <cellStyle name="Normal 16" xfId="654"/>
    <cellStyle name="Normal 17" xfId="655"/>
    <cellStyle name="Normal 18" xfId="656"/>
    <cellStyle name="Normal 19" xfId="657"/>
    <cellStyle name="Normal 2" xfId="658"/>
    <cellStyle name="Normal 2 10" xfId="659"/>
    <cellStyle name="Normal 2 11" xfId="660"/>
    <cellStyle name="Normal 2 12" xfId="661"/>
    <cellStyle name="Normal 2 13" xfId="662"/>
    <cellStyle name="Normal 2 14" xfId="663"/>
    <cellStyle name="Normal 2 15" xfId="664"/>
    <cellStyle name="Normal 2 16" xfId="665"/>
    <cellStyle name="Normal 2 19" xfId="4"/>
    <cellStyle name="Normal 2 2" xfId="666"/>
    <cellStyle name="Normal 2 3" xfId="667"/>
    <cellStyle name="Normal 2 4" xfId="668"/>
    <cellStyle name="Normal 2 5" xfId="669"/>
    <cellStyle name="Normal 2 6" xfId="670"/>
    <cellStyle name="Normal 2 7" xfId="671"/>
    <cellStyle name="Normal 2 8" xfId="672"/>
    <cellStyle name="Normal 2 9" xfId="673"/>
    <cellStyle name="Normal 2_LGEElecBillingDeterminants2009-10" xfId="674"/>
    <cellStyle name="Normal 20" xfId="675"/>
    <cellStyle name="Normal 21" xfId="676"/>
    <cellStyle name="Normal 22" xfId="677"/>
    <cellStyle name="Normal 23" xfId="678"/>
    <cellStyle name="Normal 3" xfId="679"/>
    <cellStyle name="Normal 3 10" xfId="680"/>
    <cellStyle name="Normal 3 11" xfId="681"/>
    <cellStyle name="Normal 3 12" xfId="682"/>
    <cellStyle name="Normal 3 13" xfId="683"/>
    <cellStyle name="Normal 3 14" xfId="684"/>
    <cellStyle name="Normal 3 15" xfId="685"/>
    <cellStyle name="Normal 3 16" xfId="686"/>
    <cellStyle name="Normal 3 17" xfId="687"/>
    <cellStyle name="Normal 3 2" xfId="688"/>
    <cellStyle name="Normal 3 3" xfId="689"/>
    <cellStyle name="Normal 3 4" xfId="690"/>
    <cellStyle name="Normal 3 5" xfId="691"/>
    <cellStyle name="Normal 3 6" xfId="692"/>
    <cellStyle name="Normal 3 7" xfId="693"/>
    <cellStyle name="Normal 3 8" xfId="694"/>
    <cellStyle name="Normal 3 9" xfId="695"/>
    <cellStyle name="Normal 3_LGEElecBillingDeterminants2009-10" xfId="696"/>
    <cellStyle name="Normal 4" xfId="697"/>
    <cellStyle name="Normal 4 2" xfId="698"/>
    <cellStyle name="Normal 4 3" xfId="699"/>
    <cellStyle name="Normal 4_Regenerated Revenues LGE Gas 10312009" xfId="700"/>
    <cellStyle name="Normal 46" xfId="9"/>
    <cellStyle name="Normal 5" xfId="701"/>
    <cellStyle name="Normal 5 2" xfId="702"/>
    <cellStyle name="Normal 5 3" xfId="703"/>
    <cellStyle name="Normal 6" xfId="704"/>
    <cellStyle name="Normal 6 2" xfId="705"/>
    <cellStyle name="Normal 6 3" xfId="706"/>
    <cellStyle name="Normal 7" xfId="707"/>
    <cellStyle name="Normal 7 2" xfId="708"/>
    <cellStyle name="Normal 7 3" xfId="709"/>
    <cellStyle name="Normal 8" xfId="710"/>
    <cellStyle name="Normal 8 2" xfId="711"/>
    <cellStyle name="Normal 8 3" xfId="712"/>
    <cellStyle name="Normal 9" xfId="713"/>
    <cellStyle name="Normal 9 2" xfId="714"/>
    <cellStyle name="Normal 9 3" xfId="715"/>
    <cellStyle name="Normal_LGE Filed Test Period Billing Exhibits - SBR Summary" xfId="11"/>
    <cellStyle name="Normal_Regenerated Revenues LGE Gas 2008-04 with Elec Gen-Seelye final version " xfId="12"/>
    <cellStyle name="Note 10" xfId="716"/>
    <cellStyle name="Note 11" xfId="717"/>
    <cellStyle name="Note 12" xfId="718"/>
    <cellStyle name="Note 13" xfId="719"/>
    <cellStyle name="Note 14" xfId="720"/>
    <cellStyle name="Note 2" xfId="721"/>
    <cellStyle name="Note 2 2" xfId="722"/>
    <cellStyle name="Note 2 3" xfId="723"/>
    <cellStyle name="Note 3" xfId="724"/>
    <cellStyle name="Note 3 2" xfId="725"/>
    <cellStyle name="Note 3 3" xfId="726"/>
    <cellStyle name="Note 4" xfId="727"/>
    <cellStyle name="Note 4 2" xfId="728"/>
    <cellStyle name="Note 4 3" xfId="729"/>
    <cellStyle name="Note 5" xfId="730"/>
    <cellStyle name="Note 5 2" xfId="731"/>
    <cellStyle name="Note 5 3" xfId="732"/>
    <cellStyle name="Note 6" xfId="733"/>
    <cellStyle name="Note 6 2" xfId="734"/>
    <cellStyle name="Note 6 3" xfId="735"/>
    <cellStyle name="Note 7" xfId="736"/>
    <cellStyle name="Note 7 2" xfId="737"/>
    <cellStyle name="Note 7 3" xfId="738"/>
    <cellStyle name="Note 8" xfId="739"/>
    <cellStyle name="Note 8 2" xfId="740"/>
    <cellStyle name="Note 8 3" xfId="741"/>
    <cellStyle name="Note 9" xfId="742"/>
    <cellStyle name="Output 10" xfId="743"/>
    <cellStyle name="Output 11" xfId="744"/>
    <cellStyle name="Output 12" xfId="745"/>
    <cellStyle name="Output 13" xfId="746"/>
    <cellStyle name="Output 14" xfId="747"/>
    <cellStyle name="Output 15" xfId="748"/>
    <cellStyle name="Output 16" xfId="749"/>
    <cellStyle name="Output 2" xfId="750"/>
    <cellStyle name="Output 3" xfId="751"/>
    <cellStyle name="Output 4" xfId="752"/>
    <cellStyle name="Output 5" xfId="753"/>
    <cellStyle name="Output 6" xfId="754"/>
    <cellStyle name="Output 7" xfId="755"/>
    <cellStyle name="Output 8" xfId="756"/>
    <cellStyle name="Output 9" xfId="757"/>
    <cellStyle name="Output Amounts" xfId="758"/>
    <cellStyle name="Output Column Headings" xfId="759"/>
    <cellStyle name="Output Column Headings 2" xfId="760"/>
    <cellStyle name="Output Column Headings 3" xfId="761"/>
    <cellStyle name="Output Column Headings 4" xfId="762"/>
    <cellStyle name="Output Column Headings 5" xfId="763"/>
    <cellStyle name="Output Column Headings 6" xfId="764"/>
    <cellStyle name="Output Column Headings 7" xfId="765"/>
    <cellStyle name="Output Column Headings 8" xfId="766"/>
    <cellStyle name="Output Column Headings 9" xfId="767"/>
    <cellStyle name="Output Column Headings_Regenerated Revenues LGE Gas 2008-04 with Elec Gen-Seelye final version " xfId="768"/>
    <cellStyle name="Output Line Items" xfId="769"/>
    <cellStyle name="Output Line Items 2" xfId="770"/>
    <cellStyle name="Output Line Items 3" xfId="771"/>
    <cellStyle name="Output Line Items 4" xfId="772"/>
    <cellStyle name="Output Line Items 5" xfId="773"/>
    <cellStyle name="Output Line Items 6" xfId="774"/>
    <cellStyle name="Output Line Items 7" xfId="775"/>
    <cellStyle name="Output Line Items 8" xfId="776"/>
    <cellStyle name="Output Line Items 9" xfId="777"/>
    <cellStyle name="Output Line Items_Regenerated Revenues LGE Gas 2008-04 with Elec Gen-Seelye final version " xfId="778"/>
    <cellStyle name="Output Report Heading" xfId="779"/>
    <cellStyle name="Output Report Heading 2" xfId="780"/>
    <cellStyle name="Output Report Heading 3" xfId="781"/>
    <cellStyle name="Output Report Heading 4" xfId="782"/>
    <cellStyle name="Output Report Heading 5" xfId="783"/>
    <cellStyle name="Output Report Heading 6" xfId="784"/>
    <cellStyle name="Output Report Heading 7" xfId="785"/>
    <cellStyle name="Output Report Heading 8" xfId="786"/>
    <cellStyle name="Output Report Heading 9" xfId="787"/>
    <cellStyle name="Output Report Heading_Regenerated Revenues LGE Gas 2008-04 with Elec Gen-Seelye final version " xfId="788"/>
    <cellStyle name="Output Report Title" xfId="789"/>
    <cellStyle name="Output Report Title 2" xfId="790"/>
    <cellStyle name="Output Report Title 3" xfId="791"/>
    <cellStyle name="Output Report Title 4" xfId="792"/>
    <cellStyle name="Output Report Title 5" xfId="793"/>
    <cellStyle name="Output Report Title 6" xfId="794"/>
    <cellStyle name="Output Report Title 7" xfId="795"/>
    <cellStyle name="Output Report Title 8" xfId="796"/>
    <cellStyle name="Output Report Title 9" xfId="797"/>
    <cellStyle name="Output Report Title_Regenerated Revenues LGE Gas 2008-04 with Elec Gen-Seelye final version " xfId="798"/>
    <cellStyle name="Percent" xfId="3" builtinId="5"/>
    <cellStyle name="Percent 2" xfId="14"/>
    <cellStyle name="Percent 3" xfId="13"/>
    <cellStyle name="STYL5 - Style5" xfId="799"/>
    <cellStyle name="STYL6 - Style6" xfId="800"/>
    <cellStyle name="STYLE1 - Style1" xfId="801"/>
    <cellStyle name="STYLE2 - Style2" xfId="802"/>
    <cellStyle name="STYLE3 - Style3" xfId="803"/>
    <cellStyle name="STYLE4 - Style4" xfId="804"/>
    <cellStyle name="Title 10" xfId="805"/>
    <cellStyle name="Title 11" xfId="806"/>
    <cellStyle name="Title 12" xfId="807"/>
    <cellStyle name="Title 13" xfId="808"/>
    <cellStyle name="Title 14" xfId="809"/>
    <cellStyle name="Title 15" xfId="810"/>
    <cellStyle name="Title 16" xfId="811"/>
    <cellStyle name="Title 2" xfId="812"/>
    <cellStyle name="Title 3" xfId="813"/>
    <cellStyle name="Title 4" xfId="814"/>
    <cellStyle name="Title 5" xfId="815"/>
    <cellStyle name="Title 6" xfId="816"/>
    <cellStyle name="Title 7" xfId="817"/>
    <cellStyle name="Title 8" xfId="818"/>
    <cellStyle name="Title 9" xfId="819"/>
    <cellStyle name="Total 10" xfId="820"/>
    <cellStyle name="Total 11" xfId="821"/>
    <cellStyle name="Total 12" xfId="822"/>
    <cellStyle name="Total 13" xfId="823"/>
    <cellStyle name="Total 14" xfId="824"/>
    <cellStyle name="Total 15" xfId="825"/>
    <cellStyle name="Total 16" xfId="826"/>
    <cellStyle name="Total 2" xfId="827"/>
    <cellStyle name="Total 3" xfId="828"/>
    <cellStyle name="Total 4" xfId="829"/>
    <cellStyle name="Total 5" xfId="830"/>
    <cellStyle name="Total 6" xfId="831"/>
    <cellStyle name="Total 7" xfId="832"/>
    <cellStyle name="Total 8" xfId="833"/>
    <cellStyle name="Total 9" xfId="834"/>
    <cellStyle name="Warning Text 10" xfId="835"/>
    <cellStyle name="Warning Text 11" xfId="836"/>
    <cellStyle name="Warning Text 12" xfId="837"/>
    <cellStyle name="Warning Text 13" xfId="838"/>
    <cellStyle name="Warning Text 14" xfId="839"/>
    <cellStyle name="Warning Text 15" xfId="840"/>
    <cellStyle name="Warning Text 16" xfId="841"/>
    <cellStyle name="Warning Text 2" xfId="842"/>
    <cellStyle name="Warning Text 3" xfId="843"/>
    <cellStyle name="Warning Text 4" xfId="844"/>
    <cellStyle name="Warning Text 5" xfId="845"/>
    <cellStyle name="Warning Text 6" xfId="846"/>
    <cellStyle name="Warning Text 7" xfId="847"/>
    <cellStyle name="Warning Text 8" xfId="848"/>
    <cellStyle name="Warning Text 9" xfId="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4"/>
  <sheetViews>
    <sheetView tabSelected="1" view="pageBreakPreview" zoomScale="110" zoomScaleNormal="100" zoomScaleSheetLayoutView="110" workbookViewId="0">
      <selection activeCell="A15" sqref="A15"/>
    </sheetView>
  </sheetViews>
  <sheetFormatPr defaultRowHeight="15" x14ac:dyDescent="0.25"/>
  <cols>
    <col min="1" max="1" width="11" customWidth="1"/>
    <col min="2" max="2" width="13.42578125" customWidth="1"/>
    <col min="4" max="4" width="15" customWidth="1"/>
    <col min="8" max="8" width="18.85546875" customWidth="1"/>
  </cols>
  <sheetData>
    <row r="1" spans="1:11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"/>
      <c r="J1" s="1"/>
      <c r="K1" s="1"/>
    </row>
    <row r="3" spans="1:11" x14ac:dyDescent="0.25">
      <c r="A3" s="186" t="s">
        <v>1</v>
      </c>
      <c r="B3" s="186"/>
      <c r="C3" s="186"/>
      <c r="D3" s="186"/>
      <c r="E3" s="186"/>
      <c r="F3" s="186"/>
      <c r="G3" s="186"/>
      <c r="H3" s="186"/>
      <c r="I3" s="1"/>
      <c r="J3" s="1"/>
      <c r="K3" s="1"/>
    </row>
    <row r="5" spans="1:11" x14ac:dyDescent="0.25">
      <c r="A5" s="186" t="s">
        <v>2</v>
      </c>
      <c r="B5" s="186"/>
      <c r="C5" s="186"/>
      <c r="D5" s="186"/>
      <c r="E5" s="186"/>
      <c r="F5" s="186"/>
      <c r="G5" s="186"/>
      <c r="H5" s="186"/>
      <c r="I5" s="1"/>
      <c r="J5" s="1"/>
      <c r="K5" s="1"/>
    </row>
    <row r="7" spans="1:11" x14ac:dyDescent="0.25">
      <c r="A7" s="186" t="s">
        <v>3</v>
      </c>
      <c r="B7" s="186"/>
      <c r="C7" s="186"/>
      <c r="D7" s="186"/>
      <c r="E7" s="186"/>
      <c r="F7" s="186"/>
      <c r="G7" s="186"/>
      <c r="H7" s="186"/>
      <c r="I7" s="1"/>
      <c r="J7" s="1"/>
      <c r="K7" s="1"/>
    </row>
    <row r="8" spans="1:11" x14ac:dyDescent="0.25">
      <c r="A8" s="2"/>
      <c r="B8" s="2"/>
      <c r="C8" s="2"/>
      <c r="D8" s="2"/>
      <c r="E8" s="2"/>
      <c r="F8" s="2"/>
      <c r="G8" s="2"/>
      <c r="H8" s="2"/>
    </row>
    <row r="9" spans="1:11" x14ac:dyDescent="0.25">
      <c r="A9" s="186" t="s">
        <v>4</v>
      </c>
      <c r="B9" s="186"/>
      <c r="C9" s="186"/>
      <c r="D9" s="186"/>
      <c r="E9" s="186"/>
      <c r="F9" s="186"/>
      <c r="G9" s="186"/>
      <c r="H9" s="186"/>
    </row>
    <row r="10" spans="1:11" x14ac:dyDescent="0.25">
      <c r="A10" s="2"/>
      <c r="B10" s="2"/>
      <c r="C10" s="2"/>
      <c r="D10" s="2"/>
      <c r="E10" s="2"/>
      <c r="F10" s="2"/>
      <c r="G10" s="2"/>
      <c r="H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</row>
    <row r="13" spans="1:11" x14ac:dyDescent="0.25">
      <c r="A13" s="3" t="s">
        <v>5</v>
      </c>
      <c r="B13" s="2"/>
      <c r="C13" s="2"/>
      <c r="D13" s="3" t="s">
        <v>6</v>
      </c>
      <c r="E13" s="2"/>
      <c r="F13" s="2"/>
      <c r="G13" s="2"/>
      <c r="H13" s="2"/>
    </row>
    <row r="15" spans="1:11" x14ac:dyDescent="0.25">
      <c r="A15" t="s">
        <v>7</v>
      </c>
      <c r="D15" t="s">
        <v>8</v>
      </c>
    </row>
    <row r="18" spans="1:3" x14ac:dyDescent="0.25">
      <c r="A18" s="4" t="s">
        <v>9</v>
      </c>
      <c r="C18" s="4" t="s">
        <v>10</v>
      </c>
    </row>
    <row r="21" spans="1:3" x14ac:dyDescent="0.25">
      <c r="A21" t="s">
        <v>11</v>
      </c>
      <c r="C21" t="s">
        <v>12</v>
      </c>
    </row>
    <row r="22" spans="1:3" x14ac:dyDescent="0.25">
      <c r="A22" t="s">
        <v>13</v>
      </c>
      <c r="C22" t="s">
        <v>14</v>
      </c>
    </row>
    <row r="23" spans="1:3" x14ac:dyDescent="0.25">
      <c r="A23" t="s">
        <v>15</v>
      </c>
      <c r="B23" t="s">
        <v>16</v>
      </c>
      <c r="C23" t="s">
        <v>17</v>
      </c>
    </row>
    <row r="24" spans="1:3" x14ac:dyDescent="0.25">
      <c r="A24" t="s">
        <v>15</v>
      </c>
      <c r="B24" t="s">
        <v>18</v>
      </c>
      <c r="C24" t="s">
        <v>19</v>
      </c>
    </row>
  </sheetData>
  <mergeCells count="5">
    <mergeCell ref="A1:H1"/>
    <mergeCell ref="A3:H3"/>
    <mergeCell ref="A5:H5"/>
    <mergeCell ref="A7:H7"/>
    <mergeCell ref="A9:H9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28"/>
  <sheetViews>
    <sheetView view="pageBreakPreview" zoomScale="80" zoomScaleNormal="100" zoomScaleSheetLayoutView="80" workbookViewId="0">
      <selection activeCell="B23" sqref="B23"/>
    </sheetView>
  </sheetViews>
  <sheetFormatPr defaultRowHeight="15" x14ac:dyDescent="0.25"/>
  <cols>
    <col min="1" max="1" width="51.85546875" customWidth="1"/>
    <col min="2" max="2" width="20.7109375" customWidth="1"/>
    <col min="3" max="3" width="22.7109375" customWidth="1"/>
    <col min="4" max="4" width="19.140625" customWidth="1"/>
    <col min="5" max="5" width="15" bestFit="1" customWidth="1"/>
  </cols>
  <sheetData>
    <row r="1" spans="1:5" x14ac:dyDescent="0.25">
      <c r="A1" s="5" t="s">
        <v>20</v>
      </c>
      <c r="B1" s="6"/>
      <c r="C1" s="6"/>
      <c r="D1" s="6"/>
      <c r="E1" s="7" t="s">
        <v>21</v>
      </c>
    </row>
    <row r="2" spans="1:5" x14ac:dyDescent="0.25">
      <c r="A2" s="6" t="s">
        <v>22</v>
      </c>
      <c r="B2" s="6"/>
      <c r="C2" s="6"/>
      <c r="D2" s="6"/>
      <c r="E2" s="7" t="s">
        <v>23</v>
      </c>
    </row>
    <row r="3" spans="1:5" x14ac:dyDescent="0.25">
      <c r="A3" s="6" t="s">
        <v>24</v>
      </c>
      <c r="B3" s="6"/>
      <c r="C3" s="6"/>
      <c r="D3" s="6"/>
      <c r="E3" s="7" t="s">
        <v>25</v>
      </c>
    </row>
    <row r="4" spans="1:5" x14ac:dyDescent="0.25">
      <c r="A4" s="6"/>
      <c r="B4" s="6"/>
      <c r="C4" s="6"/>
      <c r="D4" s="6"/>
      <c r="E4" s="7"/>
    </row>
    <row r="5" spans="1:5" x14ac:dyDescent="0.25">
      <c r="A5" s="6"/>
      <c r="B5" s="6"/>
      <c r="C5" s="6"/>
      <c r="D5" s="6"/>
      <c r="E5" s="7"/>
    </row>
    <row r="6" spans="1:5" ht="15.75" x14ac:dyDescent="0.25">
      <c r="A6" s="8"/>
      <c r="B6" s="8"/>
      <c r="C6" s="8"/>
      <c r="D6" s="8"/>
      <c r="E6" s="9"/>
    </row>
    <row r="7" spans="1:5" ht="48" thickBot="1" x14ac:dyDescent="0.3">
      <c r="A7" s="10" t="s">
        <v>26</v>
      </c>
      <c r="B7" s="11" t="s">
        <v>27</v>
      </c>
      <c r="C7" s="11" t="s">
        <v>28</v>
      </c>
      <c r="D7" s="12" t="s">
        <v>29</v>
      </c>
      <c r="E7" s="12" t="s">
        <v>30</v>
      </c>
    </row>
    <row r="8" spans="1:5" ht="15.75" x14ac:dyDescent="0.25">
      <c r="A8" s="13"/>
      <c r="B8" s="13"/>
      <c r="C8" s="13"/>
      <c r="D8" s="13"/>
      <c r="E8" s="13"/>
    </row>
    <row r="9" spans="1:5" ht="15.75" x14ac:dyDescent="0.25">
      <c r="A9" s="14" t="s">
        <v>31</v>
      </c>
      <c r="B9" s="15">
        <v>220393502.19918108</v>
      </c>
      <c r="C9" s="15">
        <v>229657752.21086466</v>
      </c>
      <c r="D9" s="15">
        <f>C9-B9</f>
        <v>9264250.0116835833</v>
      </c>
      <c r="E9" s="16">
        <f>D9/B9</f>
        <v>4.2035041501863331E-2</v>
      </c>
    </row>
    <row r="10" spans="1:5" ht="15.75" x14ac:dyDescent="0.25">
      <c r="A10" s="14"/>
      <c r="B10" s="15"/>
      <c r="C10" s="15"/>
      <c r="D10" s="15"/>
      <c r="E10" s="16"/>
    </row>
    <row r="11" spans="1:5" ht="15.75" x14ac:dyDescent="0.25">
      <c r="A11" s="14" t="s">
        <v>32</v>
      </c>
      <c r="B11" s="15">
        <v>94537966.696122319</v>
      </c>
      <c r="C11" s="15">
        <v>98511916.173939824</v>
      </c>
      <c r="D11" s="15">
        <f>C11-B11</f>
        <v>3973949.4778175056</v>
      </c>
      <c r="E11" s="16">
        <f>D11/B11</f>
        <v>4.2035487082043473E-2</v>
      </c>
    </row>
    <row r="12" spans="1:5" ht="15.75" x14ac:dyDescent="0.25">
      <c r="A12" s="14"/>
      <c r="B12" s="15"/>
      <c r="C12" s="15"/>
      <c r="D12" s="15"/>
      <c r="E12" s="16"/>
    </row>
    <row r="13" spans="1:5" ht="15.75" x14ac:dyDescent="0.25">
      <c r="A13" s="14" t="s">
        <v>33</v>
      </c>
      <c r="B13" s="15">
        <v>9504797.3466908187</v>
      </c>
      <c r="C13" s="15">
        <v>9904488.9077993948</v>
      </c>
      <c r="D13" s="15">
        <f t="shared" ref="D13:D25" si="0">C13-B13</f>
        <v>399691.56110857613</v>
      </c>
      <c r="E13" s="16">
        <f t="shared" ref="E13:E27" si="1">D13/B13</f>
        <v>4.2051560546709853E-2</v>
      </c>
    </row>
    <row r="14" spans="1:5" ht="15.75" x14ac:dyDescent="0.25">
      <c r="A14" s="14"/>
      <c r="B14" s="15"/>
      <c r="C14" s="15"/>
      <c r="D14" s="15"/>
      <c r="E14" s="16"/>
    </row>
    <row r="15" spans="1:5" ht="15.75" x14ac:dyDescent="0.25">
      <c r="A15" s="14" t="s">
        <v>34</v>
      </c>
      <c r="B15" s="15">
        <v>2376096.0820312719</v>
      </c>
      <c r="C15" s="15">
        <v>2475988.3177524325</v>
      </c>
      <c r="D15" s="15">
        <f t="shared" si="0"/>
        <v>99892.235721160658</v>
      </c>
      <c r="E15" s="16">
        <f t="shared" si="1"/>
        <v>4.2040486694361702E-2</v>
      </c>
    </row>
    <row r="16" spans="1:5" ht="15.75" x14ac:dyDescent="0.25">
      <c r="A16" s="14"/>
      <c r="B16" s="15"/>
      <c r="C16" s="15"/>
      <c r="D16" s="15"/>
      <c r="E16" s="16"/>
    </row>
    <row r="17" spans="1:5" ht="15.75" x14ac:dyDescent="0.25">
      <c r="A17" s="14" t="s">
        <v>35</v>
      </c>
      <c r="B17" s="15">
        <v>6987867.0108932471</v>
      </c>
      <c r="C17" s="15">
        <v>7281427.3418055484</v>
      </c>
      <c r="D17" s="15">
        <f>C17-B17</f>
        <v>293560.33091230132</v>
      </c>
      <c r="E17" s="16">
        <f>D17/B17</f>
        <v>4.201000540718304E-2</v>
      </c>
    </row>
    <row r="18" spans="1:5" ht="15.75" x14ac:dyDescent="0.25">
      <c r="A18" s="14"/>
      <c r="B18" s="15"/>
      <c r="C18" s="15"/>
      <c r="D18" s="15"/>
      <c r="E18" s="16"/>
    </row>
    <row r="19" spans="1:5" ht="15.75" x14ac:dyDescent="0.25">
      <c r="A19" s="14" t="s">
        <v>36</v>
      </c>
      <c r="B19" s="15">
        <v>4121432.9618000006</v>
      </c>
      <c r="C19" s="15">
        <v>4294693.4313200004</v>
      </c>
      <c r="D19" s="15">
        <f>C19-B19</f>
        <v>173260.46951999981</v>
      </c>
      <c r="E19" s="16">
        <f t="shared" si="1"/>
        <v>4.2038890630003059E-2</v>
      </c>
    </row>
    <row r="20" spans="1:5" ht="15.75" x14ac:dyDescent="0.25">
      <c r="A20" s="14"/>
      <c r="B20" s="15"/>
      <c r="C20" s="15"/>
      <c r="D20" s="15"/>
      <c r="E20" s="16"/>
    </row>
    <row r="21" spans="1:5" ht="15.75" x14ac:dyDescent="0.25">
      <c r="A21" s="14" t="s">
        <v>37</v>
      </c>
      <c r="B21" s="15">
        <v>1337173.90013</v>
      </c>
      <c r="C21" s="15">
        <v>1393370.3349200001</v>
      </c>
      <c r="D21" s="15">
        <f>C21-B21</f>
        <v>56196.434790000087</v>
      </c>
      <c r="E21" s="16">
        <f t="shared" si="1"/>
        <v>4.2026272562257362E-2</v>
      </c>
    </row>
    <row r="22" spans="1:5" ht="15.75" x14ac:dyDescent="0.25">
      <c r="A22" s="14"/>
      <c r="B22" s="15"/>
      <c r="C22" s="15"/>
      <c r="D22" s="15"/>
      <c r="E22" s="16"/>
    </row>
    <row r="23" spans="1:5" ht="15.75" x14ac:dyDescent="0.25">
      <c r="A23" s="14" t="s">
        <v>38</v>
      </c>
      <c r="B23" s="15">
        <v>237765.60377202166</v>
      </c>
      <c r="C23" s="15">
        <v>247803.24399611561</v>
      </c>
      <c r="D23" s="15">
        <f t="shared" si="0"/>
        <v>10037.64022409395</v>
      </c>
      <c r="E23" s="16">
        <f t="shared" si="1"/>
        <v>4.2216536222448753E-2</v>
      </c>
    </row>
    <row r="24" spans="1:5" ht="15.75" x14ac:dyDescent="0.25">
      <c r="A24" s="14"/>
      <c r="B24" s="15"/>
      <c r="C24" s="15"/>
      <c r="D24" s="15"/>
      <c r="E24" s="16"/>
    </row>
    <row r="25" spans="1:5" ht="15.75" x14ac:dyDescent="0.25">
      <c r="A25" s="14" t="s">
        <v>39</v>
      </c>
      <c r="B25" s="17">
        <v>0</v>
      </c>
      <c r="C25" s="17">
        <v>0</v>
      </c>
      <c r="D25" s="17">
        <f t="shared" si="0"/>
        <v>0</v>
      </c>
      <c r="E25" s="18">
        <v>0</v>
      </c>
    </row>
    <row r="26" spans="1:5" ht="15.75" x14ac:dyDescent="0.25">
      <c r="A26" s="14"/>
      <c r="B26" s="17"/>
      <c r="C26" s="17"/>
      <c r="D26" s="17"/>
      <c r="E26" s="18"/>
    </row>
    <row r="27" spans="1:5" ht="16.5" thickBot="1" x14ac:dyDescent="0.3">
      <c r="A27" s="19" t="s">
        <v>40</v>
      </c>
      <c r="B27" s="20">
        <f>SUM(B9:B25)</f>
        <v>339496601.80062068</v>
      </c>
      <c r="C27" s="20">
        <f>SUM(C9:C25)</f>
        <v>353767439.96239805</v>
      </c>
      <c r="D27" s="20">
        <f>SUM(D9:D25)</f>
        <v>14270838.161777223</v>
      </c>
      <c r="E27" s="21">
        <f t="shared" si="1"/>
        <v>4.203529015043924E-2</v>
      </c>
    </row>
    <row r="28" spans="1:5" ht="15.75" thickTop="1" x14ac:dyDescent="0.25"/>
  </sheetData>
  <pageMargins left="1" right="0.7" top="2" bottom="0.75" header="1" footer="0.3"/>
  <pageSetup scale="80" orientation="landscape" r:id="rId1"/>
  <headerFooter>
    <oddHeader>&amp;C&amp;"-,Bold"Louisville Gas And Electric Company
Case No. 2014-00372
Forecast Period Revenues at Current and Proposed Rates
for the Twelve Months Ended June 30,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124"/>
  <sheetViews>
    <sheetView view="pageBreakPreview" zoomScale="90" zoomScaleNormal="100" zoomScaleSheetLayoutView="90" workbookViewId="0">
      <selection activeCell="G30" sqref="G30"/>
    </sheetView>
  </sheetViews>
  <sheetFormatPr defaultRowHeight="12.75" x14ac:dyDescent="0.2"/>
  <cols>
    <col min="1" max="1" width="47.140625" style="23" customWidth="1"/>
    <col min="2" max="2" width="13.5703125" style="23" customWidth="1"/>
    <col min="3" max="3" width="12.5703125" style="23" customWidth="1"/>
    <col min="4" max="4" width="13.140625" style="23" customWidth="1"/>
    <col min="5" max="5" width="15.85546875" style="23" customWidth="1"/>
    <col min="6" max="6" width="13.28515625" style="23" bestFit="1" customWidth="1"/>
    <col min="7" max="7" width="15" style="23" bestFit="1" customWidth="1"/>
    <col min="8" max="8" width="14.7109375" style="23" bestFit="1" customWidth="1"/>
    <col min="9" max="9" width="14" style="23" customWidth="1"/>
    <col min="10" max="11" width="13.7109375" style="23" customWidth="1"/>
    <col min="12" max="12" width="14.140625" style="23" customWidth="1"/>
    <col min="13" max="13" width="16" style="23" bestFit="1" customWidth="1"/>
    <col min="14" max="14" width="15.85546875" style="23" bestFit="1" customWidth="1"/>
    <col min="15" max="15" width="12.42578125" style="23" bestFit="1" customWidth="1"/>
    <col min="16" max="16" width="8.28515625" style="23" bestFit="1" customWidth="1"/>
    <col min="17" max="16384" width="9.140625" style="23"/>
  </cols>
  <sheetData>
    <row r="1" spans="1:16" x14ac:dyDescent="0.2">
      <c r="A1" s="22" t="s">
        <v>20</v>
      </c>
      <c r="K1" s="24" t="s">
        <v>41</v>
      </c>
    </row>
    <row r="2" spans="1:16" x14ac:dyDescent="0.2">
      <c r="A2" s="25" t="s">
        <v>22</v>
      </c>
      <c r="K2" s="24" t="s">
        <v>23</v>
      </c>
    </row>
    <row r="3" spans="1:16" x14ac:dyDescent="0.2">
      <c r="A3" s="25" t="s">
        <v>24</v>
      </c>
      <c r="K3" s="26" t="s">
        <v>25</v>
      </c>
    </row>
    <row r="4" spans="1:16" x14ac:dyDescent="0.2">
      <c r="A4" s="25"/>
      <c r="J4" s="26"/>
      <c r="K4" s="26"/>
    </row>
    <row r="5" spans="1:16" x14ac:dyDescent="0.2">
      <c r="A5" s="25"/>
      <c r="J5" s="26"/>
      <c r="K5" s="26"/>
    </row>
    <row r="6" spans="1:16" x14ac:dyDescent="0.2">
      <c r="A6" s="27"/>
    </row>
    <row r="7" spans="1:16" ht="39.75" customHeight="1" thickBot="1" x14ac:dyDescent="0.3">
      <c r="A7" s="28"/>
      <c r="B7" s="29" t="s">
        <v>42</v>
      </c>
      <c r="C7" s="29" t="s">
        <v>43</v>
      </c>
      <c r="D7" s="29" t="s">
        <v>44</v>
      </c>
      <c r="E7" s="29" t="s">
        <v>45</v>
      </c>
      <c r="F7" s="30" t="s">
        <v>46</v>
      </c>
      <c r="G7" s="30" t="s">
        <v>47</v>
      </c>
      <c r="H7" s="29" t="s">
        <v>48</v>
      </c>
      <c r="I7" s="29" t="s">
        <v>49</v>
      </c>
      <c r="J7" s="29" t="s">
        <v>50</v>
      </c>
      <c r="K7" s="29" t="s">
        <v>51</v>
      </c>
      <c r="L7"/>
      <c r="M7"/>
      <c r="N7"/>
      <c r="O7"/>
    </row>
    <row r="8" spans="1:16" ht="15" x14ac:dyDescent="0.25">
      <c r="B8" s="31"/>
      <c r="C8" s="31"/>
      <c r="D8" s="31"/>
      <c r="E8" s="32"/>
      <c r="H8" s="32"/>
      <c r="I8" s="32"/>
      <c r="J8" s="32"/>
      <c r="K8" s="32"/>
      <c r="L8"/>
      <c r="M8"/>
      <c r="N8"/>
      <c r="O8"/>
    </row>
    <row r="9" spans="1:16" ht="15.75" x14ac:dyDescent="0.25">
      <c r="A9" s="14" t="s">
        <v>31</v>
      </c>
      <c r="B9" s="33">
        <v>3535389.9999999995</v>
      </c>
      <c r="C9" s="33">
        <v>19985070.637652706</v>
      </c>
      <c r="D9" s="34">
        <f>C9/B9</f>
        <v>5.6528616751342025</v>
      </c>
      <c r="E9" s="35">
        <v>220393502.19918108</v>
      </c>
      <c r="F9" s="36">
        <f>E9/B9</f>
        <v>62.339233351675801</v>
      </c>
      <c r="G9" s="35">
        <v>9264250.0116835833</v>
      </c>
      <c r="H9" s="35">
        <v>229657752.21086466</v>
      </c>
      <c r="I9" s="36">
        <f>H9/B9</f>
        <v>64.959665612807839</v>
      </c>
      <c r="J9" s="37">
        <f>I9-F9</f>
        <v>2.6204322611320379</v>
      </c>
      <c r="K9" s="38">
        <f>J9/F9</f>
        <v>4.2035041501863379E-2</v>
      </c>
      <c r="L9"/>
      <c r="M9"/>
      <c r="N9"/>
      <c r="O9"/>
    </row>
    <row r="10" spans="1:16" ht="15.75" x14ac:dyDescent="0.25">
      <c r="A10" s="14"/>
      <c r="B10" s="33"/>
      <c r="C10" s="33"/>
      <c r="D10" s="34"/>
      <c r="E10" s="35"/>
      <c r="F10" s="36"/>
      <c r="G10" s="35"/>
      <c r="H10" s="35"/>
      <c r="I10" s="36"/>
      <c r="J10" s="37"/>
      <c r="K10" s="37"/>
      <c r="L10"/>
      <c r="M10"/>
      <c r="N10"/>
      <c r="O10"/>
    </row>
    <row r="11" spans="1:16" ht="15.75" x14ac:dyDescent="0.25">
      <c r="A11" s="14" t="s">
        <v>32</v>
      </c>
      <c r="B11" s="33">
        <v>284365.00000000012</v>
      </c>
      <c r="C11" s="33">
        <v>10433869.494509622</v>
      </c>
      <c r="D11" s="34">
        <f>C11/B11</f>
        <v>36.691820352397862</v>
      </c>
      <c r="E11" s="35">
        <v>94537966.696122319</v>
      </c>
      <c r="F11" s="36">
        <f>E11/B11</f>
        <v>332.45289221993664</v>
      </c>
      <c r="G11" s="35">
        <v>3973949.4778175056</v>
      </c>
      <c r="H11" s="35">
        <v>98511916.173939824</v>
      </c>
      <c r="I11" s="36">
        <f>H11/B11</f>
        <v>346.42771147623574</v>
      </c>
      <c r="J11" s="37">
        <f>I11-F11</f>
        <v>13.974819256299099</v>
      </c>
      <c r="K11" s="38">
        <f>J11/F11</f>
        <v>4.2035487082043355E-2</v>
      </c>
      <c r="L11"/>
      <c r="M11"/>
      <c r="N11"/>
      <c r="O11"/>
      <c r="P11" s="39"/>
    </row>
    <row r="12" spans="1:16" ht="15.75" x14ac:dyDescent="0.25">
      <c r="A12" s="14"/>
      <c r="B12" s="33"/>
      <c r="C12" s="33"/>
      <c r="D12" s="34"/>
      <c r="E12" s="35"/>
      <c r="F12" s="36"/>
      <c r="G12" s="35"/>
      <c r="H12" s="35"/>
      <c r="I12" s="36"/>
      <c r="J12" s="37"/>
      <c r="K12" s="37"/>
      <c r="L12"/>
      <c r="M12"/>
      <c r="N12"/>
      <c r="O12"/>
      <c r="P12" s="39"/>
    </row>
    <row r="13" spans="1:16" ht="15.75" x14ac:dyDescent="0.25">
      <c r="A13" s="14" t="s">
        <v>33</v>
      </c>
      <c r="B13" s="33">
        <v>3018.9149635036497</v>
      </c>
      <c r="C13" s="33">
        <v>1335425.4852254651</v>
      </c>
      <c r="D13" s="34">
        <f>C13/B13</f>
        <v>442.35279938975685</v>
      </c>
      <c r="E13" s="35">
        <v>9504797.3466908187</v>
      </c>
      <c r="F13" s="36">
        <f>E13/B13</f>
        <v>3148.4150635564361</v>
      </c>
      <c r="G13" s="35">
        <v>399691.56110857613</v>
      </c>
      <c r="H13" s="35">
        <v>9904488.9077993948</v>
      </c>
      <c r="I13" s="36">
        <f>H13/B13</f>
        <v>3280.8108302277528</v>
      </c>
      <c r="J13" s="37">
        <f>I13-F13</f>
        <v>132.39576667131678</v>
      </c>
      <c r="K13" s="38">
        <f>J13/F13</f>
        <v>4.2051560546709839E-2</v>
      </c>
      <c r="L13"/>
      <c r="M13"/>
      <c r="N13"/>
      <c r="O13"/>
    </row>
    <row r="14" spans="1:16" ht="15.75" x14ac:dyDescent="0.25">
      <c r="A14" s="14"/>
      <c r="B14" s="33"/>
      <c r="C14" s="33"/>
      <c r="D14" s="34"/>
      <c r="E14" s="35"/>
      <c r="F14" s="36"/>
      <c r="G14" s="35"/>
      <c r="H14" s="35"/>
      <c r="I14" s="36"/>
      <c r="J14" s="37"/>
      <c r="K14" s="37"/>
      <c r="L14"/>
      <c r="M14"/>
      <c r="N14"/>
      <c r="O14"/>
    </row>
    <row r="15" spans="1:16" ht="15.75" x14ac:dyDescent="0.25">
      <c r="A15" s="14" t="s">
        <v>34</v>
      </c>
      <c r="B15" s="33">
        <v>68.727272727272734</v>
      </c>
      <c r="C15" s="33">
        <v>398823.67877300608</v>
      </c>
      <c r="D15" s="34">
        <f>C15/B15</f>
        <v>5802.990035056966</v>
      </c>
      <c r="E15" s="35">
        <v>2376096.0820312719</v>
      </c>
      <c r="F15" s="36">
        <f>E15/B15</f>
        <v>34572.826590402103</v>
      </c>
      <c r="G15" s="35">
        <v>99892.235721160658</v>
      </c>
      <c r="H15" s="35">
        <v>2475988.3177524325</v>
      </c>
      <c r="I15" s="36">
        <f>H15/B15</f>
        <v>36026.285046662371</v>
      </c>
      <c r="J15" s="37">
        <f>I15-F15</f>
        <v>1453.4584562602686</v>
      </c>
      <c r="K15" s="38">
        <f>J15/F15</f>
        <v>4.2040486694361542E-2</v>
      </c>
      <c r="L15"/>
      <c r="M15"/>
      <c r="N15"/>
      <c r="O15"/>
    </row>
    <row r="16" spans="1:16" ht="15.75" x14ac:dyDescent="0.25">
      <c r="A16" s="14"/>
      <c r="B16" s="33"/>
      <c r="C16" s="33"/>
      <c r="D16" s="34"/>
      <c r="E16" s="35"/>
      <c r="F16" s="36"/>
      <c r="G16" s="35"/>
      <c r="H16" s="35"/>
      <c r="I16" s="36"/>
      <c r="J16" s="37"/>
      <c r="K16" s="37"/>
      <c r="L16"/>
      <c r="M16"/>
      <c r="N16"/>
      <c r="O16"/>
    </row>
    <row r="17" spans="1:15" ht="15.75" x14ac:dyDescent="0.25">
      <c r="A17" s="14" t="s">
        <v>35</v>
      </c>
      <c r="B17" s="40">
        <v>948</v>
      </c>
      <c r="C17" s="33">
        <v>11554241.323209887</v>
      </c>
      <c r="D17" s="34">
        <f>C17/B17</f>
        <v>12188.018273428152</v>
      </c>
      <c r="E17" s="35">
        <v>6987867.0108932471</v>
      </c>
      <c r="F17" s="36">
        <f>E17/B17</f>
        <v>7371.1677330097546</v>
      </c>
      <c r="G17" s="35">
        <v>293560.33091230132</v>
      </c>
      <c r="H17" s="35">
        <v>7281427.3418055484</v>
      </c>
      <c r="I17" s="36">
        <f>H17/B17</f>
        <v>7680.8305293307476</v>
      </c>
      <c r="J17" s="37">
        <f>I17-F17</f>
        <v>309.66279632099304</v>
      </c>
      <c r="K17" s="38">
        <f>J17/F17</f>
        <v>4.2010005407183054E-2</v>
      </c>
      <c r="L17"/>
      <c r="M17"/>
      <c r="N17"/>
      <c r="O17"/>
    </row>
    <row r="18" spans="1:15" ht="15.75" x14ac:dyDescent="0.25">
      <c r="A18" s="14"/>
      <c r="B18" s="33"/>
      <c r="C18" s="33"/>
      <c r="D18" s="34"/>
      <c r="E18" s="35"/>
      <c r="F18" s="36"/>
      <c r="G18" s="35"/>
      <c r="H18" s="35"/>
      <c r="I18" s="36"/>
      <c r="J18" s="37"/>
      <c r="K18" s="37"/>
      <c r="L18"/>
      <c r="M18"/>
      <c r="N18"/>
      <c r="O18"/>
    </row>
    <row r="19" spans="1:15" ht="15.75" x14ac:dyDescent="0.25">
      <c r="A19" s="14" t="s">
        <v>36</v>
      </c>
      <c r="B19">
        <v>12</v>
      </c>
      <c r="C19" s="33">
        <v>376105.8</v>
      </c>
      <c r="D19" s="34">
        <f>C19/B19</f>
        <v>31342.149999999998</v>
      </c>
      <c r="E19" s="35">
        <v>4121432.9618000006</v>
      </c>
      <c r="F19" s="36">
        <f>E19/B19</f>
        <v>343452.74681666674</v>
      </c>
      <c r="G19" s="35">
        <v>173260.46951999981</v>
      </c>
      <c r="H19" s="35">
        <v>4294693.4313200004</v>
      </c>
      <c r="I19" s="36">
        <f>H19/B19</f>
        <v>357891.11927666672</v>
      </c>
      <c r="J19" s="37">
        <f>I19-F19</f>
        <v>14438.372459999984</v>
      </c>
      <c r="K19" s="38">
        <f>J19/F19</f>
        <v>4.2038890630003059E-2</v>
      </c>
      <c r="L19"/>
      <c r="M19"/>
      <c r="N19"/>
      <c r="O19"/>
    </row>
    <row r="20" spans="1:15" ht="15.75" x14ac:dyDescent="0.25">
      <c r="A20" s="14"/>
      <c r="B20"/>
      <c r="C20" s="33"/>
      <c r="D20" s="34"/>
      <c r="E20" s="35"/>
      <c r="F20" s="36"/>
      <c r="G20" s="35"/>
      <c r="H20" s="35"/>
      <c r="I20" s="36"/>
      <c r="J20" s="37"/>
      <c r="K20" s="37"/>
      <c r="L20"/>
      <c r="M20"/>
      <c r="N20"/>
      <c r="O20"/>
    </row>
    <row r="21" spans="1:15" ht="15.75" x14ac:dyDescent="0.25">
      <c r="A21" s="14" t="s">
        <v>37</v>
      </c>
      <c r="B21">
        <v>12</v>
      </c>
      <c r="C21" s="33">
        <v>1398149.9000000001</v>
      </c>
      <c r="D21" s="34">
        <f>C21/B21</f>
        <v>116512.49166666668</v>
      </c>
      <c r="E21" s="35">
        <v>1337173.90013</v>
      </c>
      <c r="F21" s="36">
        <f>E21/B21</f>
        <v>111431.15834416666</v>
      </c>
      <c r="G21" s="35">
        <v>56196.434790000087</v>
      </c>
      <c r="H21" s="35">
        <v>1393370.3349200001</v>
      </c>
      <c r="I21" s="36">
        <f>H21/B21</f>
        <v>116114.19457666668</v>
      </c>
      <c r="J21" s="37">
        <f>I21-F21</f>
        <v>4683.0362325000169</v>
      </c>
      <c r="K21" s="38">
        <f>J21/F21</f>
        <v>4.2026272562257452E-2</v>
      </c>
      <c r="L21"/>
      <c r="M21"/>
      <c r="N21"/>
      <c r="O21"/>
    </row>
    <row r="22" spans="1:15" ht="15.75" x14ac:dyDescent="0.25">
      <c r="A22" s="14"/>
      <c r="B22"/>
      <c r="C22" s="33"/>
      <c r="D22" s="34"/>
      <c r="E22" s="35"/>
      <c r="F22" s="36"/>
      <c r="G22" s="35"/>
      <c r="H22" s="35"/>
      <c r="I22" s="36"/>
      <c r="J22" s="37"/>
      <c r="K22" s="37"/>
      <c r="L22"/>
      <c r="M22"/>
      <c r="N22"/>
      <c r="O22"/>
    </row>
    <row r="23" spans="1:15" ht="15.75" x14ac:dyDescent="0.25">
      <c r="A23" s="14" t="s">
        <v>38</v>
      </c>
      <c r="B23">
        <v>12</v>
      </c>
      <c r="C23" s="33">
        <v>593147.29931616166</v>
      </c>
      <c r="D23" s="34">
        <f>C23/B23</f>
        <v>49428.941609680136</v>
      </c>
      <c r="E23" s="35">
        <v>237765.60377202166</v>
      </c>
      <c r="F23" s="36">
        <f>E23/B23</f>
        <v>19813.800314335138</v>
      </c>
      <c r="G23" s="35">
        <v>10037.64022409395</v>
      </c>
      <c r="H23" s="35">
        <v>247803.24399611561</v>
      </c>
      <c r="I23" s="36">
        <f>H23/B23</f>
        <v>20650.270333009634</v>
      </c>
      <c r="J23" s="37">
        <f>I23-F23</f>
        <v>836.4700186744958</v>
      </c>
      <c r="K23" s="38">
        <f>J23/F23</f>
        <v>4.2216536222448753E-2</v>
      </c>
      <c r="L23"/>
      <c r="M23"/>
      <c r="N23"/>
      <c r="O23"/>
    </row>
    <row r="24" spans="1:15" ht="15.75" x14ac:dyDescent="0.25">
      <c r="A24" s="14"/>
      <c r="B24"/>
      <c r="C24" s="33"/>
      <c r="D24" s="33"/>
      <c r="E24" s="35"/>
      <c r="F24" s="36"/>
      <c r="G24" s="35"/>
      <c r="H24" s="35"/>
      <c r="I24" s="36"/>
      <c r="J24" s="37"/>
      <c r="K24" s="37"/>
      <c r="L24"/>
      <c r="M24"/>
      <c r="N24"/>
      <c r="O24"/>
    </row>
    <row r="25" spans="1:15" ht="15.75" x14ac:dyDescent="0.25">
      <c r="A25" s="14" t="s">
        <v>39</v>
      </c>
      <c r="B25">
        <v>0</v>
      </c>
      <c r="C25" s="33">
        <v>0</v>
      </c>
      <c r="D25" s="33">
        <v>0</v>
      </c>
      <c r="E25" s="35">
        <v>0</v>
      </c>
      <c r="F25" s="36">
        <v>0</v>
      </c>
      <c r="G25" s="35">
        <v>0</v>
      </c>
      <c r="H25" s="35">
        <v>0</v>
      </c>
      <c r="I25" s="36">
        <v>0</v>
      </c>
      <c r="J25" s="37">
        <v>0</v>
      </c>
      <c r="K25" s="38">
        <v>0</v>
      </c>
      <c r="L25"/>
      <c r="M25"/>
      <c r="N25"/>
      <c r="O25"/>
    </row>
    <row r="26" spans="1:15" ht="15" x14ac:dyDescent="0.25">
      <c r="A26"/>
      <c r="B26"/>
      <c r="C26" s="33"/>
      <c r="D26"/>
      <c r="E26" s="35"/>
      <c r="F26" s="41"/>
      <c r="G26" s="35"/>
      <c r="H26" s="35"/>
      <c r="I26" s="35"/>
      <c r="J26"/>
      <c r="K26"/>
      <c r="L26"/>
      <c r="M26"/>
      <c r="N26"/>
      <c r="O26"/>
    </row>
    <row r="27" spans="1:15" ht="15" x14ac:dyDescent="0.25">
      <c r="A27"/>
      <c r="B27"/>
      <c r="C27"/>
      <c r="D27"/>
      <c r="E27" s="35"/>
      <c r="F27" s="41"/>
      <c r="G27" s="35"/>
      <c r="H27" s="35"/>
      <c r="I27" s="35"/>
      <c r="J27"/>
      <c r="K27"/>
      <c r="L27"/>
      <c r="M27"/>
      <c r="N27"/>
      <c r="O27"/>
    </row>
    <row r="28" spans="1:15" ht="15" x14ac:dyDescent="0.25">
      <c r="A28"/>
      <c r="B28"/>
      <c r="C28"/>
      <c r="D28"/>
      <c r="E28" s="35"/>
      <c r="F28" s="41"/>
      <c r="G28" s="41"/>
      <c r="H28" s="35"/>
      <c r="I28"/>
      <c r="J28"/>
      <c r="K28"/>
      <c r="L28"/>
      <c r="M28"/>
      <c r="N28"/>
      <c r="O28"/>
    </row>
    <row r="29" spans="1:15" ht="15" x14ac:dyDescent="0.25">
      <c r="A29"/>
      <c r="B29"/>
      <c r="C29"/>
      <c r="D29"/>
      <c r="E29" s="35"/>
      <c r="F29" s="41"/>
      <c r="G29" s="41"/>
      <c r="H29" s="35"/>
      <c r="I29"/>
      <c r="J29"/>
      <c r="K29"/>
      <c r="L29"/>
      <c r="M29"/>
      <c r="N29"/>
      <c r="O29"/>
    </row>
    <row r="30" spans="1:15" ht="15" x14ac:dyDescent="0.25">
      <c r="A30"/>
      <c r="B30"/>
      <c r="C30"/>
      <c r="D30"/>
      <c r="E30" s="35"/>
      <c r="F30" s="41"/>
      <c r="G30" s="41"/>
      <c r="H30" s="35"/>
      <c r="I30"/>
      <c r="J30"/>
      <c r="K30"/>
      <c r="L30"/>
      <c r="M30"/>
      <c r="N30"/>
      <c r="O30"/>
    </row>
    <row r="31" spans="1:15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5" ht="15" x14ac:dyDescent="0.25">
      <c r="A32"/>
      <c r="B32"/>
      <c r="C32"/>
      <c r="D32"/>
      <c r="E32"/>
      <c r="F32"/>
      <c r="G32"/>
      <c r="H32"/>
      <c r="I32"/>
      <c r="J32"/>
      <c r="K32"/>
      <c r="N32" s="39"/>
      <c r="O32" s="39"/>
    </row>
    <row r="33" spans="1:15" ht="15" x14ac:dyDescent="0.25">
      <c r="A33"/>
      <c r="B33"/>
      <c r="C33"/>
      <c r="D33"/>
      <c r="E33"/>
      <c r="F33"/>
      <c r="G33"/>
      <c r="H33"/>
      <c r="I33"/>
      <c r="J33"/>
      <c r="K33"/>
      <c r="N33" s="39"/>
      <c r="O33" s="39"/>
    </row>
    <row r="34" spans="1:15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5" ht="15" x14ac:dyDescent="0.25">
      <c r="A35"/>
      <c r="B35"/>
      <c r="C35"/>
      <c r="D35"/>
      <c r="E35"/>
      <c r="F35"/>
      <c r="G35"/>
      <c r="H35"/>
      <c r="I35"/>
      <c r="J35"/>
      <c r="K35"/>
      <c r="N35" s="39"/>
      <c r="O35" s="39"/>
    </row>
    <row r="36" spans="1:15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5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5" ht="15" x14ac:dyDescent="0.25">
      <c r="A38"/>
      <c r="B38"/>
      <c r="C38"/>
      <c r="D38"/>
      <c r="E38"/>
      <c r="F38"/>
      <c r="G38"/>
      <c r="H38"/>
      <c r="I38"/>
      <c r="J38"/>
      <c r="K38"/>
      <c r="N38" s="39"/>
      <c r="O38" s="39"/>
    </row>
    <row r="39" spans="1:15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5" ht="15" x14ac:dyDescent="0.25">
      <c r="A40"/>
      <c r="B40"/>
      <c r="C40"/>
      <c r="D40"/>
      <c r="E40"/>
      <c r="F40"/>
      <c r="G40"/>
      <c r="H40"/>
      <c r="I40"/>
      <c r="J40"/>
      <c r="K40"/>
      <c r="N40" s="39"/>
      <c r="O40" s="39"/>
    </row>
    <row r="41" spans="1:15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5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5" ht="15" x14ac:dyDescent="0.25">
      <c r="A43"/>
      <c r="B43"/>
      <c r="C43"/>
      <c r="D43"/>
      <c r="E43"/>
      <c r="F43"/>
      <c r="G43"/>
      <c r="H43"/>
      <c r="I43"/>
      <c r="J43"/>
      <c r="K43"/>
    </row>
    <row r="44" spans="1:15" ht="15" x14ac:dyDescent="0.25">
      <c r="A44"/>
      <c r="B44"/>
      <c r="C44"/>
      <c r="D44"/>
      <c r="E44"/>
      <c r="F44"/>
      <c r="G44"/>
      <c r="H44"/>
      <c r="I44"/>
      <c r="J44"/>
      <c r="K44"/>
      <c r="N44" s="39"/>
      <c r="O44" s="39"/>
    </row>
    <row r="45" spans="1:15" ht="15" x14ac:dyDescent="0.25">
      <c r="A45"/>
      <c r="B45"/>
      <c r="C45"/>
      <c r="D45"/>
      <c r="E45"/>
      <c r="F45"/>
      <c r="G45"/>
      <c r="H45"/>
      <c r="I45"/>
      <c r="J45"/>
      <c r="K45"/>
      <c r="N45" s="39"/>
      <c r="O45" s="39"/>
    </row>
    <row r="46" spans="1:15" x14ac:dyDescent="0.2">
      <c r="A46" s="42"/>
      <c r="B46" s="43"/>
      <c r="C46" s="43"/>
      <c r="D46" s="43"/>
      <c r="E46" s="44"/>
      <c r="F46" s="44"/>
      <c r="G46" s="44"/>
      <c r="H46" s="44"/>
      <c r="I46" s="44"/>
      <c r="J46" s="44"/>
      <c r="K46" s="44"/>
      <c r="N46" s="39"/>
      <c r="O46" s="39"/>
    </row>
    <row r="47" spans="1:15" x14ac:dyDescent="0.2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5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5" x14ac:dyDescent="0.2">
      <c r="A49" s="47"/>
      <c r="B49" s="43"/>
      <c r="C49" s="43"/>
      <c r="D49" s="43"/>
      <c r="E49" s="44"/>
      <c r="F49" s="44"/>
      <c r="G49" s="44"/>
      <c r="H49" s="44"/>
      <c r="I49" s="44"/>
      <c r="J49" s="44"/>
      <c r="K49" s="44"/>
      <c r="N49" s="39"/>
      <c r="O49" s="39"/>
    </row>
    <row r="50" spans="1:15" ht="15" x14ac:dyDescent="0.3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N50" s="39"/>
      <c r="O50" s="39"/>
    </row>
    <row r="51" spans="1:15" x14ac:dyDescent="0.2">
      <c r="A51" s="49"/>
      <c r="B51" s="46"/>
      <c r="C51" s="46"/>
      <c r="D51" s="46"/>
      <c r="E51" s="50"/>
      <c r="F51" s="50"/>
      <c r="G51" s="50"/>
      <c r="H51" s="50"/>
      <c r="I51" s="50"/>
      <c r="J51" s="50"/>
      <c r="K51" s="50"/>
    </row>
    <row r="52" spans="1:15" x14ac:dyDescent="0.2"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5" x14ac:dyDescent="0.2">
      <c r="B53" s="43"/>
      <c r="C53" s="43"/>
      <c r="D53" s="43"/>
      <c r="E53" s="44"/>
      <c r="F53" s="44"/>
      <c r="G53" s="44"/>
      <c r="H53" s="44"/>
      <c r="I53" s="44"/>
      <c r="J53" s="44"/>
      <c r="K53" s="44"/>
      <c r="N53" s="39"/>
      <c r="O53" s="39"/>
    </row>
    <row r="54" spans="1:15" x14ac:dyDescent="0.2">
      <c r="B54" s="46"/>
      <c r="C54" s="46"/>
      <c r="D54" s="46"/>
      <c r="E54" s="50"/>
      <c r="F54" s="50"/>
      <c r="G54" s="50"/>
      <c r="H54" s="50"/>
      <c r="I54" s="50"/>
      <c r="J54" s="50"/>
      <c r="K54" s="50"/>
      <c r="O54" s="39"/>
    </row>
    <row r="55" spans="1:15" x14ac:dyDescent="0.2">
      <c r="B55" s="43"/>
      <c r="C55" s="43"/>
      <c r="D55" s="43"/>
      <c r="E55" s="44"/>
      <c r="F55" s="44"/>
      <c r="G55" s="44"/>
      <c r="H55" s="44"/>
      <c r="I55" s="44"/>
      <c r="J55" s="44"/>
      <c r="K55" s="44"/>
      <c r="N55" s="39"/>
      <c r="O55" s="39"/>
    </row>
    <row r="56" spans="1:15" x14ac:dyDescent="0.2">
      <c r="B56" s="46"/>
      <c r="C56" s="46"/>
      <c r="D56" s="46"/>
      <c r="E56" s="50"/>
      <c r="F56" s="50"/>
      <c r="G56" s="50"/>
      <c r="H56" s="50"/>
      <c r="I56" s="50"/>
      <c r="J56" s="50"/>
      <c r="K56" s="50"/>
      <c r="O56" s="39"/>
    </row>
    <row r="57" spans="1:15" x14ac:dyDescent="0.2">
      <c r="B57" s="43"/>
      <c r="C57" s="43"/>
      <c r="D57" s="43"/>
      <c r="E57" s="44"/>
      <c r="F57" s="44"/>
      <c r="G57" s="44"/>
      <c r="H57" s="44"/>
      <c r="I57" s="44"/>
      <c r="J57" s="44"/>
      <c r="K57" s="44"/>
      <c r="N57" s="50"/>
      <c r="O57" s="39"/>
    </row>
    <row r="58" spans="1:15" x14ac:dyDescent="0.2">
      <c r="B58" s="43"/>
      <c r="C58" s="43"/>
      <c r="D58" s="43"/>
      <c r="E58" s="44"/>
      <c r="F58" s="44"/>
      <c r="G58" s="44"/>
      <c r="H58" s="44"/>
      <c r="I58" s="44"/>
      <c r="J58" s="44"/>
      <c r="K58" s="44"/>
      <c r="N58" s="50"/>
      <c r="O58" s="50"/>
    </row>
    <row r="59" spans="1:15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N59" s="39"/>
      <c r="O59" s="39"/>
    </row>
    <row r="60" spans="1:15" x14ac:dyDescent="0.2">
      <c r="B60" s="46"/>
      <c r="C60" s="46"/>
      <c r="D60" s="46"/>
      <c r="E60" s="50"/>
      <c r="F60" s="50"/>
      <c r="G60" s="50"/>
      <c r="H60" s="50"/>
      <c r="I60" s="50"/>
      <c r="J60" s="50"/>
      <c r="K60" s="50"/>
    </row>
    <row r="61" spans="1:15" x14ac:dyDescent="0.2">
      <c r="B61" s="46"/>
      <c r="C61" s="46"/>
      <c r="D61" s="46"/>
    </row>
    <row r="62" spans="1:15" ht="15" x14ac:dyDescent="0.35">
      <c r="B62" s="52"/>
      <c r="C62" s="52"/>
      <c r="D62" s="52"/>
      <c r="E62" s="53"/>
      <c r="F62" s="53"/>
      <c r="G62" s="53"/>
      <c r="H62" s="53"/>
      <c r="I62" s="53"/>
      <c r="J62" s="53"/>
      <c r="K62" s="53"/>
      <c r="N62" s="39"/>
    </row>
    <row r="64" spans="1:15" x14ac:dyDescent="0.2">
      <c r="B64" s="39"/>
    </row>
    <row r="67" spans="2:12" x14ac:dyDescent="0.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54"/>
    </row>
    <row r="68" spans="2:12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54"/>
    </row>
    <row r="69" spans="2:12" x14ac:dyDescent="0.2"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2:12" x14ac:dyDescent="0.2"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2:12" x14ac:dyDescent="0.2">
      <c r="B71" s="43"/>
      <c r="C71" s="43"/>
      <c r="D71" s="43"/>
      <c r="E71" s="46"/>
      <c r="F71" s="46"/>
      <c r="G71" s="46"/>
      <c r="H71" s="46"/>
      <c r="I71" s="46"/>
      <c r="J71" s="46"/>
      <c r="K71" s="46"/>
    </row>
    <row r="72" spans="2:12" x14ac:dyDescent="0.2">
      <c r="B72" s="54"/>
      <c r="C72" s="54"/>
      <c r="D72" s="54"/>
      <c r="E72" s="54"/>
      <c r="F72" s="54"/>
      <c r="G72" s="54"/>
    </row>
    <row r="73" spans="2:12" x14ac:dyDescent="0.2">
      <c r="B73" s="54"/>
      <c r="C73" s="54"/>
      <c r="D73" s="54"/>
      <c r="E73" s="54"/>
      <c r="F73" s="54"/>
      <c r="G73" s="54"/>
    </row>
    <row r="74" spans="2:12" s="56" customFormat="1" x14ac:dyDescent="0.2">
      <c r="B74" s="55"/>
      <c r="C74" s="55"/>
      <c r="D74" s="55"/>
      <c r="E74" s="55"/>
      <c r="F74" s="55"/>
      <c r="G74" s="55"/>
    </row>
    <row r="75" spans="2:12" s="58" customFormat="1" x14ac:dyDescent="0.2">
      <c r="B75" s="57"/>
      <c r="C75" s="57"/>
      <c r="D75" s="57"/>
      <c r="E75" s="57"/>
      <c r="F75" s="57"/>
      <c r="G75" s="57"/>
    </row>
    <row r="76" spans="2:12" s="58" customFormat="1" x14ac:dyDescent="0.2">
      <c r="B76" s="57"/>
      <c r="C76" s="57"/>
      <c r="D76" s="57"/>
      <c r="E76" s="57"/>
      <c r="F76" s="57"/>
      <c r="G76" s="57"/>
    </row>
    <row r="77" spans="2:12" s="58" customFormat="1" x14ac:dyDescent="0.2">
      <c r="B77" s="57"/>
      <c r="C77" s="57"/>
      <c r="D77" s="57"/>
      <c r="E77" s="57"/>
      <c r="F77" s="57"/>
      <c r="G77" s="57"/>
    </row>
    <row r="78" spans="2:12" s="58" customFormat="1" x14ac:dyDescent="0.2">
      <c r="B78" s="57"/>
      <c r="C78" s="57"/>
      <c r="D78" s="57"/>
      <c r="E78" s="57"/>
      <c r="F78" s="57"/>
      <c r="G78" s="57"/>
    </row>
    <row r="79" spans="2:12" s="58" customFormat="1" x14ac:dyDescent="0.2">
      <c r="B79" s="57"/>
      <c r="C79" s="57"/>
      <c r="D79" s="57"/>
      <c r="E79" s="57"/>
      <c r="F79" s="57"/>
      <c r="G79" s="57"/>
    </row>
    <row r="80" spans="2:12" s="58" customFormat="1" x14ac:dyDescent="0.2">
      <c r="B80" s="57"/>
      <c r="C80" s="57"/>
      <c r="D80" s="57"/>
      <c r="E80" s="57"/>
      <c r="F80" s="57"/>
      <c r="G80" s="57"/>
    </row>
    <row r="81" spans="1:12" s="58" customFormat="1" x14ac:dyDescent="0.2">
      <c r="A81" s="47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9"/>
    </row>
    <row r="82" spans="1:12" ht="15" x14ac:dyDescent="0.35">
      <c r="A82" s="47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59"/>
    </row>
    <row r="83" spans="1:12" x14ac:dyDescent="0.2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9"/>
    </row>
    <row r="84" spans="1:12" x14ac:dyDescent="0.2">
      <c r="B84" s="54"/>
      <c r="C84" s="54"/>
      <c r="D84" s="54"/>
      <c r="E84" s="54"/>
      <c r="F84" s="54"/>
      <c r="G84" s="54"/>
    </row>
    <row r="85" spans="1:12" x14ac:dyDescent="0.2">
      <c r="A85" s="61"/>
      <c r="B85" s="54"/>
      <c r="C85" s="54"/>
      <c r="D85" s="54"/>
      <c r="E85" s="54"/>
      <c r="F85" s="54"/>
      <c r="G85" s="54"/>
    </row>
    <row r="86" spans="1:12" x14ac:dyDescent="0.2">
      <c r="A86" s="47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9"/>
    </row>
    <row r="87" spans="1:12" ht="15" x14ac:dyDescent="0.35">
      <c r="A87" s="47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59"/>
    </row>
    <row r="88" spans="1:12" x14ac:dyDescent="0.2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9"/>
    </row>
    <row r="89" spans="1:12" x14ac:dyDescent="0.2">
      <c r="B89" s="54"/>
      <c r="C89" s="54"/>
      <c r="D89" s="54"/>
      <c r="E89" s="54"/>
      <c r="F89" s="54"/>
      <c r="G89" s="54"/>
    </row>
    <row r="90" spans="1:12" x14ac:dyDescent="0.2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9"/>
    </row>
    <row r="91" spans="1:12" x14ac:dyDescent="0.2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9"/>
    </row>
    <row r="92" spans="1:12" ht="15" x14ac:dyDescent="0.3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59"/>
    </row>
    <row r="93" spans="1:12" x14ac:dyDescent="0.2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9"/>
    </row>
    <row r="94" spans="1:12" x14ac:dyDescent="0.2">
      <c r="B94" s="54"/>
      <c r="C94" s="54"/>
      <c r="D94" s="54"/>
      <c r="E94" s="54"/>
      <c r="F94" s="54"/>
      <c r="G94" s="54"/>
    </row>
    <row r="95" spans="1:12" x14ac:dyDescent="0.2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9"/>
    </row>
    <row r="96" spans="1:12" x14ac:dyDescent="0.2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9"/>
    </row>
    <row r="97" spans="1:12" x14ac:dyDescent="0.2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59"/>
    </row>
    <row r="98" spans="1:12" ht="15" x14ac:dyDescent="0.3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59"/>
    </row>
    <row r="99" spans="1:12" x14ac:dyDescent="0.2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9"/>
    </row>
    <row r="100" spans="1:12" x14ac:dyDescent="0.2">
      <c r="B100" s="54"/>
      <c r="C100" s="54"/>
      <c r="D100" s="54"/>
      <c r="E100" s="54"/>
      <c r="F100" s="54"/>
      <c r="G100" s="54"/>
    </row>
    <row r="101" spans="1:12" x14ac:dyDescent="0.2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9"/>
    </row>
    <row r="102" spans="1:12" x14ac:dyDescent="0.2">
      <c r="B102" s="54"/>
      <c r="C102" s="54"/>
      <c r="D102" s="54"/>
      <c r="E102" s="54"/>
      <c r="F102" s="54"/>
      <c r="G102" s="54"/>
    </row>
    <row r="103" spans="1:12" x14ac:dyDescent="0.2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9"/>
    </row>
    <row r="105" spans="1:12" x14ac:dyDescent="0.2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9"/>
    </row>
    <row r="106" spans="1:12" x14ac:dyDescent="0.2">
      <c r="A106" s="47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9"/>
    </row>
    <row r="107" spans="1:12" ht="15" x14ac:dyDescent="0.35">
      <c r="A107" s="47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59"/>
    </row>
    <row r="108" spans="1:12" x14ac:dyDescent="0.2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9"/>
    </row>
    <row r="110" spans="1:12" x14ac:dyDescent="0.2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59"/>
    </row>
    <row r="112" spans="1:12" x14ac:dyDescent="0.2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9"/>
    </row>
    <row r="114" spans="2:12" x14ac:dyDescent="0.2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9"/>
    </row>
    <row r="116" spans="2:12" x14ac:dyDescent="0.2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9"/>
    </row>
    <row r="118" spans="2:12" ht="15" x14ac:dyDescent="0.35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59"/>
    </row>
    <row r="123" spans="2:12" x14ac:dyDescent="0.2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2" x14ac:dyDescent="0.2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</sheetData>
  <pageMargins left="0.75" right="0.7" top="1.75" bottom="0.75" header="1" footer="0.3"/>
  <pageSetup scale="42" orientation="landscape" horizontalDpi="90" verticalDpi="90" r:id="rId1"/>
  <headerFooter>
    <oddHeader>&amp;C&amp;"-,Bold"Louisville Gas And Electric Company
Case No. 2014-00372
Average Bill Comparison by Rate Class
Current vs. Proposed Rate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223"/>
  <sheetViews>
    <sheetView view="pageBreakPreview" zoomScale="80" zoomScaleNormal="100" zoomScaleSheetLayoutView="80" zoomScalePageLayoutView="80" workbookViewId="0">
      <selection activeCell="I31" sqref="I31"/>
    </sheetView>
  </sheetViews>
  <sheetFormatPr defaultRowHeight="15" x14ac:dyDescent="0.25"/>
  <cols>
    <col min="1" max="1" width="54.7109375" style="67" customWidth="1"/>
    <col min="2" max="2" width="14.85546875" style="67" bestFit="1" customWidth="1"/>
    <col min="3" max="3" width="15.28515625" style="67" customWidth="1"/>
    <col min="4" max="4" width="16.42578125" style="67" customWidth="1"/>
    <col min="5" max="5" width="14.5703125" style="67" bestFit="1" customWidth="1"/>
    <col min="6" max="6" width="17.42578125" style="67" customWidth="1"/>
    <col min="7" max="7" width="15.140625" style="67" bestFit="1" customWidth="1"/>
    <col min="8" max="8" width="14.85546875" style="67" bestFit="1" customWidth="1"/>
    <col min="9" max="9" width="13.85546875" style="67" customWidth="1"/>
    <col min="10" max="10" width="19.28515625" style="67" bestFit="1" customWidth="1"/>
    <col min="11" max="11" width="11.42578125" style="67" customWidth="1"/>
    <col min="12" max="12" width="17.42578125" style="67" customWidth="1"/>
    <col min="13" max="13" width="14.140625" style="67" customWidth="1"/>
    <col min="14" max="14" width="9.140625" style="67"/>
    <col min="15" max="15" width="17.85546875" style="67" customWidth="1"/>
    <col min="16" max="16" width="9.28515625" style="67" bestFit="1" customWidth="1"/>
    <col min="17" max="17" width="9.140625" style="67"/>
    <col min="18" max="18" width="15.85546875" style="67" customWidth="1"/>
    <col min="19" max="19" width="9.28515625" style="67" bestFit="1" customWidth="1"/>
    <col min="20" max="20" width="17.5703125" style="67" bestFit="1" customWidth="1"/>
    <col min="21" max="21" width="15.42578125" style="67" bestFit="1" customWidth="1"/>
    <col min="22" max="22" width="12.7109375" style="67" bestFit="1" customWidth="1"/>
    <col min="23" max="16384" width="9.140625" style="67"/>
  </cols>
  <sheetData>
    <row r="1" spans="1:18" x14ac:dyDescent="0.25">
      <c r="A1" s="63" t="s">
        <v>20</v>
      </c>
      <c r="B1" s="64"/>
      <c r="C1" s="64"/>
      <c r="D1" s="64"/>
      <c r="E1" s="64"/>
      <c r="F1" s="64"/>
      <c r="G1" s="64"/>
      <c r="H1" s="65" t="s">
        <v>53</v>
      </c>
      <c r="I1" s="66"/>
    </row>
    <row r="2" spans="1:18" x14ac:dyDescent="0.25">
      <c r="A2" s="68" t="s">
        <v>22</v>
      </c>
      <c r="B2" s="64"/>
      <c r="C2" s="64"/>
      <c r="D2" s="64"/>
      <c r="E2" s="64"/>
      <c r="F2" s="64"/>
      <c r="G2" s="64"/>
      <c r="H2" s="65" t="s">
        <v>54</v>
      </c>
      <c r="I2" s="66"/>
    </row>
    <row r="3" spans="1:18" x14ac:dyDescent="0.25">
      <c r="A3" s="68" t="s">
        <v>24</v>
      </c>
      <c r="B3" s="64"/>
      <c r="C3" s="64"/>
      <c r="D3" s="64"/>
      <c r="E3" s="64"/>
      <c r="F3" s="64"/>
      <c r="G3" s="64"/>
      <c r="H3" s="69" t="s">
        <v>55</v>
      </c>
      <c r="I3" s="66"/>
    </row>
    <row r="4" spans="1:18" x14ac:dyDescent="0.25">
      <c r="O4" s="70"/>
    </row>
    <row r="5" spans="1:18" x14ac:dyDescent="0.25">
      <c r="J5"/>
      <c r="K5"/>
      <c r="L5"/>
      <c r="M5"/>
      <c r="N5"/>
      <c r="O5"/>
      <c r="P5"/>
      <c r="Q5"/>
      <c r="R5"/>
    </row>
    <row r="6" spans="1:18" x14ac:dyDescent="0.25">
      <c r="A6" s="71"/>
      <c r="B6" s="72"/>
      <c r="C6" s="73"/>
      <c r="D6" s="72"/>
      <c r="E6" s="72"/>
      <c r="F6" s="72" t="s">
        <v>56</v>
      </c>
      <c r="G6" s="72"/>
      <c r="H6" s="72"/>
      <c r="J6"/>
      <c r="K6"/>
      <c r="L6"/>
      <c r="M6"/>
      <c r="N6"/>
      <c r="O6"/>
      <c r="P6"/>
      <c r="Q6"/>
      <c r="R6"/>
    </row>
    <row r="7" spans="1:18" x14ac:dyDescent="0.25">
      <c r="A7" s="71"/>
      <c r="B7" s="72" t="s">
        <v>57</v>
      </c>
      <c r="C7" s="72" t="s">
        <v>58</v>
      </c>
      <c r="D7" s="72" t="s">
        <v>59</v>
      </c>
      <c r="E7" s="72" t="s">
        <v>60</v>
      </c>
      <c r="F7" s="72" t="s">
        <v>61</v>
      </c>
      <c r="G7" s="72"/>
      <c r="H7" s="72" t="s">
        <v>62</v>
      </c>
      <c r="J7"/>
      <c r="K7"/>
      <c r="L7"/>
      <c r="M7"/>
      <c r="N7"/>
      <c r="O7"/>
      <c r="P7"/>
      <c r="Q7"/>
      <c r="R7"/>
    </row>
    <row r="8" spans="1:18" ht="15.75" thickBot="1" x14ac:dyDescent="0.3">
      <c r="A8" s="74" t="s">
        <v>26</v>
      </c>
      <c r="B8" s="75" t="s">
        <v>63</v>
      </c>
      <c r="C8" s="75" t="s">
        <v>63</v>
      </c>
      <c r="D8" s="75" t="s">
        <v>63</v>
      </c>
      <c r="E8" s="75" t="s">
        <v>63</v>
      </c>
      <c r="F8" s="75" t="s">
        <v>63</v>
      </c>
      <c r="G8" s="75" t="s">
        <v>52</v>
      </c>
      <c r="H8" s="75" t="s">
        <v>64</v>
      </c>
      <c r="J8"/>
      <c r="K8"/>
      <c r="L8"/>
      <c r="M8"/>
      <c r="N8"/>
      <c r="O8"/>
      <c r="P8"/>
      <c r="Q8"/>
      <c r="R8"/>
    </row>
    <row r="9" spans="1:18" x14ac:dyDescent="0.25">
      <c r="J9"/>
      <c r="K9"/>
      <c r="L9"/>
      <c r="M9"/>
      <c r="N9"/>
      <c r="O9"/>
      <c r="P9"/>
      <c r="Q9"/>
      <c r="R9"/>
    </row>
    <row r="10" spans="1:18" x14ac:dyDescent="0.25">
      <c r="J10"/>
      <c r="K10"/>
      <c r="L10"/>
      <c r="M10"/>
      <c r="N10"/>
      <c r="O10"/>
      <c r="P10"/>
      <c r="Q10"/>
      <c r="R10"/>
    </row>
    <row r="11" spans="1:18" x14ac:dyDescent="0.25">
      <c r="A11" s="67" t="s">
        <v>65</v>
      </c>
      <c r="B11" s="76">
        <v>100526323.11761467</v>
      </c>
      <c r="C11" s="77">
        <v>12833668.671838166</v>
      </c>
      <c r="D11" s="76">
        <v>105116312.15036203</v>
      </c>
      <c r="E11" s="76">
        <v>1917198.26698093</v>
      </c>
      <c r="F11" s="76">
        <v>220393502.20679578</v>
      </c>
      <c r="G11" s="77">
        <v>9264250.0116835833</v>
      </c>
      <c r="H11" s="78">
        <f>G11/F11</f>
        <v>4.2035041500411E-2</v>
      </c>
      <c r="I11" s="79"/>
      <c r="J11"/>
      <c r="K11"/>
      <c r="L11"/>
      <c r="M11"/>
      <c r="N11"/>
      <c r="O11"/>
      <c r="P11"/>
      <c r="Q11"/>
      <c r="R11"/>
    </row>
    <row r="12" spans="1:18" x14ac:dyDescent="0.25">
      <c r="C12" s="77"/>
      <c r="H12" s="78"/>
      <c r="J12"/>
      <c r="K12"/>
      <c r="L12"/>
      <c r="M12"/>
      <c r="N12"/>
      <c r="O12"/>
      <c r="P12"/>
      <c r="Q12"/>
      <c r="R12"/>
    </row>
    <row r="13" spans="1:18" x14ac:dyDescent="0.25">
      <c r="A13" s="67" t="s">
        <v>66</v>
      </c>
      <c r="B13" s="80">
        <v>33324522.239999995</v>
      </c>
      <c r="C13" s="77">
        <v>5604313.1050721901</v>
      </c>
      <c r="D13" s="80">
        <v>54544208.170732573</v>
      </c>
      <c r="E13" s="80">
        <v>1064923.1803175528</v>
      </c>
      <c r="F13" s="76">
        <v>94537966.696122319</v>
      </c>
      <c r="G13" s="80">
        <v>3973949.4778175056</v>
      </c>
      <c r="H13" s="78">
        <f>G13/F13</f>
        <v>4.2035487082043473E-2</v>
      </c>
      <c r="I13" s="79"/>
      <c r="J13"/>
      <c r="K13"/>
      <c r="L13"/>
      <c r="M13"/>
      <c r="N13"/>
      <c r="O13"/>
      <c r="P13"/>
      <c r="Q13"/>
      <c r="R13"/>
    </row>
    <row r="14" spans="1:18" x14ac:dyDescent="0.25">
      <c r="G14" s="80"/>
      <c r="H14" s="78"/>
      <c r="J14"/>
      <c r="K14"/>
      <c r="L14"/>
      <c r="M14"/>
      <c r="N14"/>
      <c r="O14"/>
      <c r="P14"/>
      <c r="Q14"/>
      <c r="R14"/>
    </row>
    <row r="15" spans="1:18" x14ac:dyDescent="0.25">
      <c r="A15" s="67" t="s">
        <v>67</v>
      </c>
      <c r="B15" s="80">
        <v>3077607</v>
      </c>
      <c r="C15" s="80">
        <v>378797.77661860007</v>
      </c>
      <c r="D15" s="80">
        <v>6048392.5700722197</v>
      </c>
      <c r="E15" s="67">
        <v>0</v>
      </c>
      <c r="F15" s="76">
        <v>9504797.3466908187</v>
      </c>
      <c r="G15" s="80">
        <v>399691.56110857613</v>
      </c>
      <c r="H15" s="78">
        <f>G15/F15</f>
        <v>4.2051560546709853E-2</v>
      </c>
      <c r="I15" s="79"/>
      <c r="J15"/>
      <c r="K15"/>
      <c r="L15"/>
      <c r="M15"/>
      <c r="N15"/>
      <c r="O15"/>
      <c r="P15"/>
      <c r="Q15"/>
      <c r="R15"/>
    </row>
    <row r="16" spans="1:18" x14ac:dyDescent="0.25">
      <c r="G16" s="80"/>
      <c r="H16" s="78"/>
      <c r="J16"/>
      <c r="K16"/>
      <c r="L16"/>
      <c r="M16"/>
      <c r="N16"/>
      <c r="O16"/>
      <c r="P16"/>
      <c r="Q16"/>
      <c r="R16"/>
    </row>
    <row r="17" spans="1:19" x14ac:dyDescent="0.25">
      <c r="A17" s="67" t="s">
        <v>68</v>
      </c>
      <c r="B17" s="80">
        <v>271224.09090125153</v>
      </c>
      <c r="C17" s="80">
        <v>123109.66118627461</v>
      </c>
      <c r="D17" s="81">
        <v>1975025.576721976</v>
      </c>
      <c r="E17" s="80">
        <v>6736.7541230213865</v>
      </c>
      <c r="F17" s="76">
        <v>2376096.0829325235</v>
      </c>
      <c r="G17" s="81">
        <v>99892.235721160658</v>
      </c>
      <c r="H17" s="82">
        <f>G17/F17</f>
        <v>4.2040486678415777E-2</v>
      </c>
      <c r="I17" s="79"/>
      <c r="J17"/>
      <c r="K17"/>
      <c r="L17"/>
      <c r="M17"/>
      <c r="N17"/>
      <c r="O17"/>
      <c r="P17"/>
      <c r="Q17"/>
      <c r="R17"/>
    </row>
    <row r="18" spans="1:19" x14ac:dyDescent="0.25">
      <c r="D18" s="66"/>
      <c r="E18" s="66"/>
      <c r="F18" s="66"/>
      <c r="G18" s="81"/>
      <c r="H18" s="82"/>
      <c r="J18"/>
      <c r="K18"/>
      <c r="L18"/>
      <c r="M18"/>
      <c r="N18"/>
      <c r="O18"/>
      <c r="P18"/>
      <c r="Q18"/>
      <c r="R18"/>
    </row>
    <row r="19" spans="1:19" x14ac:dyDescent="0.25">
      <c r="A19" s="67" t="s">
        <v>69</v>
      </c>
      <c r="B19" s="80">
        <v>5409624.0108932471</v>
      </c>
      <c r="C19" s="67">
        <v>0</v>
      </c>
      <c r="D19" s="67">
        <v>0</v>
      </c>
      <c r="E19" s="81">
        <v>1578243</v>
      </c>
      <c r="F19" s="76">
        <v>6987867.0108932471</v>
      </c>
      <c r="G19" s="81">
        <v>293560.33091230132</v>
      </c>
      <c r="H19" s="82">
        <f>G19/F19</f>
        <v>4.201000540718304E-2</v>
      </c>
      <c r="I19" s="79"/>
      <c r="J19"/>
      <c r="K19"/>
      <c r="L19"/>
      <c r="M19"/>
      <c r="N19"/>
      <c r="O19"/>
      <c r="P19"/>
      <c r="Q19"/>
      <c r="R19"/>
    </row>
    <row r="20" spans="1:19" x14ac:dyDescent="0.25">
      <c r="D20" s="66"/>
      <c r="E20" s="66"/>
      <c r="F20" s="66"/>
      <c r="G20" s="81"/>
      <c r="H20" s="82"/>
      <c r="J20"/>
      <c r="K20"/>
      <c r="L20"/>
      <c r="M20"/>
      <c r="N20"/>
      <c r="O20"/>
      <c r="P20"/>
      <c r="Q20"/>
      <c r="R20"/>
    </row>
    <row r="21" spans="1:19" x14ac:dyDescent="0.25">
      <c r="A21" s="67" t="s">
        <v>70</v>
      </c>
      <c r="B21" s="80">
        <v>2280929.1618000004</v>
      </c>
      <c r="C21" s="67">
        <v>0</v>
      </c>
      <c r="D21" s="81">
        <v>1840503.8</v>
      </c>
      <c r="E21" s="67">
        <v>0</v>
      </c>
      <c r="F21" s="76">
        <v>4121432.9618000006</v>
      </c>
      <c r="G21" s="81">
        <v>173260.46951999981</v>
      </c>
      <c r="H21" s="82">
        <f>G21/F21</f>
        <v>4.2038890630003059E-2</v>
      </c>
      <c r="I21" s="79"/>
      <c r="J21"/>
      <c r="K21"/>
      <c r="L21"/>
      <c r="M21"/>
      <c r="N21"/>
      <c r="O21"/>
      <c r="P21"/>
      <c r="Q21"/>
      <c r="R21"/>
    </row>
    <row r="22" spans="1:19" x14ac:dyDescent="0.25">
      <c r="A22" s="67" t="s">
        <v>71</v>
      </c>
      <c r="B22" s="80">
        <v>1337173.90013</v>
      </c>
      <c r="C22" s="67">
        <v>0</v>
      </c>
      <c r="D22" s="67">
        <v>0</v>
      </c>
      <c r="E22" s="67">
        <v>0</v>
      </c>
      <c r="F22" s="76">
        <v>1337173.90013</v>
      </c>
      <c r="G22" s="81">
        <v>56196.434790000087</v>
      </c>
      <c r="H22" s="82">
        <f>G22/F22</f>
        <v>4.2026272562257362E-2</v>
      </c>
      <c r="I22" s="79"/>
      <c r="J22"/>
      <c r="K22"/>
      <c r="L22"/>
      <c r="M22"/>
      <c r="N22"/>
      <c r="O22"/>
      <c r="P22"/>
      <c r="Q22"/>
      <c r="R22"/>
    </row>
    <row r="23" spans="1:19" x14ac:dyDescent="0.25">
      <c r="A23" s="67" t="s">
        <v>38</v>
      </c>
      <c r="B23" s="80">
        <v>144561.52499999999</v>
      </c>
      <c r="C23" s="67">
        <v>0</v>
      </c>
      <c r="D23" s="67">
        <v>0</v>
      </c>
      <c r="E23" s="81">
        <v>93204.078772021661</v>
      </c>
      <c r="F23" s="76">
        <v>237765.60377202166</v>
      </c>
      <c r="G23" s="81">
        <v>10037.64022409395</v>
      </c>
      <c r="H23" s="82">
        <f>G23/F23</f>
        <v>4.2216536222448753E-2</v>
      </c>
      <c r="I23" s="79"/>
      <c r="J23"/>
      <c r="K23"/>
      <c r="L23"/>
      <c r="M23"/>
      <c r="N23"/>
      <c r="O23"/>
      <c r="P23"/>
      <c r="Q23"/>
      <c r="R23"/>
    </row>
    <row r="24" spans="1:19" x14ac:dyDescent="0.25">
      <c r="D24" s="66"/>
      <c r="E24" s="66"/>
      <c r="F24" s="66"/>
      <c r="G24" s="66"/>
      <c r="H24" s="66"/>
      <c r="J24"/>
      <c r="K24"/>
      <c r="L24"/>
      <c r="M24"/>
      <c r="N24"/>
      <c r="O24"/>
      <c r="P24"/>
      <c r="Q24"/>
      <c r="R24"/>
    </row>
    <row r="25" spans="1:19" x14ac:dyDescent="0.25">
      <c r="A25" s="67" t="s">
        <v>72</v>
      </c>
      <c r="B25" s="83">
        <f t="shared" ref="B25:G25" si="0">SUM(B10:B24)</f>
        <v>146371965.04633918</v>
      </c>
      <c r="C25" s="83">
        <f t="shared" si="0"/>
        <v>18939889.214715231</v>
      </c>
      <c r="D25" s="84">
        <f t="shared" si="0"/>
        <v>169524442.26788881</v>
      </c>
      <c r="E25" s="84">
        <f t="shared" si="0"/>
        <v>4660305.2801935263</v>
      </c>
      <c r="F25" s="84">
        <f t="shared" si="0"/>
        <v>339496601.80913669</v>
      </c>
      <c r="G25" s="84">
        <f t="shared" si="0"/>
        <v>14270838.161777223</v>
      </c>
      <c r="H25" s="85">
        <f>G25/F25</f>
        <v>4.2035290149384813E-2</v>
      </c>
      <c r="I25" s="86"/>
      <c r="J25"/>
      <c r="K25"/>
      <c r="L25"/>
      <c r="M25"/>
      <c r="N25"/>
      <c r="O25"/>
      <c r="P25"/>
      <c r="Q25"/>
      <c r="R25"/>
    </row>
    <row r="26" spans="1:19" x14ac:dyDescent="0.25">
      <c r="D26" s="66"/>
      <c r="E26" s="66"/>
      <c r="F26" s="66"/>
      <c r="G26" s="66"/>
      <c r="H26" s="66"/>
      <c r="J26"/>
      <c r="K26"/>
      <c r="L26"/>
      <c r="M26"/>
      <c r="N26"/>
      <c r="O26"/>
      <c r="P26"/>
      <c r="Q26"/>
      <c r="R26"/>
    </row>
    <row r="27" spans="1:19" x14ac:dyDescent="0.25">
      <c r="A27" s="66"/>
      <c r="B27" s="81"/>
      <c r="D27" s="66"/>
      <c r="E27" s="66"/>
      <c r="F27" s="87"/>
      <c r="G27" s="81"/>
      <c r="H27" s="82"/>
      <c r="J27"/>
      <c r="K27"/>
      <c r="L27"/>
      <c r="M27"/>
      <c r="N27"/>
      <c r="O27"/>
      <c r="P27"/>
      <c r="Q27"/>
      <c r="R27"/>
    </row>
    <row r="28" spans="1:19" x14ac:dyDescent="0.25">
      <c r="A28" s="66" t="s">
        <v>73</v>
      </c>
      <c r="B28" s="35">
        <v>1234768</v>
      </c>
      <c r="D28" s="66"/>
      <c r="E28" s="66"/>
      <c r="F28" s="87">
        <f>B28</f>
        <v>1234768</v>
      </c>
      <c r="G28" s="81"/>
      <c r="H28" s="82">
        <f>G28/F28</f>
        <v>0</v>
      </c>
      <c r="J28"/>
      <c r="K28"/>
      <c r="L28"/>
      <c r="M28"/>
      <c r="N28"/>
      <c r="O28"/>
      <c r="P28"/>
      <c r="Q28"/>
      <c r="R28"/>
    </row>
    <row r="29" spans="1:19" x14ac:dyDescent="0.25">
      <c r="A29" s="66" t="s">
        <v>74</v>
      </c>
      <c r="B29" s="81">
        <v>310022.12219066662</v>
      </c>
      <c r="D29" s="66"/>
      <c r="E29" s="66"/>
      <c r="F29" s="87">
        <f>B29</f>
        <v>310022.12219066662</v>
      </c>
      <c r="G29" s="81"/>
      <c r="H29" s="82">
        <f>G29/F29</f>
        <v>0</v>
      </c>
      <c r="I29" s="86"/>
      <c r="J29"/>
      <c r="K29"/>
      <c r="L29"/>
      <c r="M29"/>
      <c r="N29"/>
      <c r="O29"/>
      <c r="P29"/>
      <c r="Q29"/>
      <c r="R29"/>
    </row>
    <row r="30" spans="1:19" x14ac:dyDescent="0.25">
      <c r="A30" s="66"/>
      <c r="B30" s="66"/>
      <c r="D30" s="66"/>
      <c r="E30" s="66"/>
      <c r="F30" s="66"/>
      <c r="G30" s="66"/>
      <c r="H30" s="66"/>
      <c r="J30"/>
      <c r="K30"/>
      <c r="L30"/>
      <c r="M30"/>
      <c r="N30"/>
      <c r="O30"/>
      <c r="P30"/>
      <c r="Q30"/>
      <c r="R30"/>
      <c r="S30"/>
    </row>
    <row r="31" spans="1:19" x14ac:dyDescent="0.25">
      <c r="A31" s="66" t="s">
        <v>75</v>
      </c>
      <c r="B31" s="84">
        <f>+B25+B28+B29</f>
        <v>147916755.16852984</v>
      </c>
      <c r="C31" s="84">
        <f t="shared" ref="C31:G31" si="1">+C25+C28+C29</f>
        <v>18939889.214715231</v>
      </c>
      <c r="D31" s="84">
        <f t="shared" si="1"/>
        <v>169524442.26788881</v>
      </c>
      <c r="E31" s="84">
        <f t="shared" si="1"/>
        <v>4660305.2801935263</v>
      </c>
      <c r="F31" s="84">
        <f t="shared" si="1"/>
        <v>341041391.93132734</v>
      </c>
      <c r="G31" s="84">
        <f t="shared" si="1"/>
        <v>14270838.161777223</v>
      </c>
      <c r="H31" s="85">
        <f>G31/F31</f>
        <v>4.1844885985718769E-2</v>
      </c>
      <c r="J31"/>
      <c r="K31"/>
      <c r="L31"/>
      <c r="M31"/>
      <c r="N31"/>
      <c r="O31"/>
      <c r="P31"/>
      <c r="Q31"/>
      <c r="R31"/>
      <c r="S31"/>
    </row>
    <row r="32" spans="1:19" x14ac:dyDescent="0.25">
      <c r="C32" s="66"/>
      <c r="D32" s="66"/>
      <c r="E32" s="66"/>
      <c r="F32" s="66"/>
      <c r="O32"/>
      <c r="P32"/>
      <c r="Q32"/>
      <c r="R32"/>
      <c r="S32"/>
    </row>
    <row r="33" spans="1:19" x14ac:dyDescent="0.25">
      <c r="G33" s="88"/>
      <c r="H33" s="89"/>
      <c r="I33" s="77"/>
      <c r="O33"/>
      <c r="P33"/>
      <c r="Q33"/>
      <c r="R33"/>
      <c r="S33"/>
    </row>
    <row r="34" spans="1:1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9" x14ac:dyDescent="0.25">
      <c r="J43" s="78"/>
    </row>
    <row r="44" spans="1:19" x14ac:dyDescent="0.25">
      <c r="J44" s="78"/>
    </row>
    <row r="50" spans="7:7" x14ac:dyDescent="0.25">
      <c r="G50" s="88"/>
    </row>
    <row r="223" spans="4:4" x14ac:dyDescent="0.25">
      <c r="D223" s="67" t="s">
        <v>76</v>
      </c>
    </row>
  </sheetData>
  <printOptions horizontalCentered="1"/>
  <pageMargins left="0.75" right="0.75" top="1.75" bottom="0.75" header="1" footer="0.5"/>
  <pageSetup scale="13" orientation="landscape" r:id="rId1"/>
  <headerFooter>
    <oddHeader>&amp;C&amp;"-,Bold"Louisville Gas and Electric Company
Case No. 2014-00372
Summary of Proposed Gas Revenue Increase
Forecast Period Sales for the Twelve Months Ended June 30,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18"/>
  <sheetViews>
    <sheetView topLeftCell="A16" zoomScale="80" zoomScaleNormal="80" zoomScaleSheetLayoutView="70" zoomScalePageLayoutView="50" workbookViewId="0">
      <selection activeCell="G17" sqref="G17"/>
    </sheetView>
  </sheetViews>
  <sheetFormatPr defaultRowHeight="15.75" x14ac:dyDescent="0.25"/>
  <cols>
    <col min="1" max="2" width="9.140625" style="66"/>
    <col min="3" max="3" width="5.85546875" style="93" customWidth="1"/>
    <col min="4" max="4" width="30.85546875" style="93" customWidth="1"/>
    <col min="5" max="5" width="13.42578125" style="93" customWidth="1"/>
    <col min="6" max="6" width="23.28515625" style="93" customWidth="1"/>
    <col min="7" max="7" width="20.85546875" style="93" customWidth="1"/>
    <col min="8" max="8" width="19.42578125" style="93" customWidth="1"/>
    <col min="9" max="9" width="18.85546875" style="93" customWidth="1"/>
    <col min="10" max="10" width="21" style="93" customWidth="1"/>
    <col min="11" max="11" width="3" style="93" customWidth="1"/>
    <col min="12" max="14" width="21" style="93" customWidth="1"/>
    <col min="15" max="15" width="18.42578125" style="66" bestFit="1" customWidth="1"/>
    <col min="16" max="16" width="18.28515625" style="66" bestFit="1" customWidth="1"/>
    <col min="17" max="17" width="16.85546875" style="66" customWidth="1"/>
    <col min="18" max="18" width="16" style="66" customWidth="1"/>
    <col min="19" max="20" width="15.42578125" style="66" customWidth="1"/>
    <col min="21" max="16384" width="9.140625" style="66"/>
  </cols>
  <sheetData>
    <row r="1" spans="1:20" x14ac:dyDescent="0.25">
      <c r="C1" s="90" t="s">
        <v>20</v>
      </c>
      <c r="D1" s="91"/>
      <c r="E1" s="91"/>
      <c r="F1" s="91"/>
      <c r="G1" s="91"/>
      <c r="H1" s="91"/>
      <c r="I1" s="91"/>
      <c r="J1" s="92"/>
      <c r="K1" s="66"/>
      <c r="M1" s="94" t="s">
        <v>53</v>
      </c>
    </row>
    <row r="2" spans="1:20" x14ac:dyDescent="0.25">
      <c r="C2" s="95" t="s">
        <v>22</v>
      </c>
      <c r="D2" s="91"/>
      <c r="E2" s="91"/>
      <c r="F2" s="91"/>
      <c r="G2" s="91"/>
      <c r="H2" s="91"/>
      <c r="I2" s="91"/>
      <c r="J2" s="92"/>
      <c r="K2" s="66"/>
      <c r="M2" s="94" t="s">
        <v>77</v>
      </c>
    </row>
    <row r="3" spans="1:20" x14ac:dyDescent="0.25">
      <c r="C3" s="95" t="s">
        <v>24</v>
      </c>
      <c r="D3" s="91"/>
      <c r="E3" s="91"/>
      <c r="F3" s="91"/>
      <c r="G3" s="91"/>
      <c r="H3" s="91"/>
      <c r="I3" s="91"/>
      <c r="J3" s="92"/>
      <c r="K3" s="66"/>
      <c r="M3" s="96" t="s">
        <v>55</v>
      </c>
    </row>
    <row r="6" spans="1:20" ht="16.5" thickBot="1" x14ac:dyDescent="0.3">
      <c r="I6" s="97"/>
      <c r="J6" s="98" t="s">
        <v>78</v>
      </c>
      <c r="K6" s="99"/>
      <c r="L6" s="187" t="s">
        <v>79</v>
      </c>
      <c r="M6" s="187"/>
      <c r="N6" s="99"/>
      <c r="O6" s="100"/>
      <c r="P6" s="99"/>
      <c r="Q6" s="99"/>
      <c r="R6" s="99"/>
      <c r="S6" s="99"/>
      <c r="T6" s="99"/>
    </row>
    <row r="7" spans="1:20" x14ac:dyDescent="0.25">
      <c r="I7" s="97"/>
      <c r="J7" s="98" t="s">
        <v>63</v>
      </c>
      <c r="K7" s="99"/>
      <c r="L7" s="101"/>
      <c r="M7" s="101"/>
      <c r="N7" s="99"/>
      <c r="O7" s="100"/>
      <c r="P7" s="99"/>
      <c r="Q7" s="99"/>
      <c r="R7" s="99"/>
      <c r="S7" s="99"/>
      <c r="T7" s="99"/>
    </row>
    <row r="8" spans="1:20" x14ac:dyDescent="0.25">
      <c r="F8" s="102"/>
      <c r="G8" s="103"/>
      <c r="H8" s="103"/>
      <c r="I8" s="98" t="s">
        <v>80</v>
      </c>
      <c r="J8" s="104" t="s">
        <v>81</v>
      </c>
      <c r="K8" s="105"/>
      <c r="L8" s="103" t="s">
        <v>82</v>
      </c>
      <c r="M8" s="106" t="s">
        <v>78</v>
      </c>
      <c r="N8" s="105"/>
      <c r="O8" s="100"/>
      <c r="P8" s="105"/>
      <c r="Q8" s="99"/>
      <c r="R8" s="99"/>
      <c r="S8" s="99"/>
      <c r="T8" s="99"/>
    </row>
    <row r="9" spans="1:20" ht="16.5" thickBot="1" x14ac:dyDescent="0.3">
      <c r="C9" s="107" t="s">
        <v>26</v>
      </c>
      <c r="D9" s="107"/>
      <c r="E9" s="107"/>
      <c r="F9" s="108" t="s">
        <v>42</v>
      </c>
      <c r="G9" s="109" t="s">
        <v>83</v>
      </c>
      <c r="H9" s="109"/>
      <c r="I9" s="108" t="s">
        <v>84</v>
      </c>
      <c r="J9" s="108" t="s">
        <v>84</v>
      </c>
      <c r="K9" s="110"/>
      <c r="L9" s="111" t="s">
        <v>85</v>
      </c>
      <c r="M9" s="109" t="s">
        <v>63</v>
      </c>
      <c r="N9" s="110"/>
      <c r="O9" s="100"/>
      <c r="P9" s="105"/>
      <c r="Q9" s="105"/>
      <c r="R9" s="105"/>
      <c r="S9" s="105"/>
      <c r="T9" s="105"/>
    </row>
    <row r="10" spans="1:20" x14ac:dyDescent="0.25">
      <c r="C10" s="112"/>
      <c r="D10" s="112"/>
      <c r="E10" s="112"/>
      <c r="F10" s="112"/>
      <c r="G10" s="112"/>
      <c r="H10" s="110"/>
      <c r="I10" s="110"/>
      <c r="J10" s="110"/>
      <c r="K10" s="110"/>
      <c r="L10" s="113"/>
      <c r="M10" s="113"/>
      <c r="N10" s="110"/>
      <c r="O10" s="100"/>
    </row>
    <row r="11" spans="1:20" ht="18.75" x14ac:dyDescent="0.3">
      <c r="C11" s="114" t="s">
        <v>86</v>
      </c>
      <c r="E11" s="115"/>
      <c r="F11" s="115"/>
      <c r="G11" s="116"/>
      <c r="O11" s="100"/>
    </row>
    <row r="12" spans="1:20" x14ac:dyDescent="0.25">
      <c r="C12" s="116"/>
      <c r="D12" s="117"/>
      <c r="E12" s="116"/>
      <c r="F12" s="116"/>
      <c r="G12" s="116"/>
    </row>
    <row r="13" spans="1:20" x14ac:dyDescent="0.25">
      <c r="A13" s="66" t="s">
        <v>87</v>
      </c>
      <c r="C13" s="115" t="s">
        <v>88</v>
      </c>
      <c r="E13" s="118"/>
      <c r="F13" s="118"/>
      <c r="G13" s="118"/>
    </row>
    <row r="14" spans="1:20" x14ac:dyDescent="0.25">
      <c r="C14" s="119"/>
      <c r="D14" s="119" t="s">
        <v>89</v>
      </c>
      <c r="E14" s="120"/>
      <c r="F14" s="121">
        <v>3535389.9999999995</v>
      </c>
      <c r="G14" s="120"/>
      <c r="I14" s="122">
        <v>13.5</v>
      </c>
      <c r="J14" s="123">
        <f>+F14*I14</f>
        <v>47727764.999999993</v>
      </c>
      <c r="K14" s="123"/>
      <c r="L14" s="122">
        <v>19</v>
      </c>
      <c r="M14" s="123">
        <f>ROUND(L14*F14,2)</f>
        <v>67172410</v>
      </c>
      <c r="N14" s="124">
        <f>L14-I14</f>
        <v>5.5</v>
      </c>
      <c r="O14" s="121"/>
      <c r="P14" s="123"/>
      <c r="Q14" s="121"/>
      <c r="R14" s="121"/>
      <c r="S14" s="123"/>
      <c r="T14" s="123"/>
    </row>
    <row r="15" spans="1:20" x14ac:dyDescent="0.25">
      <c r="O15" s="93"/>
      <c r="P15" s="93"/>
      <c r="Q15" s="93"/>
      <c r="R15" s="93"/>
      <c r="S15" s="93"/>
      <c r="T15" s="93"/>
    </row>
    <row r="16" spans="1:20" x14ac:dyDescent="0.25">
      <c r="O16" s="93"/>
      <c r="P16" s="93"/>
      <c r="Q16" s="93"/>
      <c r="R16" s="93"/>
      <c r="S16" s="93"/>
      <c r="T16" s="93"/>
    </row>
    <row r="17" spans="3:20" x14ac:dyDescent="0.25">
      <c r="D17" s="125" t="s">
        <v>90</v>
      </c>
      <c r="G17" s="121">
        <v>19985070.637652706</v>
      </c>
      <c r="I17" s="126">
        <v>2.6418999999999997</v>
      </c>
      <c r="J17" s="123">
        <f>+G17*I17</f>
        <v>52798558.117614679</v>
      </c>
      <c r="K17" s="123"/>
      <c r="L17" s="126">
        <v>2.1324999999999998</v>
      </c>
      <c r="M17" s="123">
        <f>ROUND(G17*L17,2)</f>
        <v>42618163.130000003</v>
      </c>
      <c r="N17" s="127">
        <f>L17-I17</f>
        <v>-0.50939999999999985</v>
      </c>
      <c r="O17" s="123"/>
      <c r="P17" s="123"/>
      <c r="Q17" s="123"/>
      <c r="R17" s="123"/>
      <c r="S17" s="123"/>
      <c r="T17" s="123"/>
    </row>
    <row r="18" spans="3:20" x14ac:dyDescent="0.25">
      <c r="O18" s="93"/>
      <c r="P18" s="93"/>
      <c r="Q18" s="93"/>
      <c r="R18" s="93"/>
      <c r="S18" s="93"/>
      <c r="T18" s="93"/>
    </row>
    <row r="19" spans="3:20" x14ac:dyDescent="0.25">
      <c r="G19" s="121"/>
      <c r="O19" s="93"/>
      <c r="P19" s="93"/>
      <c r="Q19" s="93"/>
      <c r="R19" s="93"/>
      <c r="S19" s="93"/>
      <c r="T19" s="93"/>
    </row>
    <row r="20" spans="3:20" x14ac:dyDescent="0.25">
      <c r="O20" s="93"/>
      <c r="P20" s="93"/>
      <c r="Q20" s="93"/>
      <c r="R20" s="93"/>
      <c r="S20" s="93"/>
      <c r="T20" s="93"/>
    </row>
    <row r="21" spans="3:20" x14ac:dyDescent="0.25">
      <c r="C21" s="128" t="s">
        <v>91</v>
      </c>
      <c r="D21" s="128"/>
      <c r="G21" s="129">
        <f>+G17</f>
        <v>19985070.637652706</v>
      </c>
      <c r="J21" s="130">
        <f>SUM(J14:J19)</f>
        <v>100526323.11761467</v>
      </c>
      <c r="K21" s="130"/>
      <c r="L21" s="130"/>
      <c r="M21" s="130">
        <f>SUM(M14:M19)</f>
        <v>109790573.13</v>
      </c>
      <c r="N21" s="130"/>
      <c r="O21" s="123"/>
      <c r="P21" s="123"/>
      <c r="Q21" s="123"/>
      <c r="R21" s="93"/>
      <c r="S21" s="93"/>
      <c r="T21" s="93"/>
    </row>
    <row r="22" spans="3:20" x14ac:dyDescent="0.25">
      <c r="D22" s="119"/>
      <c r="O22" s="93"/>
      <c r="P22" s="93"/>
      <c r="Q22" s="93"/>
      <c r="R22" s="93"/>
      <c r="S22" s="93"/>
      <c r="T22" s="93"/>
    </row>
    <row r="23" spans="3:20" x14ac:dyDescent="0.25">
      <c r="D23" s="131" t="s">
        <v>92</v>
      </c>
      <c r="I23" s="132">
        <v>1.0000000000757483</v>
      </c>
      <c r="L23" s="133">
        <f>+I23</f>
        <v>1.0000000000757483</v>
      </c>
      <c r="O23" s="93"/>
      <c r="P23" s="93"/>
      <c r="Q23" s="93"/>
      <c r="R23" s="93"/>
      <c r="S23" s="93"/>
      <c r="T23" s="93"/>
    </row>
    <row r="24" spans="3:20" x14ac:dyDescent="0.25">
      <c r="D24" s="119"/>
      <c r="O24" s="93"/>
      <c r="P24" s="93"/>
      <c r="Q24" s="93"/>
      <c r="R24" s="93"/>
      <c r="S24" s="93"/>
      <c r="T24" s="93"/>
    </row>
    <row r="25" spans="3:20" x14ac:dyDescent="0.25">
      <c r="C25" s="93" t="s">
        <v>93</v>
      </c>
      <c r="J25" s="130">
        <f>J21/I23</f>
        <v>100526323.10999997</v>
      </c>
      <c r="M25" s="130">
        <f>M21/L23</f>
        <v>109790573.12168355</v>
      </c>
      <c r="O25" s="93"/>
      <c r="P25" s="93"/>
      <c r="Q25" s="93"/>
      <c r="R25" s="93"/>
      <c r="S25" s="93"/>
      <c r="T25" s="93"/>
    </row>
    <row r="26" spans="3:20" x14ac:dyDescent="0.25">
      <c r="D26" s="119"/>
      <c r="O26" s="93"/>
      <c r="P26" s="93"/>
      <c r="Q26" s="93"/>
      <c r="R26" s="93"/>
      <c r="S26" s="93"/>
      <c r="T26" s="93"/>
    </row>
    <row r="27" spans="3:20" x14ac:dyDescent="0.25">
      <c r="O27" s="93"/>
      <c r="P27" s="93"/>
      <c r="Q27" s="93"/>
      <c r="R27" s="93"/>
      <c r="S27" s="93"/>
      <c r="T27" s="93"/>
    </row>
    <row r="28" spans="3:20" x14ac:dyDescent="0.25">
      <c r="D28" s="93" t="s">
        <v>94</v>
      </c>
      <c r="F28" s="134"/>
      <c r="I28" s="126"/>
      <c r="J28" s="123">
        <v>12833668.671838166</v>
      </c>
      <c r="L28" s="127"/>
      <c r="M28" s="123">
        <f>J28</f>
        <v>12833668.671838166</v>
      </c>
      <c r="N28" s="123"/>
      <c r="O28" s="93"/>
      <c r="P28" s="93"/>
      <c r="Q28" s="93"/>
      <c r="R28" s="93"/>
      <c r="S28" s="93"/>
      <c r="T28" s="93"/>
    </row>
    <row r="29" spans="3:20" x14ac:dyDescent="0.25">
      <c r="D29" s="93" t="s">
        <v>95</v>
      </c>
      <c r="G29" s="134"/>
      <c r="I29" s="126"/>
      <c r="J29" s="123">
        <v>105116312.15036203</v>
      </c>
      <c r="L29" s="127"/>
      <c r="M29" s="123">
        <f>J29</f>
        <v>105116312.15036203</v>
      </c>
      <c r="N29" s="123"/>
      <c r="O29" s="93"/>
      <c r="P29" s="93"/>
      <c r="Q29" s="93"/>
      <c r="R29" s="93"/>
      <c r="S29" s="93"/>
      <c r="T29" s="93"/>
    </row>
    <row r="30" spans="3:20" x14ac:dyDescent="0.25">
      <c r="D30" s="93" t="s">
        <v>96</v>
      </c>
      <c r="G30" s="134"/>
      <c r="I30" s="126"/>
      <c r="J30" s="123">
        <v>1917198.26698093</v>
      </c>
      <c r="L30" s="127"/>
      <c r="M30" s="123">
        <f>J30</f>
        <v>1917198.26698093</v>
      </c>
      <c r="N30" s="123"/>
      <c r="O30" s="93"/>
      <c r="P30" s="93"/>
      <c r="Q30" s="93"/>
      <c r="R30" s="93"/>
      <c r="S30" s="93"/>
      <c r="T30" s="93"/>
    </row>
    <row r="31" spans="3:20" x14ac:dyDescent="0.25">
      <c r="G31" s="134"/>
      <c r="I31" s="126"/>
      <c r="J31" s="123"/>
      <c r="L31" s="127"/>
      <c r="M31" s="123"/>
      <c r="O31" s="93"/>
      <c r="P31" s="93"/>
      <c r="Q31" s="93"/>
      <c r="R31" s="93"/>
      <c r="S31" s="93"/>
      <c r="T31" s="93"/>
    </row>
    <row r="32" spans="3:20" x14ac:dyDescent="0.25">
      <c r="D32" s="119"/>
      <c r="J32" s="123"/>
      <c r="O32" s="93"/>
      <c r="P32" s="93"/>
      <c r="Q32" s="93"/>
      <c r="R32" s="93"/>
      <c r="S32" s="93"/>
      <c r="T32" s="93"/>
    </row>
    <row r="33" spans="3:20" ht="16.5" thickBot="1" x14ac:dyDescent="0.3">
      <c r="C33" s="115" t="s">
        <v>97</v>
      </c>
      <c r="D33" s="115"/>
      <c r="G33" s="134"/>
      <c r="J33" s="135">
        <f>SUM(J25:J30)</f>
        <v>220393502.19918108</v>
      </c>
      <c r="K33" s="115"/>
      <c r="L33" s="115"/>
      <c r="M33" s="135">
        <f>SUM(M25:M30)</f>
        <v>229657752.21086466</v>
      </c>
      <c r="O33" s="93"/>
      <c r="P33" s="93"/>
      <c r="Q33" s="93"/>
      <c r="R33" s="93"/>
      <c r="S33" s="93"/>
      <c r="T33" s="93"/>
    </row>
    <row r="34" spans="3:20" ht="17.25" thickTop="1" thickBot="1" x14ac:dyDescent="0.3">
      <c r="D34" s="119"/>
      <c r="O34" s="93"/>
      <c r="P34" s="93"/>
      <c r="Q34" s="93"/>
      <c r="R34" s="93"/>
      <c r="S34" s="93"/>
      <c r="T34" s="93"/>
    </row>
    <row r="35" spans="3:20" ht="16.5" thickBot="1" x14ac:dyDescent="0.3">
      <c r="D35" s="136" t="s">
        <v>98</v>
      </c>
      <c r="M35" s="137">
        <f>M33-J33</f>
        <v>9264250.0116835833</v>
      </c>
      <c r="N35" s="138">
        <v>9265827.6523668412</v>
      </c>
      <c r="O35" s="93" t="s">
        <v>99</v>
      </c>
      <c r="P35" s="93"/>
      <c r="Q35" s="93"/>
      <c r="R35" s="93"/>
      <c r="S35" s="93"/>
      <c r="T35" s="93"/>
    </row>
    <row r="36" spans="3:20" x14ac:dyDescent="0.25">
      <c r="D36" s="139"/>
      <c r="M36" s="140">
        <f>ROUND(M35/J33,4)</f>
        <v>4.2000000000000003E-2</v>
      </c>
      <c r="N36" s="141">
        <f>N35-M35</f>
        <v>1577.6406832579523</v>
      </c>
      <c r="O36" s="93"/>
      <c r="P36" s="93"/>
      <c r="Q36" s="93"/>
      <c r="R36" s="93"/>
      <c r="S36" s="93"/>
      <c r="T36" s="93"/>
    </row>
    <row r="37" spans="3:20" x14ac:dyDescent="0.25">
      <c r="R37" s="93"/>
      <c r="S37" s="93"/>
      <c r="T37" s="93"/>
    </row>
    <row r="38" spans="3:20" x14ac:dyDescent="0.25">
      <c r="C38" s="90" t="s">
        <v>20</v>
      </c>
      <c r="D38" s="91"/>
      <c r="E38" s="91"/>
      <c r="F38" s="91"/>
      <c r="G38" s="91"/>
      <c r="H38" s="91"/>
      <c r="I38" s="91"/>
      <c r="J38" s="92"/>
      <c r="K38" s="66"/>
      <c r="M38" s="94" t="s">
        <v>100</v>
      </c>
    </row>
    <row r="39" spans="3:20" x14ac:dyDescent="0.25">
      <c r="C39" s="95" t="s">
        <v>22</v>
      </c>
      <c r="D39" s="91"/>
      <c r="E39" s="91"/>
      <c r="F39" s="91"/>
      <c r="G39" s="91"/>
      <c r="H39" s="91"/>
      <c r="I39" s="91"/>
      <c r="J39" s="92"/>
      <c r="K39" s="66"/>
      <c r="M39" s="94" t="s">
        <v>101</v>
      </c>
    </row>
    <row r="40" spans="3:20" x14ac:dyDescent="0.25">
      <c r="C40" s="95" t="s">
        <v>24</v>
      </c>
      <c r="D40" s="91"/>
      <c r="E40" s="91"/>
      <c r="F40" s="91"/>
      <c r="G40" s="91"/>
      <c r="H40" s="91"/>
      <c r="I40" s="91"/>
      <c r="J40" s="92"/>
      <c r="K40" s="66"/>
      <c r="M40" s="96" t="s">
        <v>102</v>
      </c>
    </row>
    <row r="43" spans="3:20" ht="16.5" thickBot="1" x14ac:dyDescent="0.3">
      <c r="J43" s="99" t="s">
        <v>78</v>
      </c>
      <c r="K43" s="99"/>
      <c r="L43" s="187" t="s">
        <v>79</v>
      </c>
      <c r="M43" s="187"/>
    </row>
    <row r="44" spans="3:20" x14ac:dyDescent="0.25">
      <c r="J44" s="99" t="s">
        <v>63</v>
      </c>
      <c r="K44" s="99"/>
      <c r="L44" s="101"/>
      <c r="M44" s="101"/>
    </row>
    <row r="45" spans="3:20" x14ac:dyDescent="0.25">
      <c r="F45" s="102"/>
      <c r="G45" s="103"/>
      <c r="H45" s="103" t="s">
        <v>103</v>
      </c>
      <c r="I45" s="99" t="s">
        <v>80</v>
      </c>
      <c r="J45" s="105" t="s">
        <v>81</v>
      </c>
      <c r="K45" s="105"/>
      <c r="L45" s="103" t="s">
        <v>82</v>
      </c>
      <c r="M45" s="106" t="s">
        <v>78</v>
      </c>
    </row>
    <row r="46" spans="3:20" ht="16.5" thickBot="1" x14ac:dyDescent="0.3">
      <c r="C46" s="107" t="s">
        <v>26</v>
      </c>
      <c r="D46" s="107"/>
      <c r="E46" s="107"/>
      <c r="F46" s="108" t="s">
        <v>104</v>
      </c>
      <c r="G46" s="109" t="s">
        <v>83</v>
      </c>
      <c r="H46" s="109" t="s">
        <v>83</v>
      </c>
      <c r="I46" s="142" t="s">
        <v>84</v>
      </c>
      <c r="J46" s="142" t="s">
        <v>84</v>
      </c>
      <c r="K46" s="110"/>
      <c r="L46" s="111" t="s">
        <v>85</v>
      </c>
      <c r="M46" s="109" t="s">
        <v>63</v>
      </c>
    </row>
    <row r="48" spans="3:20" ht="18.75" x14ac:dyDescent="0.3">
      <c r="C48" s="114" t="s">
        <v>105</v>
      </c>
      <c r="E48" s="115"/>
      <c r="F48" s="115"/>
      <c r="G48" s="115"/>
    </row>
    <row r="49" spans="1:17" x14ac:dyDescent="0.25">
      <c r="C49" s="116"/>
      <c r="D49" s="117"/>
      <c r="E49" s="116"/>
      <c r="F49" s="116"/>
      <c r="G49" s="116"/>
    </row>
    <row r="50" spans="1:17" x14ac:dyDescent="0.25">
      <c r="A50" s="66" t="s">
        <v>106</v>
      </c>
      <c r="C50" s="115" t="s">
        <v>107</v>
      </c>
    </row>
    <row r="51" spans="1:17" x14ac:dyDescent="0.25">
      <c r="C51" s="115"/>
      <c r="D51" s="119" t="s">
        <v>108</v>
      </c>
    </row>
    <row r="52" spans="1:17" x14ac:dyDescent="0.25">
      <c r="A52" s="66" t="s">
        <v>109</v>
      </c>
      <c r="C52" s="143"/>
      <c r="D52" s="144" t="s">
        <v>110</v>
      </c>
      <c r="F52" s="121">
        <v>273456.87631643581</v>
      </c>
      <c r="I52" s="122">
        <v>35</v>
      </c>
      <c r="J52" s="123">
        <f>+F52*I52</f>
        <v>9570990.6710752528</v>
      </c>
      <c r="K52" s="123"/>
      <c r="L52" s="122">
        <v>40</v>
      </c>
      <c r="M52" s="123">
        <f>+$F52*L52</f>
        <v>10938275.052657433</v>
      </c>
      <c r="N52" s="123">
        <f>(M52+M53)/(F52+F53)</f>
        <v>45.370342045255228</v>
      </c>
    </row>
    <row r="53" spans="1:17" x14ac:dyDescent="0.25">
      <c r="C53" s="143"/>
      <c r="D53" s="144" t="s">
        <v>111</v>
      </c>
      <c r="F53" s="121">
        <v>10908.123683564303</v>
      </c>
      <c r="I53" s="122">
        <v>175</v>
      </c>
      <c r="J53" s="123">
        <f>+F53*I53</f>
        <v>1908921.6446237531</v>
      </c>
      <c r="K53" s="123"/>
      <c r="L53" s="122">
        <v>180</v>
      </c>
      <c r="M53" s="123">
        <f>+$F53*L53</f>
        <v>1963462.2630415745</v>
      </c>
      <c r="N53" s="123"/>
      <c r="Q53" s="145"/>
    </row>
    <row r="54" spans="1:17" x14ac:dyDescent="0.25">
      <c r="Q54" s="145"/>
    </row>
    <row r="55" spans="1:17" x14ac:dyDescent="0.25">
      <c r="D55" s="93" t="s">
        <v>112</v>
      </c>
      <c r="I55" s="126"/>
      <c r="Q55" s="145"/>
    </row>
    <row r="56" spans="1:17" x14ac:dyDescent="0.25">
      <c r="C56" s="146"/>
      <c r="D56" s="93" t="s">
        <v>113</v>
      </c>
      <c r="G56" s="121">
        <v>10302924.249118997</v>
      </c>
      <c r="I56" s="126">
        <v>2.0998999999999999</v>
      </c>
      <c r="J56" s="147">
        <f>+G56*I56</f>
        <v>21635110.630724981</v>
      </c>
      <c r="K56" s="147"/>
      <c r="L56" s="126">
        <f>L57+0.5</f>
        <v>2.3445</v>
      </c>
      <c r="M56" s="147">
        <f>+$G56*L56</f>
        <v>24155205.902059488</v>
      </c>
      <c r="N56" s="148">
        <v>1.1529</v>
      </c>
    </row>
    <row r="57" spans="1:17" x14ac:dyDescent="0.25">
      <c r="C57" s="143"/>
      <c r="D57" s="93" t="s">
        <v>114</v>
      </c>
      <c r="H57" s="121">
        <v>130945.24539062502</v>
      </c>
      <c r="I57" s="126">
        <v>1.5999000000000003</v>
      </c>
      <c r="J57" s="147">
        <f>+I57*H57</f>
        <v>209499.29810046102</v>
      </c>
      <c r="K57" s="147"/>
      <c r="L57" s="126">
        <f>ROUND(I57*$N$56,4)</f>
        <v>1.8445</v>
      </c>
      <c r="M57" s="147">
        <f>+$H57*L57</f>
        <v>241528.50512300784</v>
      </c>
      <c r="N57" s="147"/>
    </row>
    <row r="58" spans="1:17" x14ac:dyDescent="0.25">
      <c r="H58" s="134"/>
      <c r="Q58" s="145"/>
    </row>
    <row r="59" spans="1:17" x14ac:dyDescent="0.25">
      <c r="H59" s="134"/>
    </row>
    <row r="62" spans="1:17" x14ac:dyDescent="0.25">
      <c r="A62" s="66" t="s">
        <v>115</v>
      </c>
      <c r="C62" s="115" t="s">
        <v>116</v>
      </c>
    </row>
    <row r="63" spans="1:17" x14ac:dyDescent="0.25">
      <c r="D63" s="93" t="s">
        <v>117</v>
      </c>
      <c r="F63" s="93">
        <v>0</v>
      </c>
      <c r="I63" s="122">
        <v>400</v>
      </c>
      <c r="J63" s="124">
        <f>+F63*I63</f>
        <v>0</v>
      </c>
      <c r="K63" s="124"/>
      <c r="L63" s="124">
        <v>550</v>
      </c>
      <c r="M63" s="124">
        <f>+$F63*L63</f>
        <v>0</v>
      </c>
      <c r="N63" s="124"/>
    </row>
    <row r="64" spans="1:17" x14ac:dyDescent="0.25">
      <c r="D64" s="93" t="s">
        <v>118</v>
      </c>
      <c r="F64" s="93">
        <v>0</v>
      </c>
      <c r="I64" s="122">
        <v>75</v>
      </c>
      <c r="J64" s="124">
        <f>F64*I64</f>
        <v>0</v>
      </c>
      <c r="K64" s="124"/>
      <c r="L64" s="124">
        <v>75</v>
      </c>
      <c r="M64" s="124">
        <f>F64*L64</f>
        <v>0</v>
      </c>
      <c r="N64" s="124"/>
    </row>
    <row r="65" spans="3:16" x14ac:dyDescent="0.25">
      <c r="I65" s="122"/>
      <c r="J65" s="124"/>
      <c r="K65" s="124"/>
      <c r="L65" s="124"/>
      <c r="M65" s="124"/>
      <c r="N65" s="124"/>
    </row>
    <row r="66" spans="3:16" x14ac:dyDescent="0.25">
      <c r="D66" s="93" t="s">
        <v>112</v>
      </c>
    </row>
    <row r="67" spans="3:16" x14ac:dyDescent="0.25">
      <c r="D67" s="93" t="s">
        <v>113</v>
      </c>
      <c r="G67" s="93">
        <v>0</v>
      </c>
      <c r="I67" s="126">
        <v>2.0998999999999999</v>
      </c>
      <c r="J67" s="124">
        <f>+G67*I67</f>
        <v>0</v>
      </c>
      <c r="K67" s="149"/>
      <c r="L67" s="126">
        <f>L68+0.5</f>
        <v>2.3445</v>
      </c>
      <c r="M67" s="124">
        <f>+$G67*L67</f>
        <v>0</v>
      </c>
      <c r="N67" s="149"/>
    </row>
    <row r="68" spans="3:16" x14ac:dyDescent="0.25">
      <c r="D68" s="93" t="s">
        <v>114</v>
      </c>
      <c r="H68" s="93">
        <v>0</v>
      </c>
      <c r="I68" s="126">
        <v>1.5999000000000003</v>
      </c>
      <c r="J68" s="124">
        <f>+G68*I68</f>
        <v>0</v>
      </c>
      <c r="K68" s="149"/>
      <c r="L68" s="126">
        <f>ROUND(I68*$N$56,4)</f>
        <v>1.8445</v>
      </c>
      <c r="M68" s="124">
        <f>+$H68*L68</f>
        <v>0</v>
      </c>
      <c r="N68" s="149"/>
    </row>
    <row r="69" spans="3:16" x14ac:dyDescent="0.25">
      <c r="M69" s="124"/>
    </row>
    <row r="70" spans="3:16" x14ac:dyDescent="0.25">
      <c r="M70" s="124"/>
    </row>
    <row r="71" spans="3:16" x14ac:dyDescent="0.25">
      <c r="C71" s="115" t="s">
        <v>91</v>
      </c>
      <c r="D71" s="115"/>
      <c r="E71" s="115"/>
      <c r="F71" s="115"/>
      <c r="G71" s="129">
        <f>SUM(G56:G70)</f>
        <v>10302924.249118997</v>
      </c>
      <c r="H71" s="129">
        <f>SUM(H56:H70)</f>
        <v>130945.24539062502</v>
      </c>
      <c r="I71" s="115"/>
      <c r="J71" s="130">
        <f>SUM(J52:J70)</f>
        <v>33324522.244524445</v>
      </c>
      <c r="K71" s="130"/>
      <c r="L71" s="130"/>
      <c r="M71" s="123">
        <f>SUM(M52:M70)</f>
        <v>37298471.722881496</v>
      </c>
      <c r="N71" s="130"/>
      <c r="O71" s="123"/>
      <c r="P71" s="123"/>
    </row>
    <row r="72" spans="3:16" x14ac:dyDescent="0.25">
      <c r="C72" s="128"/>
      <c r="J72" s="130"/>
      <c r="K72" s="130"/>
      <c r="L72" s="130"/>
      <c r="M72" s="130"/>
      <c r="N72" s="130"/>
      <c r="O72" s="123"/>
      <c r="P72" s="123"/>
    </row>
    <row r="73" spans="3:16" x14ac:dyDescent="0.25">
      <c r="C73" s="131"/>
      <c r="D73" s="131" t="s">
        <v>92</v>
      </c>
      <c r="I73" s="132">
        <v>1.0000000001357694</v>
      </c>
      <c r="L73" s="133">
        <f>+I73</f>
        <v>1.0000000001357694</v>
      </c>
      <c r="N73" s="130"/>
      <c r="O73" s="123"/>
      <c r="P73" s="123"/>
    </row>
    <row r="74" spans="3:16" x14ac:dyDescent="0.25">
      <c r="C74" s="119"/>
      <c r="N74" s="130"/>
      <c r="O74" s="123"/>
      <c r="P74" s="123"/>
    </row>
    <row r="75" spans="3:16" x14ac:dyDescent="0.25">
      <c r="C75" s="93" t="s">
        <v>119</v>
      </c>
      <c r="J75" s="130">
        <f>J71/I73</f>
        <v>33324522.239999995</v>
      </c>
      <c r="M75" s="130">
        <f>M71/L73</f>
        <v>37298471.717817508</v>
      </c>
      <c r="N75" s="130"/>
      <c r="O75" s="123"/>
      <c r="P75" s="123"/>
    </row>
    <row r="76" spans="3:16" x14ac:dyDescent="0.25">
      <c r="C76" s="128"/>
      <c r="J76" s="150"/>
      <c r="K76" s="150"/>
      <c r="L76" s="150"/>
      <c r="M76" s="150"/>
      <c r="N76" s="150"/>
      <c r="O76" s="123"/>
      <c r="P76" s="123"/>
    </row>
    <row r="77" spans="3:16" x14ac:dyDescent="0.25">
      <c r="C77" s="119"/>
      <c r="N77" s="150"/>
      <c r="O77" s="123"/>
      <c r="P77" s="123"/>
    </row>
    <row r="78" spans="3:16" x14ac:dyDescent="0.25">
      <c r="D78" s="93" t="s">
        <v>94</v>
      </c>
      <c r="E78" s="100"/>
      <c r="F78" s="151"/>
      <c r="G78" s="121"/>
      <c r="H78" s="100"/>
      <c r="I78" s="126"/>
      <c r="J78" s="123">
        <v>5604313.1050721901</v>
      </c>
      <c r="K78" s="100"/>
      <c r="L78" s="127"/>
      <c r="M78" s="123">
        <f>J78</f>
        <v>5604313.1050721901</v>
      </c>
      <c r="N78" s="150"/>
      <c r="O78" s="123"/>
      <c r="P78" s="123"/>
    </row>
    <row r="79" spans="3:16" s="100" customFormat="1" x14ac:dyDescent="0.25">
      <c r="D79" s="93" t="s">
        <v>95</v>
      </c>
      <c r="E79" s="93"/>
      <c r="F79" s="93"/>
      <c r="G79" s="121"/>
      <c r="H79" s="121"/>
      <c r="I79" s="126"/>
      <c r="J79" s="123">
        <v>54544208.170732573</v>
      </c>
      <c r="K79" s="93"/>
      <c r="L79" s="127"/>
      <c r="M79" s="123">
        <f>J79</f>
        <v>54544208.170732573</v>
      </c>
    </row>
    <row r="80" spans="3:16" x14ac:dyDescent="0.25">
      <c r="D80" s="93" t="s">
        <v>96</v>
      </c>
      <c r="G80" s="121"/>
      <c r="H80" s="134"/>
      <c r="I80" s="126"/>
      <c r="J80" s="123">
        <v>1064923.1803175528</v>
      </c>
      <c r="K80" s="150"/>
      <c r="L80" s="127"/>
      <c r="M80" s="123">
        <f>J80</f>
        <v>1064923.1803175528</v>
      </c>
      <c r="N80" s="150"/>
      <c r="O80" s="123"/>
      <c r="P80" s="123"/>
    </row>
    <row r="81" spans="3:16" x14ac:dyDescent="0.25">
      <c r="G81" s="121"/>
      <c r="I81" s="126"/>
      <c r="J81" s="123"/>
      <c r="K81" s="150"/>
      <c r="L81" s="127"/>
      <c r="M81" s="123"/>
      <c r="N81" s="150"/>
      <c r="O81" s="123"/>
      <c r="P81" s="123"/>
    </row>
    <row r="82" spans="3:16" x14ac:dyDescent="0.25">
      <c r="G82" s="121"/>
      <c r="I82" s="126"/>
      <c r="J82" s="123"/>
      <c r="K82" s="150"/>
      <c r="L82" s="127"/>
      <c r="M82" s="123"/>
      <c r="N82" s="150"/>
      <c r="O82" s="123"/>
      <c r="P82" s="123"/>
    </row>
    <row r="83" spans="3:16" x14ac:dyDescent="0.25">
      <c r="C83" s="119"/>
      <c r="G83" s="152" t="s">
        <v>56</v>
      </c>
      <c r="J83" s="150"/>
      <c r="K83" s="150"/>
      <c r="L83" s="150"/>
      <c r="M83" s="150"/>
      <c r="N83" s="150"/>
      <c r="O83" s="123"/>
      <c r="P83" s="123"/>
    </row>
    <row r="84" spans="3:16" ht="16.5" thickBot="1" x14ac:dyDescent="0.3">
      <c r="C84" s="115" t="s">
        <v>120</v>
      </c>
      <c r="G84" s="152">
        <f>+G71+H71</f>
        <v>10433869.494509622</v>
      </c>
      <c r="J84" s="153">
        <f>SUM(J75:J80)</f>
        <v>94537966.696122319</v>
      </c>
      <c r="K84" s="130"/>
      <c r="L84" s="130"/>
      <c r="M84" s="153">
        <f>SUM(M75:M80)</f>
        <v>98511916.173939824</v>
      </c>
      <c r="N84" s="150"/>
      <c r="O84" s="123"/>
      <c r="P84" s="123"/>
    </row>
    <row r="85" spans="3:16" ht="17.25" thickTop="1" thickBot="1" x14ac:dyDescent="0.3">
      <c r="C85" s="119"/>
      <c r="G85" s="121"/>
      <c r="J85" s="150"/>
      <c r="K85" s="150"/>
      <c r="L85" s="150"/>
      <c r="M85" s="150"/>
      <c r="N85" s="150"/>
      <c r="O85" s="123"/>
      <c r="P85" s="123"/>
    </row>
    <row r="86" spans="3:16" ht="16.5" thickBot="1" x14ac:dyDescent="0.3">
      <c r="C86" s="139"/>
      <c r="D86" s="136" t="s">
        <v>98</v>
      </c>
      <c r="J86" s="150"/>
      <c r="K86" s="150"/>
      <c r="L86" s="150"/>
      <c r="M86" s="141">
        <f>M84-J84</f>
        <v>3973949.4778175056</v>
      </c>
      <c r="N86" s="138">
        <v>3974584.0422131279</v>
      </c>
      <c r="O86" s="93" t="s">
        <v>99</v>
      </c>
      <c r="P86" s="123"/>
    </row>
    <row r="87" spans="3:16" x14ac:dyDescent="0.25">
      <c r="C87" s="128"/>
      <c r="J87" s="150"/>
      <c r="K87" s="150"/>
      <c r="L87" s="150"/>
      <c r="M87" s="140">
        <f>M86/J84</f>
        <v>4.2035487082043473E-2</v>
      </c>
      <c r="N87" s="150">
        <f>N86-M86</f>
        <v>634.56439562235028</v>
      </c>
      <c r="O87" s="123"/>
      <c r="P87" s="123"/>
    </row>
    <row r="88" spans="3:16" x14ac:dyDescent="0.25">
      <c r="C88" s="115"/>
      <c r="J88" s="150"/>
      <c r="K88" s="150"/>
      <c r="L88" s="150"/>
      <c r="M88" s="150"/>
      <c r="N88" s="150"/>
      <c r="O88" s="123"/>
      <c r="P88" s="123"/>
    </row>
    <row r="89" spans="3:16" x14ac:dyDescent="0.25">
      <c r="C89" s="90" t="s">
        <v>20</v>
      </c>
      <c r="D89" s="91"/>
      <c r="E89" s="91"/>
      <c r="F89" s="91"/>
      <c r="G89" s="91"/>
      <c r="H89" s="91"/>
      <c r="I89" s="91"/>
      <c r="J89" s="92"/>
      <c r="K89" s="66"/>
      <c r="M89" s="94" t="s">
        <v>100</v>
      </c>
    </row>
    <row r="90" spans="3:16" x14ac:dyDescent="0.25">
      <c r="C90" s="95" t="s">
        <v>22</v>
      </c>
      <c r="D90" s="91"/>
      <c r="E90" s="91"/>
      <c r="F90" s="91"/>
      <c r="G90" s="91"/>
      <c r="H90" s="91"/>
      <c r="I90" s="91"/>
      <c r="J90" s="92"/>
      <c r="K90" s="66"/>
      <c r="M90" s="94" t="s">
        <v>121</v>
      </c>
    </row>
    <row r="91" spans="3:16" x14ac:dyDescent="0.25">
      <c r="C91" s="95" t="s">
        <v>24</v>
      </c>
      <c r="D91" s="91"/>
      <c r="E91" s="91"/>
      <c r="F91" s="91"/>
      <c r="G91" s="91"/>
      <c r="H91" s="91"/>
      <c r="I91" s="91"/>
      <c r="J91" s="92"/>
      <c r="K91" s="66"/>
      <c r="M91" s="96" t="s">
        <v>102</v>
      </c>
    </row>
    <row r="94" spans="3:16" ht="16.5" thickBot="1" x14ac:dyDescent="0.3">
      <c r="J94" s="99" t="s">
        <v>78</v>
      </c>
      <c r="K94" s="99"/>
      <c r="L94" s="187" t="s">
        <v>79</v>
      </c>
      <c r="M94" s="187"/>
    </row>
    <row r="95" spans="3:16" x14ac:dyDescent="0.25">
      <c r="J95" s="99" t="s">
        <v>63</v>
      </c>
      <c r="K95" s="99"/>
      <c r="L95" s="101"/>
      <c r="M95" s="101"/>
    </row>
    <row r="96" spans="3:16" x14ac:dyDescent="0.25">
      <c r="F96" s="102"/>
      <c r="G96" s="103"/>
      <c r="H96" s="103" t="s">
        <v>103</v>
      </c>
      <c r="I96" s="99" t="s">
        <v>80</v>
      </c>
      <c r="J96" s="105" t="s">
        <v>81</v>
      </c>
      <c r="K96" s="105"/>
      <c r="L96" s="103" t="s">
        <v>82</v>
      </c>
      <c r="M96" s="106" t="s">
        <v>78</v>
      </c>
    </row>
    <row r="97" spans="1:17" ht="16.5" thickBot="1" x14ac:dyDescent="0.3">
      <c r="C97" s="107" t="s">
        <v>26</v>
      </c>
      <c r="D97" s="107"/>
      <c r="E97" s="107"/>
      <c r="F97" s="108" t="s">
        <v>104</v>
      </c>
      <c r="G97" s="109" t="s">
        <v>83</v>
      </c>
      <c r="H97" s="109" t="s">
        <v>83</v>
      </c>
      <c r="I97" s="142" t="s">
        <v>84</v>
      </c>
      <c r="J97" s="142" t="s">
        <v>84</v>
      </c>
      <c r="K97" s="110"/>
      <c r="L97" s="111" t="s">
        <v>85</v>
      </c>
      <c r="M97" s="109" t="s">
        <v>63</v>
      </c>
    </row>
    <row r="98" spans="1:17" x14ac:dyDescent="0.25">
      <c r="C98" s="115"/>
      <c r="D98" s="115"/>
      <c r="E98" s="115"/>
      <c r="F98" s="115"/>
      <c r="G98" s="115"/>
    </row>
    <row r="99" spans="1:17" ht="18.75" x14ac:dyDescent="0.3">
      <c r="C99" s="114" t="s">
        <v>122</v>
      </c>
      <c r="E99" s="115"/>
      <c r="F99" s="115"/>
      <c r="G99" s="115"/>
    </row>
    <row r="100" spans="1:17" x14ac:dyDescent="0.25">
      <c r="C100" s="116"/>
      <c r="D100" s="117"/>
      <c r="E100" s="116"/>
      <c r="F100" s="116"/>
      <c r="G100" s="116"/>
    </row>
    <row r="101" spans="1:17" x14ac:dyDescent="0.25">
      <c r="A101" s="66" t="s">
        <v>123</v>
      </c>
      <c r="C101" s="115" t="s">
        <v>124</v>
      </c>
    </row>
    <row r="102" spans="1:17" x14ac:dyDescent="0.25">
      <c r="C102" s="115"/>
      <c r="D102" s="119" t="s">
        <v>108</v>
      </c>
    </row>
    <row r="103" spans="1:17" x14ac:dyDescent="0.25">
      <c r="A103" s="66" t="s">
        <v>125</v>
      </c>
      <c r="B103" s="154"/>
      <c r="C103" s="143"/>
      <c r="D103" s="144" t="s">
        <v>110</v>
      </c>
      <c r="F103" s="121">
        <v>1637.3200729927007</v>
      </c>
      <c r="G103" s="134"/>
      <c r="I103" s="122">
        <v>35</v>
      </c>
      <c r="J103" s="123">
        <f>+F103*I103</f>
        <v>57306.202554744523</v>
      </c>
      <c r="K103" s="123"/>
      <c r="L103" s="124">
        <v>40</v>
      </c>
      <c r="M103" s="123">
        <f>+$F103*L103</f>
        <v>65492.802919708032</v>
      </c>
      <c r="N103" s="123"/>
    </row>
    <row r="104" spans="1:17" x14ac:dyDescent="0.25">
      <c r="B104" s="154"/>
      <c r="C104" s="143"/>
      <c r="D104" s="144" t="s">
        <v>111</v>
      </c>
      <c r="F104" s="121">
        <v>1381.594890510949</v>
      </c>
      <c r="G104" s="134"/>
      <c r="I104" s="122">
        <v>175</v>
      </c>
      <c r="J104" s="123">
        <f>+F104*I104</f>
        <v>241779.10583941606</v>
      </c>
      <c r="K104" s="123"/>
      <c r="L104" s="124">
        <v>180</v>
      </c>
      <c r="M104" s="123">
        <f>+$F104*L104</f>
        <v>248687.08029197081</v>
      </c>
      <c r="N104" s="123"/>
    </row>
    <row r="105" spans="1:17" x14ac:dyDescent="0.25">
      <c r="F105" s="134"/>
    </row>
    <row r="106" spans="1:17" x14ac:dyDescent="0.25">
      <c r="D106" s="93" t="s">
        <v>112</v>
      </c>
      <c r="G106" s="134"/>
      <c r="I106" s="126"/>
    </row>
    <row r="107" spans="1:17" x14ac:dyDescent="0.25">
      <c r="D107" s="93" t="s">
        <v>113</v>
      </c>
      <c r="G107" s="121">
        <v>1049940.7703776625</v>
      </c>
      <c r="I107" s="126">
        <v>2.1452</v>
      </c>
      <c r="J107" s="147">
        <f>+G107*I107</f>
        <v>2252332.9406141615</v>
      </c>
      <c r="K107" s="147"/>
      <c r="L107" s="126">
        <f>ROUND(I107*$N$107,4)</f>
        <v>2.4304999999999999</v>
      </c>
      <c r="M107" s="147">
        <f>+$G107*L107</f>
        <v>2551881.0424029087</v>
      </c>
      <c r="N107" s="148">
        <v>1.133</v>
      </c>
      <c r="Q107" s="82">
        <f>(+L107-I107)/I107</f>
        <v>0.13299459257878049</v>
      </c>
    </row>
    <row r="108" spans="1:17" x14ac:dyDescent="0.25">
      <c r="D108" s="93" t="s">
        <v>114</v>
      </c>
      <c r="E108" s="139"/>
      <c r="F108" s="139"/>
      <c r="H108" s="121">
        <v>148412.19021402957</v>
      </c>
      <c r="I108" s="126">
        <v>1.6452</v>
      </c>
      <c r="J108" s="147">
        <f>+I108*H108</f>
        <v>244167.73534012146</v>
      </c>
      <c r="K108" s="147"/>
      <c r="L108" s="126">
        <f>L107-0.5</f>
        <v>1.9304999999999999</v>
      </c>
      <c r="M108" s="147">
        <f>+$H108*L108</f>
        <v>286509.73320818407</v>
      </c>
      <c r="N108" s="147"/>
    </row>
    <row r="109" spans="1:17" x14ac:dyDescent="0.25">
      <c r="H109" s="134"/>
    </row>
    <row r="110" spans="1:17" x14ac:dyDescent="0.25">
      <c r="H110" s="134"/>
    </row>
    <row r="111" spans="1:17" x14ac:dyDescent="0.25">
      <c r="H111" s="134"/>
    </row>
    <row r="112" spans="1:17" x14ac:dyDescent="0.25">
      <c r="H112" s="134"/>
      <c r="J112" s="147"/>
      <c r="K112" s="147"/>
      <c r="N112" s="147"/>
    </row>
    <row r="113" spans="1:16" x14ac:dyDescent="0.25">
      <c r="A113" s="66" t="s">
        <v>115</v>
      </c>
      <c r="C113" s="115" t="s">
        <v>126</v>
      </c>
      <c r="H113" s="134"/>
    </row>
    <row r="114" spans="1:16" x14ac:dyDescent="0.25">
      <c r="D114" s="93" t="s">
        <v>117</v>
      </c>
      <c r="F114" s="93">
        <v>24</v>
      </c>
      <c r="I114" s="122">
        <v>400</v>
      </c>
      <c r="J114" s="147">
        <f>+F114*I114</f>
        <v>9600</v>
      </c>
      <c r="K114" s="147"/>
      <c r="L114" s="124">
        <v>550</v>
      </c>
      <c r="M114" s="123">
        <f>+$F114*L114</f>
        <v>13200</v>
      </c>
      <c r="N114" s="147"/>
    </row>
    <row r="115" spans="1:16" x14ac:dyDescent="0.25">
      <c r="D115" s="93" t="s">
        <v>118</v>
      </c>
      <c r="F115" s="93">
        <f>F114</f>
        <v>24</v>
      </c>
      <c r="I115" s="122">
        <v>75</v>
      </c>
      <c r="J115" s="15">
        <f>F115*I115</f>
        <v>1800</v>
      </c>
      <c r="K115" s="122"/>
      <c r="L115" s="122">
        <v>75</v>
      </c>
      <c r="M115" s="123">
        <f>+$F115*L115</f>
        <v>1800</v>
      </c>
    </row>
    <row r="116" spans="1:16" x14ac:dyDescent="0.25">
      <c r="I116" s="122"/>
      <c r="J116" s="15"/>
      <c r="K116" s="122"/>
      <c r="L116" s="122"/>
      <c r="M116" s="123"/>
    </row>
    <row r="117" spans="1:16" x14ac:dyDescent="0.25">
      <c r="D117" s="93" t="s">
        <v>112</v>
      </c>
      <c r="G117" s="134"/>
    </row>
    <row r="118" spans="1:16" x14ac:dyDescent="0.25">
      <c r="C118" s="143"/>
      <c r="D118" s="93" t="s">
        <v>113</v>
      </c>
      <c r="G118" s="121">
        <v>90218.786960608777</v>
      </c>
      <c r="H118" s="121"/>
      <c r="I118" s="126">
        <v>2.1452</v>
      </c>
      <c r="J118" s="147">
        <f>+G118*I118</f>
        <v>193537.34178789795</v>
      </c>
      <c r="K118" s="147"/>
      <c r="L118" s="149">
        <f>L107</f>
        <v>2.4304999999999999</v>
      </c>
      <c r="M118" s="147">
        <f>+$G118*L118</f>
        <v>219276.76170775961</v>
      </c>
      <c r="N118" s="147"/>
    </row>
    <row r="119" spans="1:16" x14ac:dyDescent="0.25">
      <c r="C119" s="143"/>
      <c r="D119" s="93" t="s">
        <v>114</v>
      </c>
      <c r="E119" s="139"/>
      <c r="F119" s="139"/>
      <c r="H119" s="121">
        <v>46853.737673164258</v>
      </c>
      <c r="I119" s="126">
        <v>1.6452</v>
      </c>
      <c r="J119" s="147">
        <f>+I119*H119</f>
        <v>77083.769219889844</v>
      </c>
      <c r="K119" s="147"/>
      <c r="L119" s="149">
        <f>L108</f>
        <v>1.9304999999999999</v>
      </c>
      <c r="M119" s="147">
        <f>+$H119*L119</f>
        <v>90451.140578043589</v>
      </c>
      <c r="N119" s="147"/>
    </row>
    <row r="120" spans="1:16" x14ac:dyDescent="0.25">
      <c r="H120" s="134"/>
    </row>
    <row r="122" spans="1:16" x14ac:dyDescent="0.25">
      <c r="C122" s="115" t="s">
        <v>91</v>
      </c>
      <c r="D122" s="115"/>
      <c r="E122" s="115"/>
      <c r="F122" s="115"/>
      <c r="G122" s="129">
        <f>SUM(G107:G120)</f>
        <v>1140159.5573382713</v>
      </c>
      <c r="H122" s="129">
        <f>SUM(H107:H120)</f>
        <v>195265.92788719383</v>
      </c>
      <c r="I122" s="115"/>
      <c r="J122" s="130">
        <f>ROUND(SUM(J103:J121),0)</f>
        <v>3077607</v>
      </c>
      <c r="K122" s="130"/>
      <c r="L122" s="130"/>
      <c r="M122" s="130">
        <f>SUM(M103:M121)</f>
        <v>3477298.5611085747</v>
      </c>
      <c r="N122" s="130"/>
      <c r="O122" s="123"/>
      <c r="P122" s="124"/>
    </row>
    <row r="123" spans="1:16" x14ac:dyDescent="0.25">
      <c r="C123" s="128"/>
      <c r="J123" s="130"/>
      <c r="K123" s="130"/>
      <c r="L123" s="130"/>
      <c r="M123" s="130"/>
      <c r="N123" s="130"/>
      <c r="O123" s="123"/>
      <c r="P123" s="124"/>
    </row>
    <row r="124" spans="1:16" x14ac:dyDescent="0.25">
      <c r="C124" s="131"/>
      <c r="D124" s="131" t="s">
        <v>92</v>
      </c>
      <c r="I124" s="132">
        <v>1</v>
      </c>
      <c r="L124" s="133">
        <f>+I124</f>
        <v>1</v>
      </c>
      <c r="N124" s="130"/>
      <c r="O124" s="123"/>
      <c r="P124" s="124"/>
    </row>
    <row r="125" spans="1:16" x14ac:dyDescent="0.25">
      <c r="C125" s="119"/>
      <c r="N125" s="130"/>
      <c r="O125" s="123"/>
      <c r="P125" s="124"/>
    </row>
    <row r="126" spans="1:16" x14ac:dyDescent="0.25">
      <c r="C126" s="93" t="s">
        <v>127</v>
      </c>
      <c r="J126" s="130">
        <f>ROUND(J122/I124,0)</f>
        <v>3077607</v>
      </c>
      <c r="M126" s="130">
        <f>M122/L124</f>
        <v>3477298.5611085747</v>
      </c>
      <c r="N126" s="130"/>
      <c r="O126" s="123"/>
      <c r="P126" s="124"/>
    </row>
    <row r="127" spans="1:16" x14ac:dyDescent="0.25">
      <c r="J127" s="130"/>
      <c r="M127" s="130"/>
      <c r="N127" s="130"/>
      <c r="O127" s="123"/>
      <c r="P127" s="124"/>
    </row>
    <row r="128" spans="1:16" x14ac:dyDescent="0.25">
      <c r="C128" s="128"/>
      <c r="J128" s="150"/>
      <c r="K128" s="150"/>
      <c r="L128" s="150"/>
      <c r="M128" s="150"/>
      <c r="N128" s="130"/>
      <c r="O128" s="123"/>
      <c r="P128" s="124"/>
    </row>
    <row r="129" spans="3:16" x14ac:dyDescent="0.25">
      <c r="C129" s="119"/>
      <c r="D129" s="93" t="s">
        <v>94</v>
      </c>
      <c r="F129" s="134"/>
      <c r="G129" s="66"/>
      <c r="I129" s="155"/>
      <c r="J129" s="150">
        <v>378797.77661860007</v>
      </c>
      <c r="K129" s="150"/>
      <c r="L129" s="156"/>
      <c r="M129" s="150">
        <f>J129</f>
        <v>378797.77661860007</v>
      </c>
      <c r="N129" s="130"/>
      <c r="O129" s="123"/>
      <c r="P129" s="124"/>
    </row>
    <row r="130" spans="3:16" x14ac:dyDescent="0.25">
      <c r="D130" s="93" t="s">
        <v>95</v>
      </c>
      <c r="G130" s="121"/>
      <c r="H130" s="134"/>
      <c r="I130" s="157"/>
      <c r="J130" s="150">
        <v>6048392.5700722197</v>
      </c>
      <c r="L130" s="158"/>
      <c r="M130" s="123">
        <f>J130</f>
        <v>6048392.5700722197</v>
      </c>
      <c r="N130" s="130"/>
      <c r="O130" s="123"/>
      <c r="P130" s="124"/>
    </row>
    <row r="131" spans="3:16" x14ac:dyDescent="0.25">
      <c r="G131" s="121"/>
      <c r="I131" s="126"/>
      <c r="J131" s="123"/>
      <c r="K131" s="150"/>
      <c r="L131" s="127"/>
      <c r="M131" s="123"/>
      <c r="N131" s="130"/>
      <c r="O131" s="123"/>
      <c r="P131" s="124"/>
    </row>
    <row r="132" spans="3:16" x14ac:dyDescent="0.25">
      <c r="C132" s="119"/>
      <c r="G132" s="97" t="s">
        <v>56</v>
      </c>
      <c r="J132" s="150"/>
      <c r="K132" s="150"/>
      <c r="L132" s="150"/>
      <c r="M132" s="150"/>
      <c r="N132" s="130"/>
      <c r="O132" s="123"/>
      <c r="P132" s="124"/>
    </row>
    <row r="133" spans="3:16" ht="16.5" thickBot="1" x14ac:dyDescent="0.3">
      <c r="C133" s="115" t="s">
        <v>128</v>
      </c>
      <c r="G133" s="152">
        <f>+G122+H122</f>
        <v>1335425.4852254651</v>
      </c>
      <c r="J133" s="153">
        <f>SUM(J126:J130)</f>
        <v>9504797.3466908187</v>
      </c>
      <c r="K133" s="130"/>
      <c r="L133" s="130"/>
      <c r="M133" s="153">
        <f>SUM(M126:M130)</f>
        <v>9904488.9077993948</v>
      </c>
      <c r="N133" s="130"/>
      <c r="O133" s="123"/>
      <c r="P133" s="124"/>
    </row>
    <row r="134" spans="3:16" ht="17.25" thickTop="1" thickBot="1" x14ac:dyDescent="0.3">
      <c r="C134" s="119"/>
      <c r="J134" s="150"/>
      <c r="K134" s="150"/>
      <c r="L134" s="150"/>
      <c r="M134" s="150"/>
      <c r="N134" s="130"/>
      <c r="O134" s="123"/>
      <c r="P134" s="124"/>
    </row>
    <row r="135" spans="3:16" ht="16.5" thickBot="1" x14ac:dyDescent="0.3">
      <c r="C135" s="139"/>
      <c r="D135" s="136" t="s">
        <v>98</v>
      </c>
      <c r="J135" s="150"/>
      <c r="K135" s="150"/>
      <c r="L135" s="150"/>
      <c r="M135" s="141">
        <f>M133-J133</f>
        <v>399691.56110857613</v>
      </c>
      <c r="N135" s="138">
        <v>399602.53817499802</v>
      </c>
      <c r="O135" s="93" t="s">
        <v>99</v>
      </c>
      <c r="P135" s="124"/>
    </row>
    <row r="136" spans="3:16" x14ac:dyDescent="0.25">
      <c r="C136" s="128"/>
      <c r="J136" s="150"/>
      <c r="K136" s="150"/>
      <c r="L136" s="150"/>
      <c r="M136" s="140">
        <f>M135/J133</f>
        <v>4.2051560546709853E-2</v>
      </c>
      <c r="N136" s="130">
        <f>N135-M135</f>
        <v>-89.022933578118682</v>
      </c>
      <c r="O136" s="123"/>
      <c r="P136" s="124"/>
    </row>
    <row r="137" spans="3:16" x14ac:dyDescent="0.25">
      <c r="C137" s="90" t="s">
        <v>20</v>
      </c>
      <c r="D137" s="91"/>
      <c r="E137" s="91"/>
      <c r="F137" s="91"/>
      <c r="G137" s="91"/>
      <c r="H137" s="91"/>
      <c r="I137" s="91"/>
      <c r="J137" s="92"/>
      <c r="K137" s="66"/>
      <c r="M137" s="94" t="s">
        <v>100</v>
      </c>
      <c r="N137" s="130"/>
      <c r="O137" s="123"/>
      <c r="P137" s="124"/>
    </row>
    <row r="138" spans="3:16" x14ac:dyDescent="0.25">
      <c r="C138" s="95" t="s">
        <v>22</v>
      </c>
      <c r="D138" s="91"/>
      <c r="E138" s="91"/>
      <c r="F138" s="91"/>
      <c r="G138" s="91"/>
      <c r="H138" s="91"/>
      <c r="I138" s="91"/>
      <c r="J138" s="92"/>
      <c r="K138" s="66"/>
      <c r="M138" s="94" t="s">
        <v>129</v>
      </c>
      <c r="N138" s="130"/>
      <c r="O138" s="123"/>
      <c r="P138" s="124"/>
    </row>
    <row r="139" spans="3:16" x14ac:dyDescent="0.25">
      <c r="C139" s="95" t="s">
        <v>24</v>
      </c>
      <c r="D139" s="91"/>
      <c r="E139" s="91"/>
      <c r="F139" s="91"/>
      <c r="G139" s="91"/>
      <c r="H139" s="91"/>
      <c r="I139" s="91"/>
      <c r="J139" s="92"/>
      <c r="K139" s="66"/>
      <c r="M139" s="96" t="s">
        <v>102</v>
      </c>
      <c r="N139" s="130"/>
      <c r="O139" s="123"/>
      <c r="P139" s="124"/>
    </row>
    <row r="140" spans="3:16" x14ac:dyDescent="0.25">
      <c r="N140" s="130"/>
      <c r="O140" s="123"/>
      <c r="P140" s="124"/>
    </row>
    <row r="141" spans="3:16" x14ac:dyDescent="0.25">
      <c r="N141" s="130"/>
      <c r="O141" s="123"/>
      <c r="P141" s="124"/>
    </row>
    <row r="142" spans="3:16" ht="16.5" thickBot="1" x14ac:dyDescent="0.3">
      <c r="J142" s="99" t="s">
        <v>78</v>
      </c>
      <c r="K142" s="99"/>
      <c r="L142" s="187" t="s">
        <v>79</v>
      </c>
      <c r="M142" s="187"/>
      <c r="N142" s="130"/>
      <c r="O142" s="123"/>
      <c r="P142" s="124"/>
    </row>
    <row r="143" spans="3:16" x14ac:dyDescent="0.25">
      <c r="J143" s="99" t="s">
        <v>63</v>
      </c>
      <c r="K143" s="99"/>
      <c r="L143" s="101"/>
      <c r="M143" s="101"/>
      <c r="N143" s="130"/>
      <c r="O143" s="123"/>
      <c r="P143" s="124"/>
    </row>
    <row r="144" spans="3:16" x14ac:dyDescent="0.25">
      <c r="F144" s="102"/>
      <c r="G144" s="103"/>
      <c r="H144" s="103" t="s">
        <v>103</v>
      </c>
      <c r="I144" s="99" t="s">
        <v>80</v>
      </c>
      <c r="J144" s="105" t="s">
        <v>81</v>
      </c>
      <c r="K144" s="105"/>
      <c r="L144" s="103" t="s">
        <v>82</v>
      </c>
      <c r="M144" s="106" t="s">
        <v>78</v>
      </c>
      <c r="N144" s="130"/>
      <c r="O144" s="123"/>
      <c r="P144" s="124"/>
    </row>
    <row r="145" spans="1:16" ht="16.5" thickBot="1" x14ac:dyDescent="0.3">
      <c r="C145" s="107" t="s">
        <v>26</v>
      </c>
      <c r="D145" s="107"/>
      <c r="E145" s="107"/>
      <c r="F145" s="108" t="s">
        <v>104</v>
      </c>
      <c r="G145" s="109" t="s">
        <v>83</v>
      </c>
      <c r="H145" s="109" t="s">
        <v>83</v>
      </c>
      <c r="I145" s="142" t="s">
        <v>84</v>
      </c>
      <c r="J145" s="142" t="s">
        <v>84</v>
      </c>
      <c r="K145" s="110"/>
      <c r="L145" s="111" t="s">
        <v>85</v>
      </c>
      <c r="M145" s="109" t="s">
        <v>63</v>
      </c>
      <c r="N145" s="130"/>
      <c r="O145" s="123"/>
      <c r="P145" s="124"/>
    </row>
    <row r="147" spans="1:16" ht="18.75" x14ac:dyDescent="0.3">
      <c r="C147" s="159" t="s">
        <v>130</v>
      </c>
    </row>
    <row r="149" spans="1:16" x14ac:dyDescent="0.25">
      <c r="A149" s="66" t="s">
        <v>131</v>
      </c>
      <c r="C149" s="128" t="s">
        <v>132</v>
      </c>
    </row>
    <row r="150" spans="1:16" x14ac:dyDescent="0.25">
      <c r="A150" s="160" t="s">
        <v>133</v>
      </c>
      <c r="D150" s="119" t="s">
        <v>89</v>
      </c>
      <c r="F150" s="121">
        <v>68.727272727272734</v>
      </c>
      <c r="I150" s="122">
        <v>275</v>
      </c>
      <c r="J150" s="147">
        <f>+F150*I150</f>
        <v>18900</v>
      </c>
      <c r="K150" s="147"/>
      <c r="L150" s="124">
        <v>400</v>
      </c>
      <c r="M150" s="123">
        <f>+$F150*L150</f>
        <v>27490.909090909092</v>
      </c>
      <c r="N150" s="147">
        <f>L150-I150</f>
        <v>125</v>
      </c>
    </row>
    <row r="151" spans="1:16" x14ac:dyDescent="0.25">
      <c r="G151" s="134"/>
    </row>
    <row r="152" spans="1:16" x14ac:dyDescent="0.25">
      <c r="D152" s="93" t="s">
        <v>112</v>
      </c>
      <c r="G152" s="121">
        <v>398823.67877300608</v>
      </c>
      <c r="I152" s="126">
        <v>0.60860000000000003</v>
      </c>
      <c r="J152" s="147">
        <f>+G152*I152</f>
        <v>242724.0909012515</v>
      </c>
      <c r="K152" s="147"/>
      <c r="L152" s="149">
        <f>ROUND(I152*N152,4)</f>
        <v>0.82850000000000001</v>
      </c>
      <c r="M152" s="147">
        <f>+$G152*L152</f>
        <v>330425.41786343552</v>
      </c>
      <c r="N152" s="161">
        <v>1.3613</v>
      </c>
    </row>
    <row r="154" spans="1:16" x14ac:dyDescent="0.25">
      <c r="C154" s="112"/>
      <c r="E154" s="162"/>
      <c r="F154" s="162"/>
      <c r="G154" s="162"/>
      <c r="J154" s="123"/>
      <c r="K154" s="123"/>
      <c r="L154" s="123"/>
      <c r="M154" s="123"/>
      <c r="N154" s="123"/>
    </row>
    <row r="155" spans="1:16" x14ac:dyDescent="0.25">
      <c r="C155" s="115" t="s">
        <v>134</v>
      </c>
      <c r="H155" s="134"/>
      <c r="N155" s="123"/>
    </row>
    <row r="156" spans="1:16" x14ac:dyDescent="0.25">
      <c r="D156" s="93" t="s">
        <v>117</v>
      </c>
      <c r="F156" s="93">
        <v>24</v>
      </c>
      <c r="I156" s="122">
        <v>400</v>
      </c>
      <c r="J156" s="147">
        <f>+F156*I156</f>
        <v>9600</v>
      </c>
      <c r="K156" s="147"/>
      <c r="L156" s="124">
        <v>550</v>
      </c>
      <c r="M156" s="123">
        <f>+$F156*L156</f>
        <v>13200</v>
      </c>
      <c r="N156" s="123"/>
    </row>
    <row r="157" spans="1:16" s="100" customFormat="1" x14ac:dyDescent="0.25">
      <c r="D157" s="93" t="s">
        <v>135</v>
      </c>
    </row>
    <row r="158" spans="1:16" s="100" customFormat="1" x14ac:dyDescent="0.25">
      <c r="D158" s="93" t="s">
        <v>118</v>
      </c>
      <c r="F158" s="100">
        <v>0</v>
      </c>
      <c r="I158" s="122">
        <v>75</v>
      </c>
      <c r="J158" s="147">
        <f>F158*I158</f>
        <v>0</v>
      </c>
      <c r="L158" s="124">
        <v>75</v>
      </c>
      <c r="M158" s="123">
        <f>F158*L158</f>
        <v>0</v>
      </c>
    </row>
    <row r="159" spans="1:16" s="100" customFormat="1" x14ac:dyDescent="0.25"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1:16" s="100" customFormat="1" x14ac:dyDescent="0.25">
      <c r="D160" s="93" t="s">
        <v>136</v>
      </c>
      <c r="G160" s="100">
        <v>0</v>
      </c>
      <c r="I160" s="126">
        <f>I152</f>
        <v>0.60860000000000003</v>
      </c>
      <c r="J160" s="163">
        <f>G160*I160</f>
        <v>0</v>
      </c>
      <c r="L160" s="149">
        <f>L152</f>
        <v>0.82850000000000001</v>
      </c>
      <c r="M160" s="123">
        <f>G160*L160</f>
        <v>0</v>
      </c>
    </row>
    <row r="161" spans="3:18" s="100" customFormat="1" x14ac:dyDescent="0.25">
      <c r="D161" s="93"/>
    </row>
    <row r="163" spans="3:18" x14ac:dyDescent="0.25">
      <c r="C163" s="115" t="s">
        <v>91</v>
      </c>
      <c r="D163" s="115"/>
      <c r="E163" s="115"/>
      <c r="F163" s="115"/>
      <c r="G163" s="129">
        <f>SUM(G152:G162)</f>
        <v>398823.67877300608</v>
      </c>
      <c r="J163" s="130">
        <f>SUM(J150:J162)</f>
        <v>271224.09090125153</v>
      </c>
      <c r="K163" s="130"/>
      <c r="L163" s="130"/>
      <c r="M163" s="130">
        <f>SUM(M150:M162)</f>
        <v>371116.32695434464</v>
      </c>
      <c r="N163" s="130"/>
      <c r="O163" s="123"/>
      <c r="P163" s="123"/>
    </row>
    <row r="164" spans="3:18" x14ac:dyDescent="0.25">
      <c r="C164" s="128"/>
      <c r="J164" s="130"/>
      <c r="K164" s="130"/>
      <c r="L164" s="130"/>
      <c r="M164" s="130"/>
      <c r="N164" s="130"/>
      <c r="O164" s="123"/>
      <c r="P164" s="123"/>
    </row>
    <row r="165" spans="3:18" x14ac:dyDescent="0.25">
      <c r="C165" s="131"/>
      <c r="D165" s="131" t="s">
        <v>92</v>
      </c>
      <c r="I165" s="132">
        <v>1.000000003322904</v>
      </c>
      <c r="L165" s="133">
        <f>+I165</f>
        <v>1.000000003322904</v>
      </c>
      <c r="N165" s="130"/>
      <c r="O165" s="123"/>
      <c r="P165" s="123"/>
    </row>
    <row r="166" spans="3:18" x14ac:dyDescent="0.25">
      <c r="C166" s="119"/>
      <c r="N166" s="130"/>
      <c r="O166" s="123"/>
      <c r="P166" s="123"/>
    </row>
    <row r="167" spans="3:18" x14ac:dyDescent="0.25">
      <c r="C167" s="93" t="s">
        <v>137</v>
      </c>
      <c r="J167" s="130">
        <f>J163/I165</f>
        <v>271224.08999999991</v>
      </c>
      <c r="M167" s="130">
        <f>M163/L165</f>
        <v>371116.32572116074</v>
      </c>
      <c r="N167" s="130"/>
      <c r="O167" s="123"/>
      <c r="P167" s="123"/>
    </row>
    <row r="168" spans="3:18" x14ac:dyDescent="0.25">
      <c r="C168" s="128"/>
      <c r="J168" s="150"/>
      <c r="K168" s="150"/>
      <c r="L168" s="150"/>
      <c r="M168" s="150"/>
      <c r="N168" s="150"/>
      <c r="O168" s="123"/>
      <c r="P168" s="123"/>
    </row>
    <row r="169" spans="3:18" x14ac:dyDescent="0.25">
      <c r="C169" s="128"/>
      <c r="J169" s="150"/>
      <c r="K169" s="150"/>
      <c r="L169" s="150"/>
      <c r="M169" s="150"/>
      <c r="N169" s="150"/>
      <c r="O169" s="123"/>
      <c r="P169" s="123"/>
    </row>
    <row r="170" spans="3:18" x14ac:dyDescent="0.25">
      <c r="D170" s="93" t="s">
        <v>94</v>
      </c>
      <c r="F170" s="134"/>
      <c r="G170" s="134"/>
      <c r="I170" s="164"/>
      <c r="J170" s="150">
        <v>123109.66118627461</v>
      </c>
      <c r="K170" s="150"/>
      <c r="L170" s="150"/>
      <c r="M170" s="150">
        <f>J170</f>
        <v>123109.66118627461</v>
      </c>
      <c r="N170" s="150"/>
      <c r="O170" s="123"/>
      <c r="P170" s="123"/>
    </row>
    <row r="171" spans="3:18" x14ac:dyDescent="0.25">
      <c r="D171" s="93" t="s">
        <v>95</v>
      </c>
      <c r="F171" s="134"/>
      <c r="G171" s="134"/>
      <c r="I171" s="157"/>
      <c r="J171" s="150">
        <v>1975025.576721976</v>
      </c>
      <c r="L171" s="158"/>
      <c r="M171" s="123">
        <f>J171</f>
        <v>1975025.576721976</v>
      </c>
      <c r="N171" s="150"/>
      <c r="O171" s="123"/>
      <c r="P171" s="123"/>
    </row>
    <row r="172" spans="3:18" x14ac:dyDescent="0.25">
      <c r="D172" s="93" t="s">
        <v>96</v>
      </c>
      <c r="G172" s="134"/>
      <c r="I172" s="157"/>
      <c r="J172" s="150">
        <v>6736.7541230213865</v>
      </c>
      <c r="K172" s="150"/>
      <c r="L172" s="158"/>
      <c r="M172" s="123">
        <f>J172</f>
        <v>6736.7541230213865</v>
      </c>
      <c r="N172" s="150"/>
      <c r="O172" s="123"/>
      <c r="P172" s="123"/>
    </row>
    <row r="173" spans="3:18" x14ac:dyDescent="0.25">
      <c r="C173" s="119"/>
      <c r="J173" s="150"/>
      <c r="K173" s="150"/>
      <c r="L173" s="150"/>
      <c r="M173" s="150"/>
      <c r="N173" s="150"/>
      <c r="O173" s="123"/>
      <c r="P173" s="123"/>
    </row>
    <row r="174" spans="3:18" ht="16.5" thickBot="1" x14ac:dyDescent="0.3">
      <c r="C174" s="115" t="s">
        <v>138</v>
      </c>
      <c r="J174" s="153">
        <f>SUM(J167:J173)</f>
        <v>2376096.0820312719</v>
      </c>
      <c r="K174" s="130"/>
      <c r="L174" s="130"/>
      <c r="M174" s="153">
        <f>SUM(M167:M173)</f>
        <v>2475988.3177524325</v>
      </c>
      <c r="N174" s="150"/>
      <c r="O174" s="123"/>
      <c r="P174" s="123"/>
      <c r="R174" s="134"/>
    </row>
    <row r="175" spans="3:18" ht="17.25" thickTop="1" thickBot="1" x14ac:dyDescent="0.3">
      <c r="C175" s="119"/>
      <c r="J175" s="150"/>
      <c r="K175" s="150"/>
      <c r="L175" s="150"/>
      <c r="M175" s="150"/>
      <c r="N175" s="150"/>
      <c r="O175" s="123"/>
      <c r="P175" s="123"/>
    </row>
    <row r="176" spans="3:18" ht="16.5" thickBot="1" x14ac:dyDescent="0.3">
      <c r="C176" s="139"/>
      <c r="D176" s="136" t="s">
        <v>98</v>
      </c>
      <c r="J176" s="150"/>
      <c r="K176" s="150"/>
      <c r="L176" s="150"/>
      <c r="M176" s="141">
        <f>M174-J174</f>
        <v>99892.235721160658</v>
      </c>
      <c r="N176" s="138">
        <v>99896.138866198002</v>
      </c>
      <c r="O176" s="93" t="s">
        <v>99</v>
      </c>
      <c r="P176" s="123"/>
    </row>
    <row r="177" spans="3:18" x14ac:dyDescent="0.25">
      <c r="C177" s="115"/>
      <c r="J177" s="150"/>
      <c r="K177" s="150"/>
      <c r="L177" s="150"/>
      <c r="M177" s="140">
        <f>M176/J174</f>
        <v>4.2040486694361702E-2</v>
      </c>
      <c r="N177" s="150">
        <f>N176-M176</f>
        <v>3.9031450373440748</v>
      </c>
      <c r="O177" s="123"/>
      <c r="P177" s="123"/>
    </row>
    <row r="179" spans="3:18" x14ac:dyDescent="0.25">
      <c r="C179" s="90" t="s">
        <v>20</v>
      </c>
      <c r="D179" s="91"/>
      <c r="E179" s="91"/>
      <c r="F179" s="91"/>
      <c r="G179" s="91"/>
      <c r="H179" s="91"/>
      <c r="I179" s="91"/>
      <c r="J179" s="92"/>
      <c r="K179" s="66"/>
      <c r="M179" s="94" t="s">
        <v>100</v>
      </c>
    </row>
    <row r="180" spans="3:18" x14ac:dyDescent="0.25">
      <c r="C180" s="95" t="s">
        <v>22</v>
      </c>
      <c r="D180" s="91"/>
      <c r="E180" s="91"/>
      <c r="F180" s="91"/>
      <c r="G180" s="91"/>
      <c r="H180" s="91"/>
      <c r="I180" s="91"/>
      <c r="J180" s="92"/>
      <c r="K180" s="66"/>
      <c r="M180" s="94" t="s">
        <v>139</v>
      </c>
    </row>
    <row r="181" spans="3:18" x14ac:dyDescent="0.25">
      <c r="C181" s="95" t="s">
        <v>24</v>
      </c>
      <c r="D181" s="91"/>
      <c r="E181" s="91"/>
      <c r="F181" s="91"/>
      <c r="G181" s="91"/>
      <c r="H181" s="91"/>
      <c r="I181" s="91"/>
      <c r="J181" s="92"/>
      <c r="K181" s="66"/>
      <c r="M181" s="96" t="s">
        <v>102</v>
      </c>
    </row>
    <row r="184" spans="3:18" ht="16.5" thickBot="1" x14ac:dyDescent="0.3">
      <c r="J184" s="99" t="s">
        <v>78</v>
      </c>
      <c r="K184" s="99"/>
      <c r="L184" s="187" t="s">
        <v>79</v>
      </c>
      <c r="M184" s="187"/>
    </row>
    <row r="185" spans="3:18" x14ac:dyDescent="0.25">
      <c r="J185" s="99" t="s">
        <v>63</v>
      </c>
      <c r="K185" s="99"/>
      <c r="L185" s="101"/>
      <c r="M185" s="101"/>
    </row>
    <row r="186" spans="3:18" x14ac:dyDescent="0.25">
      <c r="F186" s="102"/>
      <c r="G186" s="103"/>
      <c r="H186" s="103"/>
      <c r="I186" s="99" t="s">
        <v>80</v>
      </c>
      <c r="J186" s="105" t="s">
        <v>81</v>
      </c>
      <c r="K186" s="105"/>
      <c r="L186" s="103" t="s">
        <v>82</v>
      </c>
      <c r="M186" s="106" t="s">
        <v>78</v>
      </c>
    </row>
    <row r="187" spans="3:18" ht="16.5" thickBot="1" x14ac:dyDescent="0.3">
      <c r="C187" s="107" t="s">
        <v>26</v>
      </c>
      <c r="D187" s="107"/>
      <c r="E187" s="107"/>
      <c r="F187" s="108" t="s">
        <v>104</v>
      </c>
      <c r="G187" s="109" t="s">
        <v>83</v>
      </c>
      <c r="H187" s="109"/>
      <c r="I187" s="142" t="s">
        <v>84</v>
      </c>
      <c r="J187" s="142" t="s">
        <v>84</v>
      </c>
      <c r="K187" s="110"/>
      <c r="L187" s="111" t="s">
        <v>85</v>
      </c>
      <c r="M187" s="109" t="s">
        <v>63</v>
      </c>
    </row>
    <row r="189" spans="3:18" ht="18.75" x14ac:dyDescent="0.3">
      <c r="C189" s="114" t="s">
        <v>140</v>
      </c>
    </row>
    <row r="190" spans="3:18" x14ac:dyDescent="0.25">
      <c r="C190" s="117"/>
      <c r="D190" s="117"/>
      <c r="E190" s="117"/>
    </row>
    <row r="191" spans="3:18" x14ac:dyDescent="0.25">
      <c r="C191" s="115" t="s">
        <v>141</v>
      </c>
      <c r="J191" s="165"/>
    </row>
    <row r="192" spans="3:18" x14ac:dyDescent="0.25">
      <c r="C192" s="162"/>
      <c r="D192" s="93" t="s">
        <v>117</v>
      </c>
      <c r="E192" s="162"/>
      <c r="F192" s="166">
        <v>948</v>
      </c>
      <c r="G192" s="162"/>
      <c r="I192" s="122">
        <v>400</v>
      </c>
      <c r="J192" s="147">
        <f>+F192*I192</f>
        <v>379200</v>
      </c>
      <c r="K192" s="147"/>
      <c r="L192" s="122">
        <v>550</v>
      </c>
      <c r="M192" s="147">
        <f>+F192*L192</f>
        <v>521400</v>
      </c>
      <c r="N192" s="147"/>
      <c r="O192" s="123"/>
      <c r="R192" s="167">
        <f>+L192-I192</f>
        <v>150</v>
      </c>
    </row>
    <row r="193" spans="3:18" x14ac:dyDescent="0.25">
      <c r="O193" s="123"/>
      <c r="R193" s="66">
        <f>+R192*F192</f>
        <v>142200</v>
      </c>
    </row>
    <row r="194" spans="3:18" x14ac:dyDescent="0.25">
      <c r="D194" s="93" t="s">
        <v>112</v>
      </c>
      <c r="G194" s="121">
        <v>11554241.323209887</v>
      </c>
      <c r="I194" s="126">
        <v>0.43</v>
      </c>
      <c r="J194" s="147">
        <f>+G194*I194</f>
        <v>4968323.7689802516</v>
      </c>
      <c r="K194" s="147"/>
      <c r="L194" s="126">
        <f>ROUND(I194*N194,4)</f>
        <v>0.44309999999999999</v>
      </c>
      <c r="M194" s="147">
        <f>+G194*L194</f>
        <v>5119684.330314301</v>
      </c>
      <c r="N194" s="93">
        <v>1.0304</v>
      </c>
      <c r="O194" s="123">
        <f>M194-J194</f>
        <v>151360.56133404933</v>
      </c>
    </row>
    <row r="195" spans="3:18" x14ac:dyDescent="0.25">
      <c r="G195" s="121"/>
      <c r="I195" s="126"/>
      <c r="J195" s="147"/>
      <c r="L195" s="126"/>
      <c r="M195" s="147"/>
      <c r="N195" s="147"/>
      <c r="O195" s="124">
        <f>O194/F192</f>
        <v>159.66303938190856</v>
      </c>
    </row>
    <row r="196" spans="3:18" x14ac:dyDescent="0.25">
      <c r="O196" s="123"/>
    </row>
    <row r="197" spans="3:18" x14ac:dyDescent="0.25">
      <c r="E197" s="168"/>
      <c r="F197" s="168"/>
      <c r="G197" s="168"/>
    </row>
    <row r="199" spans="3:18" x14ac:dyDescent="0.25">
      <c r="C199" s="115" t="s">
        <v>91</v>
      </c>
      <c r="D199" s="115"/>
      <c r="J199" s="130">
        <f>ROUND(SUM(J192:J198),0)</f>
        <v>5347524</v>
      </c>
      <c r="K199" s="130"/>
      <c r="L199" s="130"/>
      <c r="M199" s="130">
        <f>SUM(M192:M198)</f>
        <v>5641084.330314301</v>
      </c>
      <c r="N199" s="130"/>
    </row>
    <row r="200" spans="3:18" x14ac:dyDescent="0.25">
      <c r="C200" s="128"/>
      <c r="J200" s="130"/>
      <c r="K200" s="130"/>
      <c r="L200" s="130"/>
      <c r="M200" s="130"/>
    </row>
    <row r="201" spans="3:18" x14ac:dyDescent="0.25">
      <c r="C201" s="131"/>
      <c r="D201" s="131" t="s">
        <v>92</v>
      </c>
      <c r="I201" s="132">
        <v>0.99999999796293637</v>
      </c>
      <c r="L201" s="133">
        <f>+I201</f>
        <v>0.99999999796293637</v>
      </c>
    </row>
    <row r="202" spans="3:18" x14ac:dyDescent="0.25">
      <c r="C202" s="119"/>
    </row>
    <row r="203" spans="3:18" x14ac:dyDescent="0.25">
      <c r="C203" s="93" t="s">
        <v>142</v>
      </c>
      <c r="J203" s="130">
        <f>J199/I201</f>
        <v>5347524.0108932471</v>
      </c>
      <c r="M203" s="130">
        <f>M199/L201</f>
        <v>5641084.3418055484</v>
      </c>
    </row>
    <row r="204" spans="3:18" x14ac:dyDescent="0.25">
      <c r="J204" s="130"/>
      <c r="M204" s="130"/>
    </row>
    <row r="205" spans="3:18" x14ac:dyDescent="0.25">
      <c r="D205" s="93" t="s">
        <v>96</v>
      </c>
      <c r="G205" s="134"/>
      <c r="J205" s="150">
        <v>1578243</v>
      </c>
      <c r="M205" s="150">
        <f>J205</f>
        <v>1578243</v>
      </c>
    </row>
    <row r="206" spans="3:18" x14ac:dyDescent="0.25">
      <c r="C206" s="128"/>
    </row>
    <row r="207" spans="3:18" x14ac:dyDescent="0.25">
      <c r="J207" s="147"/>
    </row>
    <row r="208" spans="3:18" ht="18.75" x14ac:dyDescent="0.3">
      <c r="C208" s="114" t="s">
        <v>143</v>
      </c>
    </row>
    <row r="209" spans="3:16" x14ac:dyDescent="0.25">
      <c r="C209" s="117"/>
      <c r="D209" s="117"/>
      <c r="E209" s="117"/>
      <c r="F209" s="117"/>
      <c r="G209" s="117"/>
    </row>
    <row r="210" spans="3:16" x14ac:dyDescent="0.25">
      <c r="C210" s="115" t="s">
        <v>144</v>
      </c>
      <c r="J210" s="162"/>
    </row>
    <row r="211" spans="3:16" x14ac:dyDescent="0.25">
      <c r="C211" s="162"/>
      <c r="D211" s="93" t="s">
        <v>117</v>
      </c>
      <c r="E211" s="162"/>
      <c r="F211" s="93">
        <v>828</v>
      </c>
      <c r="G211" s="162"/>
      <c r="I211" s="122">
        <v>75</v>
      </c>
      <c r="J211" s="169">
        <f>+F211*I211</f>
        <v>62100</v>
      </c>
      <c r="K211" s="147"/>
      <c r="L211" s="170">
        <f>I211</f>
        <v>75</v>
      </c>
      <c r="M211" s="169">
        <f>+F211*L211</f>
        <v>62100</v>
      </c>
    </row>
    <row r="214" spans="3:16" x14ac:dyDescent="0.25">
      <c r="C214" s="115" t="s">
        <v>145</v>
      </c>
      <c r="J214" s="130">
        <f>+J211</f>
        <v>62100</v>
      </c>
      <c r="K214" s="130"/>
      <c r="L214" s="130"/>
      <c r="M214" s="130">
        <f>+M211</f>
        <v>62100</v>
      </c>
      <c r="P214" s="171"/>
    </row>
    <row r="215" spans="3:16" x14ac:dyDescent="0.25"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3:16" x14ac:dyDescent="0.25"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147"/>
      <c r="O216" s="123"/>
      <c r="P216" s="123"/>
    </row>
    <row r="217" spans="3:16" ht="16.5" thickBot="1" x14ac:dyDescent="0.3">
      <c r="C217" s="115" t="s">
        <v>146</v>
      </c>
      <c r="G217" s="134">
        <f>+G194</f>
        <v>11554241.323209887</v>
      </c>
      <c r="J217" s="153">
        <f>SUM(J203:J205)+J214</f>
        <v>6987867.0108932471</v>
      </c>
      <c r="K217" s="130"/>
      <c r="L217" s="130"/>
      <c r="M217" s="153">
        <f>SUM(M203:M205)+M214</f>
        <v>7281427.3418055484</v>
      </c>
      <c r="O217" s="123"/>
      <c r="P217" s="171"/>
    </row>
    <row r="218" spans="3:16" ht="16.5" thickTop="1" x14ac:dyDescent="0.25">
      <c r="C218" s="119"/>
      <c r="J218" s="147"/>
      <c r="O218" s="123"/>
      <c r="P218" s="123"/>
    </row>
    <row r="219" spans="3:16" x14ac:dyDescent="0.25">
      <c r="C219" s="139"/>
      <c r="D219" s="136" t="s">
        <v>98</v>
      </c>
      <c r="M219" s="141">
        <f>M217-J217</f>
        <v>293560.33091230132</v>
      </c>
      <c r="N219" s="130">
        <v>293785.25069591601</v>
      </c>
    </row>
    <row r="220" spans="3:16" x14ac:dyDescent="0.25">
      <c r="M220" s="140">
        <f>M219/J217</f>
        <v>4.201000540718304E-2</v>
      </c>
      <c r="N220" s="123">
        <f>N219-M219</f>
        <v>224.91978361469228</v>
      </c>
    </row>
    <row r="223" spans="3:16" x14ac:dyDescent="0.25"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3:16" x14ac:dyDescent="0.25"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3:13" x14ac:dyDescent="0.25"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</row>
    <row r="226" spans="3:13" x14ac:dyDescent="0.25"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</row>
    <row r="227" spans="3:13" x14ac:dyDescent="0.25">
      <c r="M227" s="140"/>
    </row>
    <row r="228" spans="3:13" x14ac:dyDescent="0.25">
      <c r="C228" s="90" t="s">
        <v>20</v>
      </c>
      <c r="D228" s="91"/>
      <c r="E228" s="91"/>
      <c r="F228" s="91"/>
      <c r="G228" s="91"/>
      <c r="H228" s="91"/>
      <c r="I228" s="91"/>
      <c r="J228" s="92"/>
      <c r="K228" s="66"/>
      <c r="M228" s="94" t="s">
        <v>100</v>
      </c>
    </row>
    <row r="229" spans="3:13" x14ac:dyDescent="0.25">
      <c r="C229" s="95" t="s">
        <v>22</v>
      </c>
      <c r="D229" s="91"/>
      <c r="E229" s="91"/>
      <c r="F229" s="91"/>
      <c r="G229" s="91"/>
      <c r="H229" s="91"/>
      <c r="I229" s="91"/>
      <c r="J229" s="92"/>
      <c r="K229" s="66"/>
      <c r="M229" s="94" t="s">
        <v>147</v>
      </c>
    </row>
    <row r="230" spans="3:13" x14ac:dyDescent="0.25">
      <c r="C230" s="95" t="s">
        <v>24</v>
      </c>
      <c r="D230" s="91"/>
      <c r="E230" s="91"/>
      <c r="F230" s="91"/>
      <c r="G230" s="91"/>
      <c r="H230" s="91"/>
      <c r="I230" s="91"/>
      <c r="J230" s="92"/>
      <c r="K230" s="66"/>
      <c r="M230" s="96" t="s">
        <v>102</v>
      </c>
    </row>
    <row r="233" spans="3:13" ht="16.5" thickBot="1" x14ac:dyDescent="0.3">
      <c r="J233" s="99" t="s">
        <v>78</v>
      </c>
      <c r="K233" s="99"/>
      <c r="L233" s="187" t="s">
        <v>79</v>
      </c>
      <c r="M233" s="187"/>
    </row>
    <row r="234" spans="3:13" x14ac:dyDescent="0.25">
      <c r="J234" s="99" t="s">
        <v>63</v>
      </c>
      <c r="K234" s="99"/>
      <c r="L234" s="101"/>
      <c r="M234" s="101"/>
    </row>
    <row r="235" spans="3:13" x14ac:dyDescent="0.25">
      <c r="F235" s="102"/>
      <c r="G235" s="103"/>
      <c r="H235" s="103"/>
      <c r="I235" s="99" t="s">
        <v>80</v>
      </c>
      <c r="J235" s="105" t="s">
        <v>81</v>
      </c>
      <c r="K235" s="105"/>
      <c r="L235" s="103" t="s">
        <v>82</v>
      </c>
      <c r="M235" s="106" t="s">
        <v>78</v>
      </c>
    </row>
    <row r="236" spans="3:13" ht="16.5" thickBot="1" x14ac:dyDescent="0.3">
      <c r="C236" s="107" t="s">
        <v>26</v>
      </c>
      <c r="D236" s="107"/>
      <c r="E236" s="107"/>
      <c r="F236" s="108" t="s">
        <v>104</v>
      </c>
      <c r="G236" s="109" t="s">
        <v>83</v>
      </c>
      <c r="H236" s="109"/>
      <c r="I236" s="142" t="s">
        <v>84</v>
      </c>
      <c r="J236" s="142" t="s">
        <v>84</v>
      </c>
      <c r="K236" s="110"/>
      <c r="L236" s="111" t="s">
        <v>85</v>
      </c>
      <c r="M236" s="109" t="s">
        <v>63</v>
      </c>
    </row>
    <row r="238" spans="3:13" ht="18.75" x14ac:dyDescent="0.3">
      <c r="C238" s="114" t="s">
        <v>148</v>
      </c>
    </row>
    <row r="239" spans="3:13" x14ac:dyDescent="0.25">
      <c r="C239" s="119"/>
    </row>
    <row r="240" spans="3:13" x14ac:dyDescent="0.25">
      <c r="C240" s="128" t="s">
        <v>149</v>
      </c>
    </row>
    <row r="241" spans="1:20" x14ac:dyDescent="0.25">
      <c r="A241" s="172" t="s">
        <v>150</v>
      </c>
      <c r="C241" s="119"/>
      <c r="D241" s="119" t="s">
        <v>108</v>
      </c>
      <c r="F241" s="93">
        <v>12</v>
      </c>
      <c r="I241" s="122">
        <v>175</v>
      </c>
      <c r="J241" s="147">
        <f>+F241*I241</f>
        <v>2100</v>
      </c>
      <c r="K241" s="147"/>
      <c r="L241" s="122">
        <v>180</v>
      </c>
      <c r="M241" s="147">
        <f>+$F241*L241</f>
        <v>2160</v>
      </c>
      <c r="N241" s="147"/>
      <c r="R241" s="173"/>
    </row>
    <row r="242" spans="1:20" x14ac:dyDescent="0.25">
      <c r="C242" s="119"/>
      <c r="G242" s="141"/>
    </row>
    <row r="243" spans="1:20" x14ac:dyDescent="0.25">
      <c r="C243" s="119"/>
      <c r="D243" s="93" t="s">
        <v>112</v>
      </c>
      <c r="G243" s="141">
        <v>376105.8</v>
      </c>
      <c r="H243" s="119" t="s">
        <v>151</v>
      </c>
      <c r="I243" s="126">
        <v>0.32099999999999995</v>
      </c>
      <c r="J243" s="147">
        <f>+G243*I243</f>
        <v>120729.96179999998</v>
      </c>
      <c r="K243" s="147"/>
      <c r="L243" s="126">
        <f>ROUND(I243*$N$243,4)</f>
        <v>0.34539999999999998</v>
      </c>
      <c r="M243" s="147">
        <f>+$G243*L243</f>
        <v>129906.94331999999</v>
      </c>
      <c r="N243" s="148">
        <v>1.0760000000000001</v>
      </c>
      <c r="Q243" s="126">
        <f>I243*(1+($L$118-$I$118)/$I$118)</f>
        <v>0.36369126421778852</v>
      </c>
      <c r="R243" s="174"/>
    </row>
    <row r="244" spans="1:20" x14ac:dyDescent="0.25">
      <c r="C244" s="119"/>
      <c r="G244" s="141"/>
      <c r="H244" s="119"/>
      <c r="R244" s="167"/>
    </row>
    <row r="245" spans="1:20" x14ac:dyDescent="0.25">
      <c r="C245" s="119"/>
      <c r="D245" s="119" t="s">
        <v>152</v>
      </c>
      <c r="G245" s="141">
        <f>J245/I245</f>
        <v>198720</v>
      </c>
      <c r="H245" s="119" t="s">
        <v>153</v>
      </c>
      <c r="I245" s="157">
        <v>10.860000000000001</v>
      </c>
      <c r="J245" s="169">
        <v>2158099.2000000002</v>
      </c>
      <c r="K245" s="175"/>
      <c r="L245" s="126">
        <f>ROUND(I245*$N$243,4)</f>
        <v>11.6854</v>
      </c>
      <c r="M245" s="169">
        <f>+$G245*L245</f>
        <v>2322122.6880000001</v>
      </c>
      <c r="N245" s="175"/>
      <c r="Q245" s="126">
        <f>I245*(1+($L$118-$I$118)/$I$118)</f>
        <v>12.304321275405558</v>
      </c>
    </row>
    <row r="246" spans="1:20" x14ac:dyDescent="0.25">
      <c r="C246" s="119"/>
      <c r="D246" s="93" t="s">
        <v>154</v>
      </c>
      <c r="G246" s="141"/>
      <c r="J246" s="147">
        <f>SUM(J241:J245)</f>
        <v>2280929.1618000004</v>
      </c>
      <c r="K246" s="147"/>
      <c r="L246" s="147"/>
      <c r="M246" s="147">
        <f>SUM(M241:M245)</f>
        <v>2454189.6313200002</v>
      </c>
      <c r="N246" s="147"/>
      <c r="O246" s="123">
        <v>2280929.1617999999</v>
      </c>
      <c r="P246" s="123">
        <f>+J246-O246</f>
        <v>0</v>
      </c>
      <c r="T246" s="171"/>
    </row>
    <row r="247" spans="1:20" x14ac:dyDescent="0.25">
      <c r="C247" s="119"/>
      <c r="G247" s="141"/>
      <c r="J247" s="147"/>
      <c r="K247" s="147"/>
      <c r="L247" s="147"/>
      <c r="M247" s="147"/>
      <c r="N247" s="147"/>
      <c r="O247" s="123"/>
      <c r="P247" s="123"/>
      <c r="T247" s="171"/>
    </row>
    <row r="248" spans="1:20" x14ac:dyDescent="0.25">
      <c r="C248" s="119"/>
      <c r="D248" s="93" t="s">
        <v>95</v>
      </c>
      <c r="G248" s="134"/>
      <c r="I248" s="126"/>
      <c r="J248" s="123">
        <v>1840503.8</v>
      </c>
      <c r="L248" s="127"/>
      <c r="M248" s="123">
        <f>J248</f>
        <v>1840503.8</v>
      </c>
      <c r="N248" s="147"/>
      <c r="O248" s="123"/>
      <c r="P248" s="123"/>
      <c r="T248" s="171"/>
    </row>
    <row r="249" spans="1:20" x14ac:dyDescent="0.25">
      <c r="C249" s="119"/>
      <c r="G249" s="141"/>
      <c r="J249" s="147"/>
      <c r="K249" s="147"/>
      <c r="L249" s="147"/>
      <c r="M249" s="147"/>
      <c r="N249" s="147"/>
      <c r="O249" s="123"/>
      <c r="P249" s="123"/>
      <c r="T249" s="171"/>
    </row>
    <row r="250" spans="1:20" ht="16.5" thickBot="1" x14ac:dyDescent="0.3">
      <c r="C250" s="128" t="s">
        <v>155</v>
      </c>
      <c r="J250" s="176">
        <f>J246+J248</f>
        <v>4121432.9618000006</v>
      </c>
      <c r="M250" s="176">
        <f>M246+M248</f>
        <v>4294693.4313200004</v>
      </c>
      <c r="T250" s="171"/>
    </row>
    <row r="251" spans="1:20" ht="16.5" thickTop="1" x14ac:dyDescent="0.25">
      <c r="C251" s="119"/>
      <c r="T251" s="171"/>
    </row>
    <row r="252" spans="1:20" x14ac:dyDescent="0.25">
      <c r="C252" s="119"/>
      <c r="D252" s="93" t="s">
        <v>156</v>
      </c>
      <c r="M252" s="150">
        <f>M250-J250</f>
        <v>173260.46951999981</v>
      </c>
      <c r="N252" s="123">
        <v>173274.10886658795</v>
      </c>
      <c r="T252" s="171"/>
    </row>
    <row r="253" spans="1:20" x14ac:dyDescent="0.25">
      <c r="C253" s="119"/>
      <c r="G253" s="141"/>
      <c r="M253" s="177">
        <f>M252/J250</f>
        <v>4.2038890630003059E-2</v>
      </c>
      <c r="N253" s="123">
        <f>N252-M252</f>
        <v>13.639346588141052</v>
      </c>
      <c r="T253" s="171"/>
    </row>
    <row r="254" spans="1:20" x14ac:dyDescent="0.25">
      <c r="C254" s="119"/>
      <c r="G254" s="141"/>
      <c r="M254" s="177"/>
      <c r="T254" s="171"/>
    </row>
    <row r="255" spans="1:20" x14ac:dyDescent="0.25">
      <c r="C255" s="128" t="s">
        <v>157</v>
      </c>
      <c r="G255" s="141"/>
      <c r="T255" s="171"/>
    </row>
    <row r="256" spans="1:20" x14ac:dyDescent="0.25">
      <c r="A256" s="172" t="s">
        <v>158</v>
      </c>
      <c r="C256" s="119"/>
      <c r="D256" s="93" t="s">
        <v>76</v>
      </c>
      <c r="F256" s="93">
        <v>12</v>
      </c>
      <c r="G256" s="141"/>
      <c r="I256" s="122">
        <v>781</v>
      </c>
      <c r="J256" s="147">
        <f>+F256*I256</f>
        <v>9372</v>
      </c>
      <c r="K256" s="147"/>
      <c r="L256" s="122">
        <v>800</v>
      </c>
      <c r="M256" s="147">
        <f>+$F256*L256</f>
        <v>9600</v>
      </c>
      <c r="N256" s="147"/>
    </row>
    <row r="257" spans="3:16" x14ac:dyDescent="0.25">
      <c r="C257" s="119"/>
      <c r="G257" s="141"/>
    </row>
    <row r="258" spans="3:16" x14ac:dyDescent="0.25">
      <c r="C258" s="119"/>
      <c r="D258" s="93" t="s">
        <v>112</v>
      </c>
      <c r="G258" s="141">
        <v>1398149.9000000001</v>
      </c>
      <c r="H258" s="119" t="s">
        <v>151</v>
      </c>
      <c r="I258" s="126">
        <v>4.87E-2</v>
      </c>
      <c r="J258" s="147">
        <f>+G258*I258</f>
        <v>68089.900130000009</v>
      </c>
      <c r="K258" s="147"/>
      <c r="L258" s="126">
        <f>ROUND(I258*$N$258,4)</f>
        <v>5.0799999999999998E-2</v>
      </c>
      <c r="M258" s="147">
        <f>+$G258*L258</f>
        <v>71026.014920000001</v>
      </c>
      <c r="N258" s="148">
        <v>1.0421</v>
      </c>
    </row>
    <row r="259" spans="3:16" x14ac:dyDescent="0.25">
      <c r="C259" s="119"/>
      <c r="G259" s="141"/>
      <c r="H259" s="119"/>
    </row>
    <row r="260" spans="3:16" x14ac:dyDescent="0.25">
      <c r="C260" s="119"/>
      <c r="D260" s="119" t="s">
        <v>152</v>
      </c>
      <c r="G260" s="141">
        <v>518400</v>
      </c>
      <c r="H260" s="119" t="s">
        <v>153</v>
      </c>
      <c r="I260" s="155">
        <v>2.4300000000000002</v>
      </c>
      <c r="J260" s="169">
        <f>+G260*I260</f>
        <v>1259712</v>
      </c>
      <c r="K260" s="147"/>
      <c r="L260" s="126">
        <f>ROUND(I260*$N$258,4)</f>
        <v>2.5323000000000002</v>
      </c>
      <c r="M260" s="169">
        <f>+$G260*L260</f>
        <v>1312744.32</v>
      </c>
      <c r="N260" s="147"/>
    </row>
    <row r="261" spans="3:16" x14ac:dyDescent="0.25">
      <c r="C261" s="119"/>
      <c r="G261" s="141"/>
      <c r="H261" s="178"/>
    </row>
    <row r="262" spans="3:16" x14ac:dyDescent="0.25">
      <c r="C262" s="119"/>
      <c r="D262" s="93" t="s">
        <v>159</v>
      </c>
      <c r="G262" s="141"/>
      <c r="J262" s="147">
        <f>SUM(J256:J261)</f>
        <v>1337173.90013</v>
      </c>
      <c r="K262" s="147"/>
      <c r="L262" s="147"/>
      <c r="M262" s="147">
        <f>SUM(M256:M261)</f>
        <v>1393370.3349200001</v>
      </c>
      <c r="N262" s="147"/>
      <c r="O262" s="123"/>
      <c r="P262" s="123"/>
    </row>
    <row r="263" spans="3:16" x14ac:dyDescent="0.25">
      <c r="C263" s="119"/>
    </row>
    <row r="264" spans="3:16" x14ac:dyDescent="0.25">
      <c r="C264" s="119"/>
    </row>
    <row r="265" spans="3:16" ht="16.5" thickBot="1" x14ac:dyDescent="0.3">
      <c r="C265" s="128" t="s">
        <v>160</v>
      </c>
      <c r="J265" s="179">
        <f>J262</f>
        <v>1337173.90013</v>
      </c>
      <c r="K265" s="115"/>
      <c r="L265" s="115"/>
      <c r="M265" s="179">
        <f>M262</f>
        <v>1393370.3349200001</v>
      </c>
    </row>
    <row r="266" spans="3:16" ht="16.5" thickTop="1" x14ac:dyDescent="0.25">
      <c r="C266" s="119"/>
    </row>
    <row r="267" spans="3:16" x14ac:dyDescent="0.25">
      <c r="C267" s="119"/>
      <c r="D267" s="93" t="s">
        <v>156</v>
      </c>
      <c r="M267" s="150">
        <f>M265-J265</f>
        <v>56196.434790000087</v>
      </c>
      <c r="N267" s="122">
        <v>56217.732538580007</v>
      </c>
    </row>
    <row r="268" spans="3:16" x14ac:dyDescent="0.25">
      <c r="C268" s="119"/>
      <c r="M268" s="177">
        <f>M267/J265</f>
        <v>4.2026272562257362E-2</v>
      </c>
      <c r="N268" s="124">
        <f>N267-M267</f>
        <v>21.297748579920153</v>
      </c>
    </row>
    <row r="270" spans="3:16" x14ac:dyDescent="0.25">
      <c r="C270" s="90" t="s">
        <v>20</v>
      </c>
      <c r="D270" s="91"/>
      <c r="E270" s="91"/>
      <c r="F270" s="91"/>
      <c r="G270" s="91"/>
      <c r="H270" s="91"/>
      <c r="I270" s="91"/>
      <c r="J270" s="92"/>
      <c r="K270" s="66"/>
      <c r="M270" s="94" t="s">
        <v>100</v>
      </c>
    </row>
    <row r="271" spans="3:16" x14ac:dyDescent="0.25">
      <c r="C271" s="95" t="s">
        <v>22</v>
      </c>
      <c r="D271" s="91"/>
      <c r="E271" s="91"/>
      <c r="F271" s="91"/>
      <c r="G271" s="91"/>
      <c r="H271" s="91"/>
      <c r="I271" s="91"/>
      <c r="J271" s="92"/>
      <c r="K271" s="66"/>
      <c r="M271" s="94" t="s">
        <v>161</v>
      </c>
    </row>
    <row r="272" spans="3:16" x14ac:dyDescent="0.25">
      <c r="C272" s="95" t="s">
        <v>24</v>
      </c>
      <c r="D272" s="91"/>
      <c r="E272" s="91"/>
      <c r="F272" s="91"/>
      <c r="G272" s="91"/>
      <c r="H272" s="91"/>
      <c r="I272" s="91"/>
      <c r="J272" s="92"/>
      <c r="K272" s="66"/>
      <c r="M272" s="96" t="s">
        <v>102</v>
      </c>
    </row>
    <row r="275" spans="3:15" ht="16.5" thickBot="1" x14ac:dyDescent="0.3">
      <c r="J275" s="99" t="s">
        <v>78</v>
      </c>
      <c r="K275" s="99"/>
      <c r="L275" s="187" t="s">
        <v>79</v>
      </c>
      <c r="M275" s="187"/>
    </row>
    <row r="276" spans="3:15" x14ac:dyDescent="0.25">
      <c r="J276" s="99" t="s">
        <v>63</v>
      </c>
      <c r="K276" s="99"/>
      <c r="L276" s="101"/>
      <c r="M276" s="101"/>
    </row>
    <row r="277" spans="3:15" x14ac:dyDescent="0.25">
      <c r="F277" s="102"/>
      <c r="G277" s="103"/>
      <c r="H277" s="103"/>
      <c r="I277" s="99" t="s">
        <v>80</v>
      </c>
      <c r="J277" s="105" t="s">
        <v>81</v>
      </c>
      <c r="K277" s="105"/>
      <c r="L277" s="103" t="s">
        <v>82</v>
      </c>
      <c r="M277" s="106" t="s">
        <v>78</v>
      </c>
    </row>
    <row r="278" spans="3:15" ht="16.5" thickBot="1" x14ac:dyDescent="0.3">
      <c r="C278" s="107" t="s">
        <v>26</v>
      </c>
      <c r="D278" s="107"/>
      <c r="E278" s="107"/>
      <c r="F278" s="108" t="s">
        <v>104</v>
      </c>
      <c r="G278" s="109" t="s">
        <v>83</v>
      </c>
      <c r="H278" s="109"/>
      <c r="I278" s="142" t="s">
        <v>84</v>
      </c>
      <c r="J278" s="142" t="s">
        <v>84</v>
      </c>
      <c r="K278" s="110"/>
      <c r="L278" s="111" t="s">
        <v>85</v>
      </c>
      <c r="M278" s="109" t="s">
        <v>63</v>
      </c>
    </row>
    <row r="280" spans="3:15" ht="18.75" x14ac:dyDescent="0.3">
      <c r="C280" s="114" t="s">
        <v>162</v>
      </c>
    </row>
    <row r="281" spans="3:15" x14ac:dyDescent="0.25">
      <c r="D281" s="117"/>
      <c r="E281" s="117"/>
      <c r="F281" s="117"/>
      <c r="G281" s="117"/>
    </row>
    <row r="282" spans="3:15" x14ac:dyDescent="0.25">
      <c r="C282" s="112" t="s">
        <v>38</v>
      </c>
      <c r="D282" s="180"/>
    </row>
    <row r="283" spans="3:15" x14ac:dyDescent="0.25">
      <c r="C283" s="115"/>
      <c r="D283" s="93" t="s">
        <v>163</v>
      </c>
      <c r="F283" s="93">
        <v>12</v>
      </c>
      <c r="I283" s="122">
        <v>275</v>
      </c>
      <c r="J283" s="147">
        <f>+F283*I283</f>
        <v>3300</v>
      </c>
      <c r="K283" s="147"/>
      <c r="L283" s="122">
        <v>300</v>
      </c>
      <c r="M283" s="147">
        <f>+L283*F283</f>
        <v>3600</v>
      </c>
      <c r="N283" s="147"/>
    </row>
    <row r="284" spans="3:15" x14ac:dyDescent="0.25">
      <c r="J284" s="147"/>
      <c r="K284" s="147"/>
      <c r="L284" s="147"/>
      <c r="M284" s="147"/>
      <c r="N284" s="147"/>
    </row>
    <row r="285" spans="3:15" x14ac:dyDescent="0.25">
      <c r="D285" s="93" t="s">
        <v>117</v>
      </c>
      <c r="F285" s="93">
        <f>F283</f>
        <v>12</v>
      </c>
      <c r="G285" s="141"/>
      <c r="I285" s="122">
        <v>400</v>
      </c>
      <c r="J285" s="147">
        <f>+F285*I285</f>
        <v>4800</v>
      </c>
      <c r="K285" s="147"/>
      <c r="L285" s="122">
        <v>550</v>
      </c>
      <c r="M285" s="147">
        <f>+L285*F285</f>
        <v>6600</v>
      </c>
      <c r="N285" s="147"/>
    </row>
    <row r="286" spans="3:15" x14ac:dyDescent="0.25">
      <c r="G286" s="141"/>
      <c r="J286" s="147"/>
      <c r="K286" s="147"/>
      <c r="L286" s="147"/>
      <c r="M286" s="147"/>
      <c r="N286" s="147"/>
    </row>
    <row r="287" spans="3:15" x14ac:dyDescent="0.25">
      <c r="D287" s="93" t="s">
        <v>164</v>
      </c>
      <c r="G287" s="141">
        <v>593147.29931616166</v>
      </c>
      <c r="H287" s="93" t="s">
        <v>151</v>
      </c>
      <c r="I287" s="126">
        <v>0.10489999999999999</v>
      </c>
      <c r="J287" s="147">
        <f>ROUND(+G287*I287,2)</f>
        <v>62221.15</v>
      </c>
      <c r="K287" s="147"/>
      <c r="L287" s="126">
        <f>ROUND(I287*$N$287,4)</f>
        <v>0.111</v>
      </c>
      <c r="M287" s="147">
        <f>+L287*G287</f>
        <v>65839.350224093942</v>
      </c>
      <c r="N287" s="181">
        <v>1.0585</v>
      </c>
      <c r="O287" s="182"/>
    </row>
    <row r="288" spans="3:15" x14ac:dyDescent="0.25">
      <c r="D288" s="93" t="s">
        <v>152</v>
      </c>
      <c r="G288" s="141">
        <v>26996.5</v>
      </c>
      <c r="H288" s="93" t="s">
        <v>153</v>
      </c>
      <c r="I288" s="122">
        <v>2.75</v>
      </c>
      <c r="J288" s="169">
        <f>+G288*I288</f>
        <v>74240.375</v>
      </c>
      <c r="K288" s="147"/>
      <c r="L288" s="155">
        <f>ROUND(I288*$N$287,2)</f>
        <v>2.91</v>
      </c>
      <c r="M288" s="169">
        <f>+L288*G288</f>
        <v>78559.815000000002</v>
      </c>
      <c r="N288" s="147"/>
    </row>
    <row r="289" spans="4:15" x14ac:dyDescent="0.25">
      <c r="G289" s="141"/>
      <c r="J289" s="147"/>
      <c r="K289" s="147"/>
      <c r="L289" s="147"/>
      <c r="M289" s="147"/>
      <c r="N289" s="147"/>
    </row>
    <row r="290" spans="4:15" x14ac:dyDescent="0.25">
      <c r="D290" s="183"/>
      <c r="G290" s="141"/>
      <c r="I290" s="126"/>
      <c r="J290" s="175">
        <f>SUM(J283:J289)</f>
        <v>144561.52499999999</v>
      </c>
      <c r="K290" s="175"/>
      <c r="L290" s="147"/>
      <c r="M290" s="175">
        <f>SUM(M283:M289)</f>
        <v>154599.16522409394</v>
      </c>
      <c r="N290" s="147"/>
    </row>
    <row r="291" spans="4:15" x14ac:dyDescent="0.25">
      <c r="D291" s="66"/>
      <c r="E291" s="66"/>
      <c r="F291" s="66"/>
      <c r="G291" s="66"/>
      <c r="H291" s="66"/>
      <c r="I291" s="66"/>
      <c r="J291" s="175"/>
      <c r="K291" s="175"/>
      <c r="L291" s="147"/>
      <c r="M291" s="175"/>
      <c r="N291" s="147"/>
    </row>
    <row r="292" spans="4:15" x14ac:dyDescent="0.25">
      <c r="D292" s="93" t="s">
        <v>96</v>
      </c>
      <c r="G292" s="141"/>
      <c r="I292" s="126"/>
      <c r="J292" s="175">
        <v>93204.078772021661</v>
      </c>
      <c r="K292" s="175"/>
      <c r="L292" s="161"/>
      <c r="M292" s="175">
        <f>J292</f>
        <v>93204.078772021661</v>
      </c>
      <c r="N292" s="147"/>
    </row>
    <row r="293" spans="4:15" x14ac:dyDescent="0.25">
      <c r="G293" s="141"/>
      <c r="I293" s="126"/>
      <c r="K293" s="147"/>
      <c r="L293" s="147"/>
      <c r="N293" s="147"/>
      <c r="O293" s="174"/>
    </row>
    <row r="294" spans="4:15" ht="16.5" thickBot="1" x14ac:dyDescent="0.3">
      <c r="D294" s="115" t="s">
        <v>165</v>
      </c>
      <c r="G294" s="141"/>
      <c r="I294" s="126"/>
      <c r="J294" s="179">
        <f>SUM(J290:J293)</f>
        <v>237765.60377202166</v>
      </c>
      <c r="K294" s="147"/>
      <c r="L294" s="147"/>
      <c r="M294" s="179">
        <f>SUM(M290:M293)</f>
        <v>247803.24399611561</v>
      </c>
      <c r="N294" s="147"/>
    </row>
    <row r="295" spans="4:15" ht="16.5" thickTop="1" x14ac:dyDescent="0.25">
      <c r="G295" s="141"/>
      <c r="I295" s="126"/>
      <c r="J295" s="126"/>
      <c r="K295" s="147"/>
      <c r="L295" s="147"/>
      <c r="M295" s="147"/>
      <c r="N295" s="147"/>
    </row>
    <row r="296" spans="4:15" x14ac:dyDescent="0.25">
      <c r="D296" s="93" t="s">
        <v>156</v>
      </c>
      <c r="G296" s="141"/>
      <c r="I296" s="126"/>
      <c r="J296" s="184"/>
      <c r="K296" s="147"/>
      <c r="L296" s="147"/>
      <c r="M296" s="150">
        <f>M294-J294</f>
        <v>10037.64022409395</v>
      </c>
      <c r="N296" s="147">
        <v>9996.1437843538133</v>
      </c>
    </row>
    <row r="297" spans="4:15" x14ac:dyDescent="0.25">
      <c r="G297" s="141"/>
      <c r="I297" s="126"/>
      <c r="J297" s="184"/>
      <c r="K297" s="147"/>
      <c r="L297" s="147"/>
      <c r="M297" s="177">
        <f>M296/J294</f>
        <v>4.2216536222448753E-2</v>
      </c>
      <c r="N297" s="147">
        <f>N296-M296</f>
        <v>-41.496439740136339</v>
      </c>
    </row>
    <row r="298" spans="4:15" s="100" customFormat="1" ht="15" x14ac:dyDescent="0.25"/>
    <row r="299" spans="4:15" s="100" customFormat="1" ht="15" x14ac:dyDescent="0.25"/>
    <row r="300" spans="4:15" s="100" customFormat="1" ht="15" x14ac:dyDescent="0.25"/>
    <row r="301" spans="4:15" s="100" customFormat="1" ht="15" x14ac:dyDescent="0.25"/>
    <row r="302" spans="4:15" s="100" customFormat="1" ht="15" x14ac:dyDescent="0.25"/>
    <row r="303" spans="4:15" s="100" customFormat="1" ht="15" x14ac:dyDescent="0.25"/>
    <row r="304" spans="4:15" s="100" customFormat="1" ht="15" x14ac:dyDescent="0.25"/>
    <row r="305" spans="10:14" s="100" customFormat="1" ht="15" x14ac:dyDescent="0.25"/>
    <row r="306" spans="10:14" s="100" customFormat="1" ht="15" x14ac:dyDescent="0.25"/>
    <row r="307" spans="10:14" s="100" customFormat="1" ht="15" x14ac:dyDescent="0.25"/>
    <row r="308" spans="10:14" s="100" customFormat="1" ht="15" x14ac:dyDescent="0.25"/>
    <row r="309" spans="10:14" s="100" customFormat="1" ht="15" x14ac:dyDescent="0.25"/>
    <row r="310" spans="10:14" s="100" customFormat="1" ht="15" x14ac:dyDescent="0.25"/>
    <row r="311" spans="10:14" s="100" customFormat="1" ht="15" x14ac:dyDescent="0.25"/>
    <row r="312" spans="10:14" s="100" customFormat="1" ht="15" x14ac:dyDescent="0.25"/>
    <row r="313" spans="10:14" s="100" customFormat="1" ht="15" x14ac:dyDescent="0.25"/>
    <row r="314" spans="10:14" s="100" customFormat="1" ht="15" x14ac:dyDescent="0.25"/>
    <row r="315" spans="10:14" s="100" customFormat="1" ht="15" x14ac:dyDescent="0.25"/>
    <row r="316" spans="10:14" s="100" customFormat="1" ht="15" x14ac:dyDescent="0.25"/>
    <row r="317" spans="10:14" s="100" customFormat="1" ht="15" x14ac:dyDescent="0.25"/>
    <row r="318" spans="10:14" x14ac:dyDescent="0.25">
      <c r="J318" s="185"/>
      <c r="K318" s="185"/>
      <c r="L318" s="185"/>
      <c r="M318" s="185"/>
      <c r="N318" s="185"/>
    </row>
  </sheetData>
  <mergeCells count="7">
    <mergeCell ref="L275:M275"/>
    <mergeCell ref="L6:M6"/>
    <mergeCell ref="L43:M43"/>
    <mergeCell ref="L94:M94"/>
    <mergeCell ref="L142:M142"/>
    <mergeCell ref="L184:M184"/>
    <mergeCell ref="L233:M233"/>
  </mergeCells>
  <pageMargins left="0.7" right="0.7" top="1.75" bottom="0.75" header="1" footer="0.5"/>
  <pageSetup scale="54" orientation="landscape" r:id="rId1"/>
  <headerFooter>
    <oddHeader>&amp;C&amp;"-,Bold"Louisville Gas and Electric Company
Case No. 2014-00372
Calculation of Proposed Gas Rate Increase
Forecast Period Sales for the Twelve Months Ended June 30, 2016</oddHeader>
  </headerFooter>
  <rowBreaks count="6" manualBreakCount="6">
    <brk id="37" max="16383" man="1"/>
    <brk id="88" min="2" max="12" man="1"/>
    <brk id="136" min="2" max="12" man="1"/>
    <brk id="178" min="2" max="12" man="1"/>
    <brk id="227" min="2" max="12" man="1"/>
    <brk id="269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Sch M-2.1-G</vt:lpstr>
      <vt:lpstr>Sch M-2.2-G</vt:lpstr>
      <vt:lpstr>Sch M-2.3-G Pg. 1</vt:lpstr>
      <vt:lpstr>Sch M-2.3-G Pg. 2-8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2015-01-14T23:44:55Z</dcterms:created>
  <dcterms:modified xsi:type="dcterms:W3CDTF">2015-01-15T00:36:44Z</dcterms:modified>
</cp:coreProperties>
</file>