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EVE\Documents\1-2005 Active\1-2011 Active\2015 LGE-KU Rate Case\Baron Testimony\As-Filed\"/>
    </mc:Choice>
  </mc:AlternateContent>
  <bookViews>
    <workbookView xWindow="0" yWindow="0" windowWidth="23040" windowHeight="9240" activeTab="1"/>
  </bookViews>
  <sheets>
    <sheet name="Table x1" sheetId="1" r:id="rId1"/>
    <sheet name="Table x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8" i="2" l="1"/>
  <c r="J48" i="2"/>
  <c r="J47" i="2"/>
  <c r="J46" i="2"/>
  <c r="J30" i="2"/>
  <c r="O17" i="2"/>
  <c r="O7" i="2"/>
  <c r="X24" i="2"/>
  <c r="X13" i="2"/>
  <c r="T48" i="2"/>
  <c r="N46" i="2"/>
  <c r="J37" i="2"/>
  <c r="H37" i="2"/>
  <c r="J26" i="2"/>
  <c r="H26" i="2"/>
  <c r="J15" i="2"/>
  <c r="H15" i="2"/>
  <c r="AA37" i="2"/>
  <c r="F41" i="2"/>
  <c r="J36" i="2"/>
  <c r="H34" i="2"/>
  <c r="F34" i="2"/>
  <c r="F33" i="2"/>
  <c r="F32" i="2"/>
  <c r="F31" i="2"/>
  <c r="F30" i="2"/>
  <c r="J25" i="2"/>
  <c r="H23" i="2"/>
  <c r="H22" i="2"/>
  <c r="H21" i="2"/>
  <c r="AB20" i="2"/>
  <c r="AB22" i="2" s="1"/>
  <c r="H20" i="2"/>
  <c r="H19" i="2"/>
  <c r="J19" i="2"/>
  <c r="J14" i="2"/>
  <c r="H12" i="2"/>
  <c r="H11" i="2"/>
  <c r="H10" i="2"/>
  <c r="AB9" i="2"/>
  <c r="AB11" i="2" s="1"/>
  <c r="H9" i="2"/>
  <c r="H31" i="2" s="1"/>
  <c r="H8" i="2"/>
  <c r="J8" i="2"/>
  <c r="J38" i="1"/>
  <c r="L34" i="1"/>
  <c r="L33" i="1"/>
  <c r="L32" i="1"/>
  <c r="L31" i="1"/>
  <c r="L30" i="1"/>
  <c r="H27" i="1"/>
  <c r="J27" i="1"/>
  <c r="J16" i="1"/>
  <c r="H16" i="1"/>
  <c r="J37" i="1"/>
  <c r="L37" i="1" s="1"/>
  <c r="H37" i="1"/>
  <c r="J26" i="1"/>
  <c r="L26" i="1" s="1"/>
  <c r="H26" i="1"/>
  <c r="L15" i="1"/>
  <c r="J15" i="1"/>
  <c r="H15" i="1"/>
  <c r="N37" i="1"/>
  <c r="F34" i="1"/>
  <c r="J34" i="1" s="1"/>
  <c r="F33" i="1"/>
  <c r="J33" i="1" s="1"/>
  <c r="J32" i="1"/>
  <c r="F32" i="1"/>
  <c r="F31" i="1"/>
  <c r="D31" i="1"/>
  <c r="D20" i="1" s="1"/>
  <c r="J20" i="1" s="1"/>
  <c r="L20" i="1" s="1"/>
  <c r="F30" i="1"/>
  <c r="J30" i="1" s="1"/>
  <c r="J25" i="1"/>
  <c r="H23" i="1"/>
  <c r="D23" i="1"/>
  <c r="J23" i="1" s="1"/>
  <c r="L23" i="1" s="1"/>
  <c r="J22" i="1"/>
  <c r="H22" i="1"/>
  <c r="H21" i="1"/>
  <c r="D21" i="1"/>
  <c r="J21" i="1" s="1"/>
  <c r="L21" i="1" s="1"/>
  <c r="O20" i="1"/>
  <c r="O21" i="1" s="1"/>
  <c r="H20" i="1"/>
  <c r="J19" i="1"/>
  <c r="H19" i="1"/>
  <c r="D19" i="1"/>
  <c r="J14" i="1"/>
  <c r="H12" i="1"/>
  <c r="H34" i="1" s="1"/>
  <c r="D12" i="1"/>
  <c r="J12" i="1" s="1"/>
  <c r="J11" i="1"/>
  <c r="H11" i="1"/>
  <c r="H33" i="1" s="1"/>
  <c r="H10" i="1"/>
  <c r="H32" i="1" s="1"/>
  <c r="D10" i="1"/>
  <c r="J10" i="1" s="1"/>
  <c r="L10" i="1" s="1"/>
  <c r="O9" i="1"/>
  <c r="O10" i="1" s="1"/>
  <c r="H9" i="1"/>
  <c r="D9" i="1"/>
  <c r="J9" i="1" s="1"/>
  <c r="L9" i="1" s="1"/>
  <c r="H8" i="1"/>
  <c r="D8" i="1"/>
  <c r="J8" i="1" s="1"/>
  <c r="L8" i="1" s="1"/>
  <c r="N48" i="2" l="1"/>
  <c r="L46" i="2"/>
  <c r="T46" i="2" s="1"/>
  <c r="Y13" i="2" s="1"/>
  <c r="Z13" i="2" s="1"/>
  <c r="P7" i="2" s="1"/>
  <c r="Q7" i="2" s="1"/>
  <c r="L26" i="2"/>
  <c r="L15" i="2"/>
  <c r="H33" i="2"/>
  <c r="H24" i="2"/>
  <c r="H27" i="2" s="1"/>
  <c r="H30" i="2"/>
  <c r="H32" i="2"/>
  <c r="L37" i="2"/>
  <c r="L30" i="2"/>
  <c r="L19" i="2"/>
  <c r="L8" i="2"/>
  <c r="AB10" i="2"/>
  <c r="AB21" i="2"/>
  <c r="AB12" i="2"/>
  <c r="AB23" i="2"/>
  <c r="H13" i="2"/>
  <c r="H16" i="2" s="1"/>
  <c r="J24" i="1"/>
  <c r="L27" i="1" s="1"/>
  <c r="L11" i="1"/>
  <c r="L22" i="1"/>
  <c r="J31" i="1"/>
  <c r="L12" i="1"/>
  <c r="H31" i="1"/>
  <c r="O22" i="1"/>
  <c r="O12" i="1"/>
  <c r="O23" i="1"/>
  <c r="H24" i="1"/>
  <c r="J35" i="1"/>
  <c r="J43" i="1" s="1"/>
  <c r="J44" i="1" s="1"/>
  <c r="M44" i="1" s="1"/>
  <c r="F41" i="1"/>
  <c r="H13" i="1"/>
  <c r="J13" i="1"/>
  <c r="L16" i="1" s="1"/>
  <c r="L19" i="1"/>
  <c r="O11" i="1"/>
  <c r="H30" i="1"/>
  <c r="R11" i="2" l="1"/>
  <c r="T11" i="2" s="1"/>
  <c r="D11" i="2" s="1"/>
  <c r="J11" i="2" s="1"/>
  <c r="R12" i="2"/>
  <c r="T12" i="2" s="1"/>
  <c r="D12" i="2" s="1"/>
  <c r="J12" i="2" s="1"/>
  <c r="R10" i="2"/>
  <c r="T10" i="2" s="1"/>
  <c r="D10" i="2" s="1"/>
  <c r="J10" i="2" s="1"/>
  <c r="R9" i="2"/>
  <c r="T9" i="2" s="1"/>
  <c r="D9" i="2" s="1"/>
  <c r="J9" i="2" s="1"/>
  <c r="H35" i="2"/>
  <c r="H38" i="2" s="1"/>
  <c r="H41" i="2" s="1"/>
  <c r="H35" i="1"/>
  <c r="L9" i="2" l="1"/>
  <c r="J13" i="2"/>
  <c r="L10" i="2"/>
  <c r="L12" i="2"/>
  <c r="L11" i="2"/>
  <c r="J16" i="2" l="1"/>
  <c r="N16" i="2" s="1"/>
  <c r="L13" i="2"/>
  <c r="L16" i="2" l="1"/>
  <c r="H41" i="1" l="1"/>
  <c r="H38" i="1"/>
  <c r="J36" i="1"/>
  <c r="L38" i="1"/>
  <c r="O38" i="1"/>
  <c r="N47" i="2"/>
  <c r="L47" i="2" s="1"/>
  <c r="T47" i="2" s="1"/>
  <c r="T50" i="2" l="1"/>
  <c r="Y24" i="2"/>
  <c r="Z24" i="2" s="1"/>
  <c r="P17" i="2" s="1"/>
  <c r="Q17" i="2" s="1"/>
  <c r="L50" i="2"/>
  <c r="R23" i="2" l="1"/>
  <c r="T23" i="2" s="1"/>
  <c r="D23" i="2" s="1"/>
  <c r="J23" i="2" s="1"/>
  <c r="R22" i="2"/>
  <c r="T22" i="2" s="1"/>
  <c r="D22" i="2" s="1"/>
  <c r="J22" i="2" s="1"/>
  <c r="R21" i="2"/>
  <c r="T21" i="2" s="1"/>
  <c r="D21" i="2" s="1"/>
  <c r="J21" i="2" s="1"/>
  <c r="R20" i="2"/>
  <c r="T20" i="2" s="1"/>
  <c r="D20" i="2" s="1"/>
  <c r="J20" i="2" s="1"/>
  <c r="L21" i="2" l="1"/>
  <c r="J32" i="2"/>
  <c r="L32" i="2" s="1"/>
  <c r="L22" i="2"/>
  <c r="J33" i="2"/>
  <c r="L33" i="2" s="1"/>
  <c r="L23" i="2"/>
  <c r="J34" i="2"/>
  <c r="L34" i="2" s="1"/>
  <c r="L20" i="2"/>
  <c r="J24" i="2"/>
  <c r="J31" i="2"/>
  <c r="J27" i="2" l="1"/>
  <c r="L27" i="2" s="1"/>
  <c r="L24" i="2"/>
  <c r="L31" i="2"/>
  <c r="J35" i="2"/>
  <c r="N27" i="2" l="1"/>
  <c r="N39" i="2" s="1"/>
  <c r="J43" i="2"/>
  <c r="J44" i="2" s="1"/>
  <c r="W44" i="2" s="1"/>
  <c r="J38" i="2"/>
  <c r="AB38" i="2" l="1"/>
  <c r="N38" i="2"/>
  <c r="L38" i="2"/>
</calcChain>
</file>

<file path=xl/sharedStrings.xml><?xml version="1.0" encoding="utf-8"?>
<sst xmlns="http://schemas.openxmlformats.org/spreadsheetml/2006/main" count="130" uniqueCount="44">
  <si>
    <t>Table X</t>
  </si>
  <si>
    <t>Time-of-Day Primary</t>
  </si>
  <si>
    <t>LG&amp;E Proposed Revenue Increases</t>
  </si>
  <si>
    <t>Present</t>
  </si>
  <si>
    <t>Proposed</t>
  </si>
  <si>
    <t>Billing</t>
  </si>
  <si>
    <t>%</t>
  </si>
  <si>
    <t>Rates</t>
  </si>
  <si>
    <t>Units</t>
  </si>
  <si>
    <t>Revenues</t>
  </si>
  <si>
    <t>Change</t>
  </si>
  <si>
    <t>COMMERCIAL</t>
  </si>
  <si>
    <t>Basic Service Charges</t>
  </si>
  <si>
    <t>All Energy</t>
  </si>
  <si>
    <t>Demand kVa Base</t>
  </si>
  <si>
    <t>Demand kVa Intermediate</t>
  </si>
  <si>
    <t>Demand kVa Peak</t>
  </si>
  <si>
    <t>Total Calculated</t>
  </si>
  <si>
    <t>Correction Factor</t>
  </si>
  <si>
    <t>Total</t>
  </si>
  <si>
    <t>INDUSTRIAL</t>
  </si>
  <si>
    <t>TOTAL</t>
  </si>
  <si>
    <t>Target</t>
  </si>
  <si>
    <t xml:space="preserve"> </t>
  </si>
  <si>
    <t>Actual</t>
  </si>
  <si>
    <t>Diff</t>
  </si>
  <si>
    <t>trial</t>
  </si>
  <si>
    <t>Net FAC, ECR, DSM Revenues</t>
  </si>
  <si>
    <t>KIUC Proposed Revenue Increases</t>
  </si>
  <si>
    <t>com</t>
  </si>
  <si>
    <t>ind</t>
  </si>
  <si>
    <t>tot</t>
  </si>
  <si>
    <t>pres</t>
  </si>
  <si>
    <t>prop</t>
  </si>
  <si>
    <t>$</t>
  </si>
  <si>
    <t>KIUC</t>
  </si>
  <si>
    <t>Difference</t>
  </si>
  <si>
    <t>Proposed Revenue</t>
  </si>
  <si>
    <t>Less BSC</t>
  </si>
  <si>
    <t>Adjustment</t>
  </si>
  <si>
    <t>Increase</t>
  </si>
  <si>
    <t>Rate</t>
  </si>
  <si>
    <t>LG&amp;E</t>
  </si>
  <si>
    <t>Check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</si>
</sst>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0000_);_(&quot;$&quot;* \(#,##0.00000\);_(&quot;$&quot;* &quot;-&quot;??_);_(@_)"/>
    <numFmt numFmtId="166" formatCode="_(* #,##0.000000000_);_(* \(#,##0.000000000\);_(* &quot;-&quot;??_);_(@_)"/>
    <numFmt numFmtId="167" formatCode="0.0%"/>
    <numFmt numFmtId="168" formatCode="_(* #,##0.0000000000_);_(* \(#,##0.0000000000\);_(* &quot;-&quot;??_);_(@_)"/>
    <numFmt numFmtId="172" formatCode="_(* #,##0.00000_);_(* \(#,##0.00000\);_(* &quot;-&quot;??_);_(@_)"/>
    <numFmt numFmtId="176" formatCode="0.000000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/>
    <xf numFmtId="164" fontId="0" fillId="0" borderId="0" xfId="1" applyNumberFormat="1" applyFont="1"/>
    <xf numFmtId="164" fontId="0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center"/>
    </xf>
    <xf numFmtId="42" fontId="0" fillId="0" borderId="0" xfId="1" applyNumberFormat="1" applyFont="1"/>
    <xf numFmtId="10" fontId="0" fillId="0" borderId="0" xfId="2" applyNumberFormat="1" applyFont="1"/>
    <xf numFmtId="10" fontId="0" fillId="0" borderId="0" xfId="2" applyNumberFormat="1" applyFont="1" applyBorder="1"/>
    <xf numFmtId="166" fontId="0" fillId="0" borderId="1" xfId="1" applyNumberFormat="1" applyFont="1" applyBorder="1"/>
    <xf numFmtId="164" fontId="0" fillId="0" borderId="1" xfId="1" applyNumberFormat="1" applyFont="1" applyBorder="1"/>
    <xf numFmtId="164" fontId="0" fillId="0" borderId="0" xfId="1" applyNumberFormat="1" applyFont="1" applyBorder="1"/>
    <xf numFmtId="167" fontId="0" fillId="0" borderId="0" xfId="2" applyNumberFormat="1" applyFont="1"/>
    <xf numFmtId="9" fontId="0" fillId="0" borderId="0" xfId="2" applyFont="1"/>
    <xf numFmtId="168" fontId="0" fillId="0" borderId="0" xfId="1" applyNumberFormat="1" applyFont="1"/>
    <xf numFmtId="164" fontId="2" fillId="0" borderId="3" xfId="1" applyNumberFormat="1" applyFont="1" applyBorder="1" applyAlignment="1">
      <alignment horizontal="centerContinuous"/>
    </xf>
    <xf numFmtId="164" fontId="2" fillId="0" borderId="4" xfId="1" applyNumberFormat="1" applyFont="1" applyBorder="1" applyAlignment="1">
      <alignment horizontal="centerContinuous"/>
    </xf>
    <xf numFmtId="164" fontId="2" fillId="0" borderId="5" xfId="1" applyNumberFormat="1" applyFont="1" applyBorder="1" applyAlignment="1">
      <alignment horizontal="centerContinuous"/>
    </xf>
    <xf numFmtId="164" fontId="2" fillId="0" borderId="6" xfId="1" applyNumberFormat="1" applyFont="1" applyBorder="1" applyAlignment="1">
      <alignment horizontal="centerContinuous"/>
    </xf>
    <xf numFmtId="164" fontId="2" fillId="0" borderId="0" xfId="1" applyNumberFormat="1" applyFont="1" applyBorder="1" applyAlignment="1">
      <alignment horizontal="centerContinuous"/>
    </xf>
    <xf numFmtId="164" fontId="2" fillId="0" borderId="7" xfId="1" applyNumberFormat="1" applyFont="1" applyBorder="1" applyAlignment="1">
      <alignment horizontal="centerContinuous"/>
    </xf>
    <xf numFmtId="164" fontId="0" fillId="0" borderId="6" xfId="1" applyNumberFormat="1" applyFont="1" applyBorder="1" applyAlignment="1">
      <alignment horizontal="right"/>
    </xf>
    <xf numFmtId="164" fontId="0" fillId="0" borderId="7" xfId="1" applyNumberFormat="1" applyFont="1" applyBorder="1"/>
    <xf numFmtId="164" fontId="2" fillId="0" borderId="6" xfId="1" applyNumberFormat="1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164" fontId="2" fillId="0" borderId="7" xfId="1" quotePrefix="1" applyNumberFormat="1" applyFont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164" fontId="2" fillId="0" borderId="6" xfId="1" applyNumberFormat="1" applyFont="1" applyBorder="1" applyAlignment="1"/>
    <xf numFmtId="44" fontId="0" fillId="0" borderId="0" xfId="1" applyNumberFormat="1" applyFont="1" applyBorder="1"/>
    <xf numFmtId="10" fontId="0" fillId="0" borderId="7" xfId="2" applyNumberFormat="1" applyFont="1" applyBorder="1"/>
    <xf numFmtId="165" fontId="0" fillId="0" borderId="0" xfId="1" applyNumberFormat="1" applyFont="1" applyBorder="1"/>
    <xf numFmtId="166" fontId="0" fillId="0" borderId="0" xfId="1" applyNumberFormat="1" applyFont="1" applyBorder="1"/>
    <xf numFmtId="164" fontId="0" fillId="0" borderId="8" xfId="1" applyNumberFormat="1" applyFont="1" applyBorder="1"/>
    <xf numFmtId="164" fontId="0" fillId="0" borderId="10" xfId="1" applyNumberFormat="1" applyFont="1" applyBorder="1" applyAlignment="1">
      <alignment horizontal="right"/>
    </xf>
    <xf numFmtId="41" fontId="0" fillId="0" borderId="0" xfId="1" applyNumberFormat="1" applyFont="1"/>
    <xf numFmtId="164" fontId="0" fillId="0" borderId="2" xfId="1" applyNumberFormat="1" applyFont="1" applyBorder="1"/>
    <xf numFmtId="168" fontId="0" fillId="0" borderId="1" xfId="1" applyNumberFormat="1" applyFont="1" applyBorder="1"/>
    <xf numFmtId="168" fontId="0" fillId="0" borderId="0" xfId="1" applyNumberFormat="1" applyFont="1" applyBorder="1"/>
    <xf numFmtId="176" fontId="0" fillId="0" borderId="1" xfId="1" applyNumberFormat="1" applyFont="1" applyBorder="1"/>
    <xf numFmtId="164" fontId="2" fillId="0" borderId="0" xfId="1" quotePrefix="1" applyNumberFormat="1" applyFont="1" applyBorder="1" applyAlignment="1">
      <alignment horizontal="center"/>
    </xf>
    <xf numFmtId="164" fontId="0" fillId="0" borderId="0" xfId="2" applyNumberFormat="1" applyFont="1" applyBorder="1"/>
    <xf numFmtId="164" fontId="0" fillId="2" borderId="0" xfId="1" applyNumberFormat="1" applyFont="1" applyFill="1" applyBorder="1"/>
    <xf numFmtId="164" fontId="0" fillId="2" borderId="0" xfId="1" applyNumberFormat="1" applyFont="1" applyFill="1"/>
    <xf numFmtId="164" fontId="2" fillId="2" borderId="0" xfId="1" quotePrefix="1" applyNumberFormat="1" applyFont="1" applyFill="1" applyBorder="1" applyAlignment="1">
      <alignment horizontal="center"/>
    </xf>
    <xf numFmtId="164" fontId="2" fillId="2" borderId="0" xfId="1" applyNumberFormat="1" applyFont="1" applyFill="1" applyBorder="1" applyAlignment="1">
      <alignment horizontal="center"/>
    </xf>
    <xf numFmtId="164" fontId="0" fillId="2" borderId="0" xfId="2" applyNumberFormat="1" applyFont="1" applyFill="1" applyBorder="1"/>
    <xf numFmtId="166" fontId="0" fillId="2" borderId="0" xfId="1" applyNumberFormat="1" applyFont="1" applyFill="1" applyBorder="1"/>
    <xf numFmtId="168" fontId="0" fillId="2" borderId="0" xfId="1" applyNumberFormat="1" applyFont="1" applyFill="1" applyBorder="1"/>
    <xf numFmtId="164" fontId="0" fillId="2" borderId="0" xfId="0" applyNumberFormat="1" applyFill="1"/>
    <xf numFmtId="0" fontId="0" fillId="2" borderId="0" xfId="0" applyFill="1"/>
    <xf numFmtId="10" fontId="0" fillId="2" borderId="0" xfId="2" applyNumberFormat="1" applyFont="1" applyFill="1"/>
    <xf numFmtId="164" fontId="0" fillId="2" borderId="4" xfId="1" applyNumberFormat="1" applyFont="1" applyFill="1" applyBorder="1"/>
    <xf numFmtId="164" fontId="0" fillId="2" borderId="5" xfId="1" applyNumberFormat="1" applyFont="1" applyFill="1" applyBorder="1"/>
    <xf numFmtId="164" fontId="2" fillId="2" borderId="7" xfId="1" applyNumberFormat="1" applyFont="1" applyFill="1" applyBorder="1" applyAlignment="1">
      <alignment horizontal="center"/>
    </xf>
    <xf numFmtId="164" fontId="0" fillId="2" borderId="7" xfId="1" applyNumberFormat="1" applyFont="1" applyFill="1" applyBorder="1"/>
    <xf numFmtId="10" fontId="0" fillId="2" borderId="0" xfId="1" applyNumberFormat="1" applyFont="1" applyFill="1" applyBorder="1"/>
    <xf numFmtId="10" fontId="0" fillId="2" borderId="7" xfId="1" applyNumberFormat="1" applyFont="1" applyFill="1" applyBorder="1"/>
    <xf numFmtId="164" fontId="0" fillId="2" borderId="1" xfId="2" applyNumberFormat="1" applyFont="1" applyFill="1" applyBorder="1"/>
    <xf numFmtId="164" fontId="0" fillId="2" borderId="1" xfId="1" applyNumberFormat="1" applyFont="1" applyFill="1" applyBorder="1"/>
    <xf numFmtId="10" fontId="0" fillId="2" borderId="1" xfId="1" applyNumberFormat="1" applyFont="1" applyFill="1" applyBorder="1"/>
    <xf numFmtId="10" fontId="0" fillId="2" borderId="8" xfId="1" applyNumberFormat="1" applyFont="1" applyFill="1" applyBorder="1"/>
    <xf numFmtId="10" fontId="0" fillId="2" borderId="3" xfId="2" applyNumberFormat="1" applyFont="1" applyFill="1" applyBorder="1"/>
    <xf numFmtId="10" fontId="0" fillId="2" borderId="4" xfId="2" applyNumberFormat="1" applyFont="1" applyFill="1" applyBorder="1"/>
    <xf numFmtId="0" fontId="0" fillId="2" borderId="4" xfId="0" applyFill="1" applyBorder="1"/>
    <xf numFmtId="10" fontId="0" fillId="2" borderId="6" xfId="2" applyNumberFormat="1" applyFont="1" applyFill="1" applyBorder="1"/>
    <xf numFmtId="10" fontId="0" fillId="2" borderId="0" xfId="2" applyNumberFormat="1" applyFont="1" applyFill="1" applyBorder="1"/>
    <xf numFmtId="164" fontId="1" fillId="2" borderId="0" xfId="1" quotePrefix="1" applyNumberFormat="1" applyFont="1" applyFill="1" applyBorder="1" applyAlignment="1">
      <alignment horizontal="center"/>
    </xf>
    <xf numFmtId="0" fontId="0" fillId="2" borderId="0" xfId="0" applyFill="1" applyBorder="1"/>
    <xf numFmtId="164" fontId="0" fillId="2" borderId="6" xfId="2" applyNumberFormat="1" applyFont="1" applyFill="1" applyBorder="1"/>
    <xf numFmtId="0" fontId="0" fillId="2" borderId="6" xfId="0" applyFill="1" applyBorder="1"/>
    <xf numFmtId="164" fontId="0" fillId="2" borderId="0" xfId="0" applyNumberFormat="1" applyFill="1" applyBorder="1"/>
    <xf numFmtId="172" fontId="0" fillId="2" borderId="0" xfId="1" applyNumberFormat="1" applyFont="1" applyFill="1" applyBorder="1"/>
    <xf numFmtId="164" fontId="0" fillId="2" borderId="6" xfId="1" applyNumberFormat="1" applyFont="1" applyFill="1" applyBorder="1"/>
    <xf numFmtId="43" fontId="0" fillId="2" borderId="0" xfId="0" applyNumberFormat="1" applyFill="1" applyBorder="1"/>
    <xf numFmtId="10" fontId="0" fillId="2" borderId="10" xfId="2" applyNumberFormat="1" applyFont="1" applyFill="1" applyBorder="1"/>
    <xf numFmtId="10" fontId="0" fillId="2" borderId="1" xfId="2" applyNumberFormat="1" applyFont="1" applyFill="1" applyBorder="1"/>
    <xf numFmtId="164" fontId="2" fillId="0" borderId="0" xfId="1" applyNumberFormat="1" applyFont="1" applyBorder="1" applyAlignment="1">
      <alignment horizontal="left"/>
    </xf>
    <xf numFmtId="164" fontId="2" fillId="2" borderId="4" xfId="1" applyNumberFormat="1" applyFont="1" applyFill="1" applyBorder="1" applyAlignment="1">
      <alignment horizontal="center"/>
    </xf>
    <xf numFmtId="10" fontId="2" fillId="0" borderId="9" xfId="2" applyNumberFormat="1" applyFont="1" applyBorder="1"/>
    <xf numFmtId="10" fontId="2" fillId="0" borderId="11" xfId="2" applyNumberFormat="1" applyFont="1" applyBorder="1"/>
    <xf numFmtId="164" fontId="1" fillId="0" borderId="1" xfId="1" applyNumberFormat="1" applyFon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showGridLines="0" topLeftCell="A10" workbookViewId="0">
      <selection activeCell="N33" sqref="N33"/>
    </sheetView>
  </sheetViews>
  <sheetFormatPr defaultRowHeight="14.4" x14ac:dyDescent="0.3"/>
  <cols>
    <col min="2" max="2" width="26.33203125" bestFit="1" customWidth="1"/>
    <col min="3" max="3" width="10" bestFit="1" customWidth="1"/>
    <col min="4" max="4" width="10.88671875" customWidth="1"/>
    <col min="5" max="5" width="2.6640625" hidden="1" customWidth="1"/>
    <col min="6" max="6" width="14.33203125" hidden="1" customWidth="1"/>
    <col min="7" max="7" width="2.6640625" customWidth="1"/>
    <col min="8" max="8" width="13.5546875" customWidth="1"/>
    <col min="9" max="9" width="2.6640625" customWidth="1"/>
    <col min="10" max="10" width="14.109375" customWidth="1"/>
    <col min="11" max="11" width="2.6640625" customWidth="1"/>
    <col min="12" max="12" width="9.109375"/>
    <col min="13" max="13" width="15" customWidth="1"/>
    <col min="14" max="14" width="11" bestFit="1" customWidth="1"/>
    <col min="15" max="15" width="14.6640625" bestFit="1" customWidth="1"/>
  </cols>
  <sheetData>
    <row r="1" spans="1:16" x14ac:dyDescent="0.3">
      <c r="A1" s="1"/>
      <c r="B1" s="13" t="s">
        <v>0</v>
      </c>
      <c r="C1" s="14"/>
      <c r="D1" s="14"/>
      <c r="E1" s="14"/>
      <c r="F1" s="14"/>
      <c r="G1" s="14"/>
      <c r="H1" s="14"/>
      <c r="I1" s="14"/>
      <c r="J1" s="14"/>
      <c r="K1" s="14"/>
      <c r="L1" s="15"/>
      <c r="M1" s="1"/>
      <c r="N1" s="1"/>
      <c r="O1" s="1"/>
      <c r="P1" s="1"/>
    </row>
    <row r="2" spans="1:16" x14ac:dyDescent="0.3">
      <c r="A2" s="1"/>
      <c r="B2" s="16" t="s">
        <v>1</v>
      </c>
      <c r="C2" s="17"/>
      <c r="D2" s="17"/>
      <c r="E2" s="17"/>
      <c r="F2" s="17"/>
      <c r="G2" s="17"/>
      <c r="H2" s="17"/>
      <c r="I2" s="17"/>
      <c r="J2" s="17"/>
      <c r="K2" s="17"/>
      <c r="L2" s="18"/>
      <c r="M2" s="1"/>
      <c r="N2" s="1"/>
      <c r="O2" s="1"/>
      <c r="P2" s="1"/>
    </row>
    <row r="3" spans="1:16" x14ac:dyDescent="0.3">
      <c r="A3" s="1"/>
      <c r="B3" s="16" t="s">
        <v>2</v>
      </c>
      <c r="C3" s="17"/>
      <c r="D3" s="17"/>
      <c r="E3" s="17"/>
      <c r="F3" s="17"/>
      <c r="G3" s="17"/>
      <c r="H3" s="17"/>
      <c r="I3" s="17"/>
      <c r="J3" s="17"/>
      <c r="K3" s="17"/>
      <c r="L3" s="18"/>
      <c r="M3" s="1"/>
      <c r="N3" s="1"/>
      <c r="O3" s="1"/>
      <c r="P3" s="1"/>
    </row>
    <row r="4" spans="1:16" x14ac:dyDescent="0.3">
      <c r="A4" s="1"/>
      <c r="B4" s="19"/>
      <c r="C4" s="9"/>
      <c r="D4" s="9"/>
      <c r="E4" s="9"/>
      <c r="F4" s="9"/>
      <c r="G4" s="9"/>
      <c r="H4" s="9"/>
      <c r="I4" s="9"/>
      <c r="J4" s="9"/>
      <c r="K4" s="9"/>
      <c r="L4" s="20"/>
      <c r="M4" s="1"/>
      <c r="N4" s="1"/>
      <c r="O4" s="1"/>
      <c r="P4" s="1"/>
    </row>
    <row r="5" spans="1:16" x14ac:dyDescent="0.3">
      <c r="A5" s="3"/>
      <c r="B5" s="21"/>
      <c r="C5" s="22" t="s">
        <v>3</v>
      </c>
      <c r="D5" s="22" t="s">
        <v>4</v>
      </c>
      <c r="E5" s="22"/>
      <c r="F5" s="22" t="s">
        <v>5</v>
      </c>
      <c r="G5" s="22"/>
      <c r="H5" s="22" t="s">
        <v>3</v>
      </c>
      <c r="I5" s="22"/>
      <c r="J5" s="22" t="s">
        <v>4</v>
      </c>
      <c r="K5" s="22"/>
      <c r="L5" s="23" t="s">
        <v>6</v>
      </c>
      <c r="M5" s="3"/>
      <c r="N5" s="3"/>
      <c r="O5" s="3"/>
      <c r="P5" s="3"/>
    </row>
    <row r="6" spans="1:16" x14ac:dyDescent="0.3">
      <c r="A6" s="3"/>
      <c r="B6" s="21"/>
      <c r="C6" s="22" t="s">
        <v>7</v>
      </c>
      <c r="D6" s="22" t="s">
        <v>7</v>
      </c>
      <c r="E6" s="22"/>
      <c r="F6" s="22" t="s">
        <v>8</v>
      </c>
      <c r="G6" s="22"/>
      <c r="H6" s="22" t="s">
        <v>9</v>
      </c>
      <c r="I6" s="22"/>
      <c r="J6" s="22" t="s">
        <v>9</v>
      </c>
      <c r="K6" s="22"/>
      <c r="L6" s="24" t="s">
        <v>10</v>
      </c>
      <c r="M6" s="3"/>
      <c r="N6" s="3"/>
      <c r="O6" s="3"/>
      <c r="P6" s="3"/>
    </row>
    <row r="7" spans="1:16" x14ac:dyDescent="0.3">
      <c r="A7" s="1"/>
      <c r="B7" s="25" t="s">
        <v>11</v>
      </c>
      <c r="C7" s="9"/>
      <c r="D7" s="9"/>
      <c r="E7" s="9"/>
      <c r="F7" s="9"/>
      <c r="G7" s="9"/>
      <c r="H7" s="9"/>
      <c r="I7" s="9"/>
      <c r="J7" s="9"/>
      <c r="K7" s="9"/>
      <c r="L7" s="20"/>
      <c r="M7" s="1"/>
      <c r="N7" s="1"/>
      <c r="O7" s="1"/>
      <c r="P7" s="1"/>
    </row>
    <row r="8" spans="1:16" x14ac:dyDescent="0.3">
      <c r="A8" s="1"/>
      <c r="B8" s="19" t="s">
        <v>12</v>
      </c>
      <c r="C8" s="26">
        <v>300</v>
      </c>
      <c r="D8" s="26">
        <f>D30</f>
        <v>300</v>
      </c>
      <c r="E8" s="9"/>
      <c r="F8" s="9">
        <v>474</v>
      </c>
      <c r="G8" s="9"/>
      <c r="H8" s="9">
        <f>C8*$F8</f>
        <v>142200</v>
      </c>
      <c r="I8" s="9"/>
      <c r="J8" s="9">
        <f>D8*$F8</f>
        <v>142200</v>
      </c>
      <c r="K8" s="9"/>
      <c r="L8" s="27">
        <f>J8/H8-1</f>
        <v>0</v>
      </c>
      <c r="M8" s="1"/>
      <c r="N8" s="1"/>
      <c r="O8" s="1"/>
      <c r="P8" s="1"/>
    </row>
    <row r="9" spans="1:16" x14ac:dyDescent="0.3">
      <c r="A9" s="1"/>
      <c r="B9" s="19" t="s">
        <v>13</v>
      </c>
      <c r="C9" s="28">
        <v>3.8100000000000002E-2</v>
      </c>
      <c r="D9" s="28">
        <f>D31</f>
        <v>3.823E-2</v>
      </c>
      <c r="E9" s="9"/>
      <c r="F9" s="9">
        <v>372651050</v>
      </c>
      <c r="G9" s="9"/>
      <c r="H9" s="9">
        <f t="shared" ref="H9:H12" si="0">C9*$F9</f>
        <v>14198005.005000001</v>
      </c>
      <c r="I9" s="9"/>
      <c r="J9" s="9">
        <f>D9*$F9</f>
        <v>14246449.6415</v>
      </c>
      <c r="K9" s="9"/>
      <c r="L9" s="27">
        <f t="shared" ref="L9:L16" si="1">J9/H9-1</f>
        <v>3.4120734908136274E-3</v>
      </c>
      <c r="M9" s="1"/>
      <c r="N9" s="1"/>
      <c r="O9" s="1">
        <f>F9/876</f>
        <v>425400.7420091324</v>
      </c>
      <c r="P9" s="1"/>
    </row>
    <row r="10" spans="1:16" x14ac:dyDescent="0.3">
      <c r="A10" s="1"/>
      <c r="B10" s="19" t="s">
        <v>14</v>
      </c>
      <c r="C10" s="26">
        <v>3.98</v>
      </c>
      <c r="D10" s="26">
        <f>D32</f>
        <v>3.54</v>
      </c>
      <c r="E10" s="9"/>
      <c r="F10" s="9">
        <v>886968</v>
      </c>
      <c r="G10" s="9"/>
      <c r="H10" s="9">
        <f t="shared" si="0"/>
        <v>3530132.64</v>
      </c>
      <c r="I10" s="9"/>
      <c r="J10" s="9">
        <f>D10*$F10</f>
        <v>3139866.72</v>
      </c>
      <c r="K10" s="9"/>
      <c r="L10" s="27">
        <f t="shared" si="1"/>
        <v>-0.1105527638190954</v>
      </c>
      <c r="M10" s="1"/>
      <c r="N10" s="1"/>
      <c r="O10" s="5">
        <f>O$9/F10</f>
        <v>0.47961227689063463</v>
      </c>
      <c r="P10" s="1"/>
    </row>
    <row r="11" spans="1:16" x14ac:dyDescent="0.3">
      <c r="A11" s="1"/>
      <c r="B11" s="19" t="s">
        <v>15</v>
      </c>
      <c r="C11" s="26">
        <v>4.13</v>
      </c>
      <c r="D11" s="26">
        <v>3.69</v>
      </c>
      <c r="E11" s="9"/>
      <c r="F11" s="9">
        <v>822075</v>
      </c>
      <c r="G11" s="9"/>
      <c r="H11" s="9">
        <f t="shared" si="0"/>
        <v>3395169.75</v>
      </c>
      <c r="I11" s="9"/>
      <c r="J11" s="9">
        <f>D11*$F11</f>
        <v>3033456.75</v>
      </c>
      <c r="K11" s="9"/>
      <c r="L11" s="27">
        <f t="shared" si="1"/>
        <v>-0.10653753026634383</v>
      </c>
      <c r="M11" s="1"/>
      <c r="N11" s="1"/>
      <c r="O11" s="5">
        <f t="shared" ref="O11:O12" si="2">O$9/F11</f>
        <v>0.51747193626996613</v>
      </c>
      <c r="P11" s="1"/>
    </row>
    <row r="12" spans="1:16" x14ac:dyDescent="0.3">
      <c r="A12" s="1"/>
      <c r="B12" s="19" t="s">
        <v>16</v>
      </c>
      <c r="C12" s="26">
        <v>5.83</v>
      </c>
      <c r="D12" s="26">
        <f>D34</f>
        <v>5.04</v>
      </c>
      <c r="E12" s="9"/>
      <c r="F12" s="9">
        <v>804117</v>
      </c>
      <c r="G12" s="9"/>
      <c r="H12" s="8">
        <f t="shared" si="0"/>
        <v>4688002.1100000003</v>
      </c>
      <c r="I12" s="9"/>
      <c r="J12" s="8">
        <f>D12*$F12</f>
        <v>4052749.68</v>
      </c>
      <c r="K12" s="9"/>
      <c r="L12" s="27">
        <f t="shared" si="1"/>
        <v>-0.13550600343053176</v>
      </c>
      <c r="M12" s="1"/>
      <c r="N12" s="1"/>
      <c r="O12" s="5">
        <f t="shared" si="2"/>
        <v>0.52902841503056441</v>
      </c>
      <c r="P12" s="1"/>
    </row>
    <row r="13" spans="1:16" x14ac:dyDescent="0.3">
      <c r="A13" s="1"/>
      <c r="B13" s="19" t="s">
        <v>17</v>
      </c>
      <c r="C13" s="9"/>
      <c r="D13" s="9"/>
      <c r="E13" s="9"/>
      <c r="F13" s="9"/>
      <c r="G13" s="9"/>
      <c r="H13" s="9">
        <f>SUM(H8:H12)</f>
        <v>25953509.504999999</v>
      </c>
      <c r="I13" s="9"/>
      <c r="J13" s="9">
        <f>SUM(J8:J12)</f>
        <v>24614722.791499998</v>
      </c>
      <c r="K13" s="9"/>
      <c r="L13" s="27"/>
      <c r="M13" s="1"/>
      <c r="N13" s="1"/>
      <c r="O13" s="1"/>
      <c r="P13" s="1"/>
    </row>
    <row r="14" spans="1:16" x14ac:dyDescent="0.3">
      <c r="A14" s="1"/>
      <c r="B14" s="19" t="s">
        <v>18</v>
      </c>
      <c r="C14" s="9"/>
      <c r="D14" s="9"/>
      <c r="E14" s="9"/>
      <c r="F14" s="9"/>
      <c r="G14" s="9"/>
      <c r="H14" s="7">
        <v>1.0000003079999999</v>
      </c>
      <c r="I14" s="29"/>
      <c r="J14" s="7">
        <f>H14</f>
        <v>1.0000003079999999</v>
      </c>
      <c r="K14" s="9"/>
      <c r="L14" s="30"/>
      <c r="M14" s="1"/>
      <c r="N14" s="1"/>
      <c r="O14" s="1"/>
      <c r="P14" s="1"/>
    </row>
    <row r="15" spans="1:16" x14ac:dyDescent="0.3">
      <c r="A15" s="1"/>
      <c r="B15" s="19" t="s">
        <v>27</v>
      </c>
      <c r="C15" s="9"/>
      <c r="D15" s="9"/>
      <c r="E15" s="9"/>
      <c r="F15" s="9"/>
      <c r="G15" s="9"/>
      <c r="H15" s="9">
        <f>N15</f>
        <v>3984681</v>
      </c>
      <c r="I15" s="9"/>
      <c r="J15" s="9">
        <f>N15</f>
        <v>3984681</v>
      </c>
      <c r="K15" s="9"/>
      <c r="L15" s="27">
        <f t="shared" si="1"/>
        <v>0</v>
      </c>
      <c r="M15" s="1"/>
      <c r="N15" s="32">
        <v>3984681</v>
      </c>
      <c r="O15" s="1"/>
      <c r="P15" s="1"/>
    </row>
    <row r="16" spans="1:16" ht="15" thickBot="1" x14ac:dyDescent="0.35">
      <c r="A16" s="1"/>
      <c r="B16" s="19" t="s">
        <v>19</v>
      </c>
      <c r="C16" s="9"/>
      <c r="D16" s="9"/>
      <c r="E16" s="9"/>
      <c r="F16" s="9"/>
      <c r="G16" s="9"/>
      <c r="H16" s="33">
        <f>H13/H14+H15</f>
        <v>29938182.511321533</v>
      </c>
      <c r="I16" s="9"/>
      <c r="J16" s="33">
        <f>J13/J14+J15</f>
        <v>28599396.210167713</v>
      </c>
      <c r="K16" s="9"/>
      <c r="L16" s="76">
        <f t="shared" si="1"/>
        <v>-4.4718355920488451E-2</v>
      </c>
      <c r="M16" s="1"/>
      <c r="N16" s="1"/>
      <c r="O16" s="1"/>
      <c r="P16" s="1"/>
    </row>
    <row r="17" spans="1:16" ht="15" thickTop="1" x14ac:dyDescent="0.3">
      <c r="A17" s="1"/>
      <c r="B17" s="19"/>
      <c r="C17" s="9"/>
      <c r="D17" s="9"/>
      <c r="E17" s="9"/>
      <c r="F17" s="9"/>
      <c r="G17" s="9"/>
      <c r="H17" s="9"/>
      <c r="I17" s="9"/>
      <c r="J17" s="9"/>
      <c r="K17" s="9"/>
      <c r="L17" s="20"/>
      <c r="M17" s="1"/>
      <c r="N17" s="1"/>
      <c r="O17" s="1"/>
      <c r="P17" s="1"/>
    </row>
    <row r="18" spans="1:16" x14ac:dyDescent="0.3">
      <c r="A18" s="1"/>
      <c r="B18" s="25" t="s">
        <v>20</v>
      </c>
      <c r="C18" s="9"/>
      <c r="D18" s="9"/>
      <c r="E18" s="9"/>
      <c r="F18" s="9"/>
      <c r="G18" s="9"/>
      <c r="H18" s="9"/>
      <c r="I18" s="9"/>
      <c r="J18" s="9"/>
      <c r="K18" s="9"/>
      <c r="L18" s="20"/>
      <c r="M18" s="1"/>
      <c r="N18" s="1"/>
      <c r="O18" s="1"/>
      <c r="P18" s="1"/>
    </row>
    <row r="19" spans="1:16" x14ac:dyDescent="0.3">
      <c r="A19" s="1"/>
      <c r="B19" s="19" t="s">
        <v>12</v>
      </c>
      <c r="C19" s="26">
        <v>300</v>
      </c>
      <c r="D19" s="26">
        <f>D30</f>
        <v>300</v>
      </c>
      <c r="E19" s="9"/>
      <c r="F19" s="9">
        <v>842</v>
      </c>
      <c r="G19" s="9"/>
      <c r="H19" s="9">
        <f>C19*$F19</f>
        <v>252600</v>
      </c>
      <c r="I19" s="9"/>
      <c r="J19" s="9">
        <f>D19*$F19</f>
        <v>252600</v>
      </c>
      <c r="K19" s="9"/>
      <c r="L19" s="27">
        <f>J19/H19-1</f>
        <v>0</v>
      </c>
      <c r="M19" s="1"/>
      <c r="N19" s="1"/>
      <c r="O19" s="1"/>
      <c r="P19" s="1"/>
    </row>
    <row r="20" spans="1:16" x14ac:dyDescent="0.3">
      <c r="A20" s="1"/>
      <c r="B20" s="19" t="s">
        <v>13</v>
      </c>
      <c r="C20" s="28">
        <v>3.5380000000000002E-2</v>
      </c>
      <c r="D20" s="28">
        <f>D31</f>
        <v>3.823E-2</v>
      </c>
      <c r="E20" s="9"/>
      <c r="F20" s="9">
        <v>1670443749</v>
      </c>
      <c r="G20" s="9"/>
      <c r="H20" s="9">
        <f t="shared" ref="H20:H23" si="3">C20*$F20</f>
        <v>59100299.839620002</v>
      </c>
      <c r="I20" s="9"/>
      <c r="J20" s="9">
        <f t="shared" ref="J20:J23" si="4">D20*$F20</f>
        <v>63861064.524269998</v>
      </c>
      <c r="K20" s="9"/>
      <c r="L20" s="27">
        <f t="shared" ref="L20:L23" si="5">J20/H20-1</f>
        <v>8.0553985302430631E-2</v>
      </c>
      <c r="M20" s="1"/>
      <c r="N20" s="1"/>
      <c r="O20" s="1">
        <f>F20/876</f>
        <v>1906899.256849315</v>
      </c>
      <c r="P20" s="1"/>
    </row>
    <row r="21" spans="1:16" x14ac:dyDescent="0.3">
      <c r="A21" s="1"/>
      <c r="B21" s="19" t="s">
        <v>14</v>
      </c>
      <c r="C21" s="26">
        <v>3.63</v>
      </c>
      <c r="D21" s="26">
        <f>D32</f>
        <v>3.54</v>
      </c>
      <c r="E21" s="9"/>
      <c r="F21" s="9">
        <v>4104101</v>
      </c>
      <c r="G21" s="9"/>
      <c r="H21" s="9">
        <f t="shared" si="3"/>
        <v>14897886.629999999</v>
      </c>
      <c r="I21" s="9"/>
      <c r="J21" s="9">
        <f t="shared" si="4"/>
        <v>14528517.540000001</v>
      </c>
      <c r="K21" s="9"/>
      <c r="L21" s="27">
        <f t="shared" si="5"/>
        <v>-2.4793388429751984E-2</v>
      </c>
      <c r="M21" s="1"/>
      <c r="N21" s="1"/>
      <c r="O21" s="5">
        <f>O$20/F21</f>
        <v>0.46463263376055197</v>
      </c>
      <c r="P21" s="1"/>
    </row>
    <row r="22" spans="1:16" x14ac:dyDescent="0.3">
      <c r="A22" s="1"/>
      <c r="B22" s="19" t="s">
        <v>15</v>
      </c>
      <c r="C22" s="26">
        <v>3.79</v>
      </c>
      <c r="D22" s="26">
        <v>3.69</v>
      </c>
      <c r="E22" s="9"/>
      <c r="F22" s="9">
        <v>3725959</v>
      </c>
      <c r="G22" s="9"/>
      <c r="H22" s="9">
        <f t="shared" si="3"/>
        <v>14121384.609999999</v>
      </c>
      <c r="I22" s="9"/>
      <c r="J22" s="9">
        <f t="shared" si="4"/>
        <v>13748788.709999999</v>
      </c>
      <c r="K22" s="9"/>
      <c r="L22" s="27">
        <f t="shared" si="5"/>
        <v>-2.6385224274406371E-2</v>
      </c>
      <c r="M22" s="1"/>
      <c r="N22" s="1"/>
      <c r="O22" s="5">
        <f t="shared" ref="O22:O23" si="6">O$20/F22</f>
        <v>0.5117875040625286</v>
      </c>
      <c r="P22" s="1"/>
    </row>
    <row r="23" spans="1:16" x14ac:dyDescent="0.3">
      <c r="A23" s="1"/>
      <c r="B23" s="19" t="s">
        <v>16</v>
      </c>
      <c r="C23" s="26">
        <v>4.63</v>
      </c>
      <c r="D23" s="26">
        <f>D34</f>
        <v>5.04</v>
      </c>
      <c r="E23" s="9"/>
      <c r="F23" s="9">
        <v>3676463</v>
      </c>
      <c r="G23" s="9"/>
      <c r="H23" s="8">
        <f t="shared" si="3"/>
        <v>17022023.690000001</v>
      </c>
      <c r="I23" s="9"/>
      <c r="J23" s="8">
        <f t="shared" si="4"/>
        <v>18529373.52</v>
      </c>
      <c r="K23" s="9"/>
      <c r="L23" s="27">
        <f t="shared" si="5"/>
        <v>8.8552915766738627E-2</v>
      </c>
      <c r="M23" s="1"/>
      <c r="N23" s="1"/>
      <c r="O23" s="5">
        <f t="shared" si="6"/>
        <v>0.51867766841372132</v>
      </c>
      <c r="P23" s="1"/>
    </row>
    <row r="24" spans="1:16" x14ac:dyDescent="0.3">
      <c r="A24" s="1"/>
      <c r="B24" s="19" t="s">
        <v>17</v>
      </c>
      <c r="C24" s="9"/>
      <c r="D24" s="9"/>
      <c r="E24" s="9"/>
      <c r="F24" s="9"/>
      <c r="G24" s="9"/>
      <c r="H24" s="9">
        <f>SUM(H19:H23)</f>
        <v>105394194.76962</v>
      </c>
      <c r="I24" s="9"/>
      <c r="J24" s="9">
        <f>SUM(J19:J23)</f>
        <v>110920344.29426999</v>
      </c>
      <c r="K24" s="9"/>
      <c r="L24" s="27"/>
      <c r="M24" s="1"/>
      <c r="N24" s="1"/>
      <c r="O24" s="1"/>
      <c r="P24" s="1"/>
    </row>
    <row r="25" spans="1:16" x14ac:dyDescent="0.3">
      <c r="A25" s="1"/>
      <c r="B25" s="19" t="s">
        <v>18</v>
      </c>
      <c r="C25" s="9"/>
      <c r="D25" s="9"/>
      <c r="E25" s="9"/>
      <c r="F25" s="9"/>
      <c r="G25" s="9"/>
      <c r="H25" s="34">
        <v>0.99999994299999995</v>
      </c>
      <c r="I25" s="35"/>
      <c r="J25" s="34">
        <f>H25</f>
        <v>0.99999994299999995</v>
      </c>
      <c r="K25" s="9"/>
      <c r="L25" s="30"/>
      <c r="M25" s="1"/>
      <c r="N25" s="1"/>
      <c r="O25" s="1"/>
      <c r="P25" s="1"/>
    </row>
    <row r="26" spans="1:16" x14ac:dyDescent="0.3">
      <c r="A26" s="1"/>
      <c r="B26" s="19" t="s">
        <v>27</v>
      </c>
      <c r="C26" s="9"/>
      <c r="D26" s="9"/>
      <c r="E26" s="9"/>
      <c r="F26" s="9"/>
      <c r="G26" s="9"/>
      <c r="H26" s="9">
        <f>N26</f>
        <v>17873059</v>
      </c>
      <c r="I26" s="9"/>
      <c r="J26" s="9">
        <f>N26</f>
        <v>17873059</v>
      </c>
      <c r="K26" s="9"/>
      <c r="L26" s="27">
        <f t="shared" ref="L26" si="7">J26/H26-1</f>
        <v>0</v>
      </c>
      <c r="M26" s="1"/>
      <c r="N26" s="32">
        <v>17873059</v>
      </c>
      <c r="O26" s="1"/>
      <c r="P26" s="1"/>
    </row>
    <row r="27" spans="1:16" ht="15" thickBot="1" x14ac:dyDescent="0.35">
      <c r="A27" s="1"/>
      <c r="B27" s="19" t="s">
        <v>19</v>
      </c>
      <c r="C27" s="9"/>
      <c r="D27" s="9"/>
      <c r="E27" s="9"/>
      <c r="F27" s="9"/>
      <c r="G27" s="9"/>
      <c r="H27" s="33">
        <f>H24/H25+H26</f>
        <v>123267259.77708945</v>
      </c>
      <c r="I27" s="9"/>
      <c r="J27" s="33">
        <f>J24/J25+J26</f>
        <v>128793409.61672999</v>
      </c>
      <c r="K27" s="9"/>
      <c r="L27" s="76">
        <f t="shared" ref="L27" si="8">J27/H27-1</f>
        <v>4.4830637507751625E-2</v>
      </c>
      <c r="M27" s="1"/>
      <c r="N27" s="1"/>
      <c r="O27" s="1"/>
      <c r="P27" s="1"/>
    </row>
    <row r="28" spans="1:16" ht="15" thickTop="1" x14ac:dyDescent="0.3">
      <c r="A28" s="1"/>
      <c r="B28" s="19"/>
      <c r="C28" s="9"/>
      <c r="D28" s="9"/>
      <c r="E28" s="9"/>
      <c r="F28" s="9"/>
      <c r="G28" s="9"/>
      <c r="H28" s="9"/>
      <c r="I28" s="9"/>
      <c r="J28" s="9"/>
      <c r="K28" s="9"/>
      <c r="L28" s="20"/>
      <c r="M28" s="1"/>
      <c r="N28" s="1"/>
      <c r="O28" s="1"/>
      <c r="P28" s="1"/>
    </row>
    <row r="29" spans="1:16" x14ac:dyDescent="0.3">
      <c r="A29" s="1"/>
      <c r="B29" s="25" t="s">
        <v>21</v>
      </c>
      <c r="C29" s="9"/>
      <c r="D29" s="9"/>
      <c r="E29" s="9"/>
      <c r="F29" s="9"/>
      <c r="G29" s="9"/>
      <c r="H29" s="9"/>
      <c r="I29" s="9"/>
      <c r="J29" s="9"/>
      <c r="K29" s="9"/>
      <c r="L29" s="20"/>
      <c r="M29" s="1"/>
      <c r="N29" s="1"/>
      <c r="O29" s="1"/>
      <c r="P29" s="1"/>
    </row>
    <row r="30" spans="1:16" x14ac:dyDescent="0.3">
      <c r="A30" s="1"/>
      <c r="B30" s="19" t="s">
        <v>12</v>
      </c>
      <c r="C30" s="9"/>
      <c r="D30" s="26">
        <v>300</v>
      </c>
      <c r="E30" s="9"/>
      <c r="F30" s="9">
        <f>F8+F19</f>
        <v>1316</v>
      </c>
      <c r="G30" s="9"/>
      <c r="H30" s="9">
        <f>H8+H19</f>
        <v>394800</v>
      </c>
      <c r="I30" s="9"/>
      <c r="J30" s="9">
        <f>D30*$F30</f>
        <v>394800</v>
      </c>
      <c r="K30" s="9"/>
      <c r="L30" s="27">
        <f>J30/H30-1</f>
        <v>0</v>
      </c>
      <c r="M30" s="1"/>
      <c r="N30" s="1"/>
      <c r="O30" s="1"/>
      <c r="P30" s="1"/>
    </row>
    <row r="31" spans="1:16" x14ac:dyDescent="0.3">
      <c r="A31" s="1"/>
      <c r="B31" s="19" t="s">
        <v>13</v>
      </c>
      <c r="C31" s="9"/>
      <c r="D31" s="28">
        <f>0.03823+M45</f>
        <v>3.823E-2</v>
      </c>
      <c r="E31" s="9"/>
      <c r="F31" s="9">
        <f>F9+F20</f>
        <v>2043094799</v>
      </c>
      <c r="G31" s="9"/>
      <c r="H31" s="9">
        <f>H9+H20</f>
        <v>73298304.844620004</v>
      </c>
      <c r="I31" s="9"/>
      <c r="J31" s="9">
        <f t="shared" ref="J31:J34" si="9">D31*$F31</f>
        <v>78107514.165769994</v>
      </c>
      <c r="K31" s="9"/>
      <c r="L31" s="27">
        <f t="shared" ref="L31:L34" si="10">J31/H31-1</f>
        <v>6.5611467159366166E-2</v>
      </c>
      <c r="M31" s="1"/>
      <c r="N31" s="1"/>
      <c r="O31" s="1"/>
      <c r="P31" s="1"/>
    </row>
    <row r="32" spans="1:16" x14ac:dyDescent="0.3">
      <c r="A32" s="1"/>
      <c r="B32" s="19" t="s">
        <v>14</v>
      </c>
      <c r="C32" s="9"/>
      <c r="D32" s="26">
        <v>3.54</v>
      </c>
      <c r="E32" s="9"/>
      <c r="F32" s="9">
        <f>F10+F21</f>
        <v>4991069</v>
      </c>
      <c r="G32" s="9"/>
      <c r="H32" s="9">
        <f>H10+H21</f>
        <v>18428019.27</v>
      </c>
      <c r="I32" s="9"/>
      <c r="J32" s="9">
        <f t="shared" si="9"/>
        <v>17668384.260000002</v>
      </c>
      <c r="K32" s="9"/>
      <c r="L32" s="27">
        <f t="shared" si="10"/>
        <v>-4.1221739508198296E-2</v>
      </c>
      <c r="M32" s="1"/>
      <c r="N32" s="1"/>
      <c r="O32" s="1"/>
      <c r="P32" s="1"/>
    </row>
    <row r="33" spans="1:16" x14ac:dyDescent="0.3">
      <c r="A33" s="1"/>
      <c r="B33" s="19" t="s">
        <v>15</v>
      </c>
      <c r="C33" s="9"/>
      <c r="D33" s="26">
        <v>3.69</v>
      </c>
      <c r="E33" s="9"/>
      <c r="F33" s="9">
        <f>F11+F22</f>
        <v>4548034</v>
      </c>
      <c r="G33" s="9"/>
      <c r="H33" s="9">
        <f>H11+H22</f>
        <v>17516554.359999999</v>
      </c>
      <c r="I33" s="9"/>
      <c r="J33" s="9">
        <f t="shared" si="9"/>
        <v>16782245.460000001</v>
      </c>
      <c r="K33" s="9"/>
      <c r="L33" s="27">
        <f t="shared" si="10"/>
        <v>-4.1920852977617162E-2</v>
      </c>
      <c r="M33" s="1"/>
      <c r="N33" s="1"/>
      <c r="O33" s="1"/>
      <c r="P33" s="1"/>
    </row>
    <row r="34" spans="1:16" x14ac:dyDescent="0.3">
      <c r="A34" s="1"/>
      <c r="B34" s="19" t="s">
        <v>16</v>
      </c>
      <c r="C34" s="9"/>
      <c r="D34" s="26">
        <v>5.04</v>
      </c>
      <c r="E34" s="9"/>
      <c r="F34" s="9">
        <f>F12+F23</f>
        <v>4480580</v>
      </c>
      <c r="G34" s="9"/>
      <c r="H34" s="8">
        <f>H12+H23</f>
        <v>21710025.800000001</v>
      </c>
      <c r="I34" s="9"/>
      <c r="J34" s="8">
        <f t="shared" si="9"/>
        <v>22582123.199999999</v>
      </c>
      <c r="K34" s="9"/>
      <c r="L34" s="27">
        <f t="shared" si="10"/>
        <v>4.0170260875507457E-2</v>
      </c>
      <c r="M34" s="1"/>
      <c r="N34" s="1"/>
      <c r="O34" s="1"/>
      <c r="P34" s="1"/>
    </row>
    <row r="35" spans="1:16" x14ac:dyDescent="0.3">
      <c r="A35" s="1"/>
      <c r="B35" s="19" t="s">
        <v>17</v>
      </c>
      <c r="C35" s="9"/>
      <c r="D35" s="9"/>
      <c r="E35" s="9"/>
      <c r="F35" s="9"/>
      <c r="G35" s="9"/>
      <c r="H35" s="9">
        <f>SUM(H30:H34)</f>
        <v>131347704.27462</v>
      </c>
      <c r="I35" s="9"/>
      <c r="J35" s="9">
        <f>SUM(J30:J34)</f>
        <v>135535067.08576998</v>
      </c>
      <c r="K35" s="9"/>
      <c r="L35" s="27"/>
      <c r="M35" s="1"/>
      <c r="N35" s="1"/>
      <c r="O35" s="1"/>
      <c r="P35" s="1"/>
    </row>
    <row r="36" spans="1:16" x14ac:dyDescent="0.3">
      <c r="A36" s="1"/>
      <c r="B36" s="19" t="s">
        <v>18</v>
      </c>
      <c r="C36" s="9"/>
      <c r="D36" s="9"/>
      <c r="E36" s="9"/>
      <c r="F36" s="9"/>
      <c r="G36" s="9"/>
      <c r="H36" s="36">
        <v>1.0000000152267603</v>
      </c>
      <c r="I36" s="29"/>
      <c r="J36" s="7">
        <f>H36</f>
        <v>1.0000000152267603</v>
      </c>
      <c r="K36" s="9"/>
      <c r="L36" s="30"/>
      <c r="M36" s="1"/>
      <c r="N36" s="1"/>
      <c r="O36" s="1"/>
      <c r="P36" s="1"/>
    </row>
    <row r="37" spans="1:16" x14ac:dyDescent="0.3">
      <c r="A37" s="1"/>
      <c r="B37" s="19" t="s">
        <v>27</v>
      </c>
      <c r="C37" s="9"/>
      <c r="D37" s="9"/>
      <c r="E37" s="9"/>
      <c r="F37" s="9"/>
      <c r="G37" s="9"/>
      <c r="H37" s="9">
        <f>N37</f>
        <v>21857740</v>
      </c>
      <c r="I37" s="9"/>
      <c r="J37" s="9">
        <f>N37</f>
        <v>21857740</v>
      </c>
      <c r="K37" s="9"/>
      <c r="L37" s="27">
        <f t="shared" ref="L37" si="11">J37/H37-1</f>
        <v>0</v>
      </c>
      <c r="M37" s="1"/>
      <c r="N37" s="1">
        <f>N26+N15</f>
        <v>21857740</v>
      </c>
      <c r="O37" s="1"/>
      <c r="P37" s="1"/>
    </row>
    <row r="38" spans="1:16" x14ac:dyDescent="0.3">
      <c r="A38" s="1"/>
      <c r="B38" s="31" t="s">
        <v>19</v>
      </c>
      <c r="C38" s="8"/>
      <c r="D38" s="8"/>
      <c r="E38" s="8"/>
      <c r="F38" s="8"/>
      <c r="G38" s="8"/>
      <c r="H38" s="8">
        <f>H35/H36+H37</f>
        <v>153205442.27462</v>
      </c>
      <c r="I38" s="8"/>
      <c r="J38" s="8">
        <f>J35/J36+J37</f>
        <v>157392805.02201003</v>
      </c>
      <c r="K38" s="8"/>
      <c r="L38" s="77">
        <f t="shared" ref="L38" si="12">J38/H38-1</f>
        <v>2.7331684078717E-2</v>
      </c>
      <c r="M38" s="1"/>
      <c r="N38" s="1"/>
      <c r="O38" s="1">
        <f>J38-H38</f>
        <v>4187362.7473900318</v>
      </c>
      <c r="P38" s="1"/>
    </row>
    <row r="39" spans="1:16" x14ac:dyDescent="0.3">
      <c r="A39" s="1"/>
      <c r="B39" s="2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x14ac:dyDescent="0.3">
      <c r="A40" s="1"/>
      <c r="B40" s="2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x14ac:dyDescent="0.3">
      <c r="A41" s="1"/>
      <c r="B41" s="2"/>
      <c r="C41" s="1"/>
      <c r="D41" s="1"/>
      <c r="E41" s="1"/>
      <c r="F41" s="10">
        <f>F20/F31</f>
        <v>0.81760462109619414</v>
      </c>
      <c r="G41" s="1"/>
      <c r="H41" s="11">
        <f>H27/H38</f>
        <v>0.804587996006914</v>
      </c>
      <c r="I41" s="1"/>
      <c r="J41" s="1"/>
      <c r="K41" s="1"/>
      <c r="L41" s="1"/>
      <c r="M41" s="1"/>
      <c r="N41" s="1"/>
      <c r="O41" s="1"/>
      <c r="P41" s="1"/>
    </row>
    <row r="42" spans="1:16" x14ac:dyDescent="0.3">
      <c r="A42" s="1"/>
      <c r="B42" s="2"/>
      <c r="C42" s="1"/>
      <c r="D42" s="1"/>
      <c r="E42" s="1"/>
      <c r="F42" s="1" t="s">
        <v>22</v>
      </c>
      <c r="G42" s="1"/>
      <c r="H42" s="1" t="s">
        <v>23</v>
      </c>
      <c r="I42" s="1"/>
      <c r="J42" s="4">
        <v>135535067.08576998</v>
      </c>
      <c r="K42" s="1"/>
      <c r="L42" s="1"/>
      <c r="M42" s="1"/>
      <c r="N42" s="1"/>
      <c r="O42" s="1"/>
      <c r="P42" s="1"/>
    </row>
    <row r="43" spans="1:16" x14ac:dyDescent="0.3">
      <c r="A43" s="1"/>
      <c r="B43" s="2"/>
      <c r="C43" s="1"/>
      <c r="D43" s="1"/>
      <c r="E43" s="1"/>
      <c r="F43" s="1" t="s">
        <v>24</v>
      </c>
      <c r="G43" s="1"/>
      <c r="H43" s="1"/>
      <c r="I43" s="1"/>
      <c r="J43" s="1">
        <f>J35</f>
        <v>135535067.08576998</v>
      </c>
      <c r="K43" s="1"/>
      <c r="L43" s="1"/>
      <c r="M43" s="1"/>
      <c r="N43" s="1"/>
      <c r="O43" s="1"/>
      <c r="P43" s="1"/>
    </row>
    <row r="44" spans="1:16" x14ac:dyDescent="0.3">
      <c r="A44" s="1"/>
      <c r="B44" s="2"/>
      <c r="C44" s="1"/>
      <c r="D44" s="1"/>
      <c r="E44" s="1"/>
      <c r="F44" s="1" t="s">
        <v>25</v>
      </c>
      <c r="G44" s="1"/>
      <c r="H44" s="1"/>
      <c r="I44" s="1"/>
      <c r="J44" s="1">
        <f>J42-J43</f>
        <v>0</v>
      </c>
      <c r="K44" s="1"/>
      <c r="L44" s="1"/>
      <c r="M44" s="12">
        <f>J44/F31</f>
        <v>0</v>
      </c>
      <c r="N44" s="1"/>
      <c r="O44" s="1"/>
      <c r="P44" s="1"/>
    </row>
    <row r="45" spans="1:16" x14ac:dyDescent="0.3">
      <c r="A45" s="1"/>
      <c r="B45" s="2"/>
      <c r="C45" s="1"/>
      <c r="D45" s="1"/>
      <c r="E45" s="1"/>
      <c r="F45" s="1" t="s">
        <v>26</v>
      </c>
      <c r="G45" s="1"/>
      <c r="H45" s="1"/>
      <c r="I45" s="1"/>
      <c r="J45" s="1"/>
      <c r="K45" s="1"/>
      <c r="L45" s="1"/>
      <c r="M45" s="12">
        <v>0</v>
      </c>
      <c r="N45" s="1"/>
      <c r="O45" s="1"/>
      <c r="P45" s="1"/>
    </row>
    <row r="46" spans="1:16" x14ac:dyDescent="0.3">
      <c r="A46" s="1"/>
      <c r="B46" s="2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0"/>
  <sheetViews>
    <sheetView showGridLines="0" tabSelected="1" topLeftCell="A13" workbookViewId="0">
      <selection activeCell="N33" sqref="N33"/>
    </sheetView>
  </sheetViews>
  <sheetFormatPr defaultRowHeight="14.4" x14ac:dyDescent="0.3"/>
  <cols>
    <col min="2" max="2" width="26.33203125" bestFit="1" customWidth="1"/>
    <col min="3" max="3" width="10" bestFit="1" customWidth="1"/>
    <col min="4" max="4" width="10.88671875" customWidth="1"/>
    <col min="5" max="6" width="8.88671875" hidden="1" customWidth="1"/>
    <col min="7" max="7" width="2.6640625" customWidth="1"/>
    <col min="8" max="8" width="13.5546875" customWidth="1"/>
    <col min="9" max="9" width="2.6640625" customWidth="1"/>
    <col min="10" max="10" width="14.109375" customWidth="1"/>
    <col min="11" max="11" width="2.6640625" customWidth="1"/>
    <col min="12" max="12" width="14.6640625" bestFit="1" customWidth="1"/>
    <col min="13" max="13" width="5.6640625" customWidth="1"/>
    <col min="14" max="14" width="10" bestFit="1" customWidth="1"/>
    <col min="15" max="15" width="15.5546875" customWidth="1"/>
    <col min="16" max="16" width="10.5546875" bestFit="1" customWidth="1"/>
    <col min="17" max="17" width="11" bestFit="1" customWidth="1"/>
    <col min="18" max="18" width="13.6640625" bestFit="1" customWidth="1"/>
    <col min="19" max="19" width="13.6640625" customWidth="1"/>
    <col min="20" max="20" width="10" bestFit="1" customWidth="1"/>
    <col min="21" max="21" width="14.21875" customWidth="1"/>
    <col min="22" max="22" width="2.88671875" customWidth="1"/>
    <col min="23" max="23" width="11" bestFit="1" customWidth="1"/>
    <col min="24" max="27" width="11" customWidth="1"/>
    <col min="28" max="28" width="14.6640625" bestFit="1" customWidth="1"/>
  </cols>
  <sheetData>
    <row r="1" spans="1:29" x14ac:dyDescent="0.3">
      <c r="A1" s="1"/>
      <c r="B1" s="13" t="s">
        <v>0</v>
      </c>
      <c r="C1" s="14"/>
      <c r="D1" s="14"/>
      <c r="E1" s="14"/>
      <c r="F1" s="14"/>
      <c r="G1" s="14"/>
      <c r="H1" s="14"/>
      <c r="I1" s="14"/>
      <c r="J1" s="14"/>
      <c r="K1" s="14"/>
      <c r="L1" s="15"/>
      <c r="M1" s="74"/>
      <c r="N1" s="17"/>
      <c r="O1" s="17"/>
      <c r="P1" s="17"/>
      <c r="Q1" s="17"/>
      <c r="R1" s="17"/>
      <c r="S1" s="17"/>
      <c r="T1" s="17"/>
      <c r="U1" s="17"/>
      <c r="V1" s="1"/>
      <c r="W1" s="1"/>
      <c r="X1" s="1"/>
      <c r="Y1" s="1"/>
      <c r="Z1" s="1"/>
      <c r="AA1" s="1"/>
      <c r="AB1" s="1"/>
      <c r="AC1" s="1"/>
    </row>
    <row r="2" spans="1:29" x14ac:dyDescent="0.3">
      <c r="A2" s="1"/>
      <c r="B2" s="16" t="s">
        <v>1</v>
      </c>
      <c r="C2" s="17"/>
      <c r="D2" s="17"/>
      <c r="E2" s="17"/>
      <c r="F2" s="17"/>
      <c r="G2" s="17"/>
      <c r="H2" s="17"/>
      <c r="I2" s="17"/>
      <c r="J2" s="17"/>
      <c r="K2" s="17"/>
      <c r="L2" s="18"/>
      <c r="M2" s="74"/>
      <c r="N2" s="17"/>
      <c r="O2" s="17"/>
      <c r="P2" s="17"/>
      <c r="Q2" s="17"/>
      <c r="R2" s="17"/>
      <c r="S2" s="17"/>
      <c r="T2" s="17"/>
      <c r="U2" s="17"/>
      <c r="V2" s="1"/>
      <c r="W2" s="1"/>
      <c r="X2" s="1"/>
      <c r="Y2" s="1"/>
      <c r="Z2" s="1"/>
      <c r="AA2" s="1"/>
      <c r="AB2" s="1"/>
      <c r="AC2" s="1"/>
    </row>
    <row r="3" spans="1:29" x14ac:dyDescent="0.3">
      <c r="A3" s="1"/>
      <c r="B3" s="16" t="s">
        <v>28</v>
      </c>
      <c r="C3" s="17"/>
      <c r="D3" s="17"/>
      <c r="E3" s="17"/>
      <c r="F3" s="17"/>
      <c r="G3" s="17"/>
      <c r="H3" s="17"/>
      <c r="I3" s="17"/>
      <c r="J3" s="17"/>
      <c r="K3" s="17"/>
      <c r="L3" s="18"/>
      <c r="M3" s="74"/>
      <c r="N3" s="17"/>
      <c r="O3" s="17"/>
      <c r="P3" s="17"/>
      <c r="Q3" s="17"/>
      <c r="R3" s="17"/>
      <c r="S3" s="17"/>
      <c r="T3" s="17"/>
      <c r="U3" s="17"/>
      <c r="V3" s="1"/>
      <c r="W3" s="1"/>
      <c r="X3" s="1"/>
      <c r="Y3" s="1"/>
      <c r="Z3" s="1"/>
      <c r="AA3" s="1"/>
      <c r="AB3" s="1"/>
      <c r="AC3" s="1"/>
    </row>
    <row r="4" spans="1:29" x14ac:dyDescent="0.3">
      <c r="A4" s="1"/>
      <c r="B4" s="19"/>
      <c r="C4" s="9"/>
      <c r="D4" s="9"/>
      <c r="E4" s="9"/>
      <c r="F4" s="9"/>
      <c r="G4" s="9"/>
      <c r="H4" s="9"/>
      <c r="I4" s="9"/>
      <c r="J4" s="9"/>
      <c r="K4" s="9"/>
      <c r="L4" s="20"/>
      <c r="M4" s="9"/>
      <c r="N4" s="9"/>
      <c r="O4" s="59" t="s">
        <v>37</v>
      </c>
      <c r="P4" s="60" t="s">
        <v>35</v>
      </c>
      <c r="Q4" s="61"/>
      <c r="R4" s="60" t="s">
        <v>35</v>
      </c>
      <c r="S4" s="49"/>
      <c r="T4" s="49" t="s">
        <v>35</v>
      </c>
      <c r="U4" s="75" t="s">
        <v>42</v>
      </c>
      <c r="V4" s="49"/>
      <c r="W4" s="49"/>
      <c r="X4" s="49"/>
      <c r="Y4" s="49"/>
      <c r="Z4" s="50"/>
      <c r="AA4" s="1"/>
      <c r="AB4" s="1"/>
      <c r="AC4" s="1"/>
    </row>
    <row r="5" spans="1:29" x14ac:dyDescent="0.3">
      <c r="A5" s="3"/>
      <c r="B5" s="21"/>
      <c r="C5" s="22" t="s">
        <v>3</v>
      </c>
      <c r="D5" s="22" t="s">
        <v>4</v>
      </c>
      <c r="E5" s="22"/>
      <c r="F5" s="22" t="s">
        <v>5</v>
      </c>
      <c r="G5" s="22"/>
      <c r="H5" s="22" t="s">
        <v>3</v>
      </c>
      <c r="I5" s="22"/>
      <c r="J5" s="22" t="s">
        <v>4</v>
      </c>
      <c r="K5" s="22"/>
      <c r="L5" s="23" t="s">
        <v>6</v>
      </c>
      <c r="M5" s="37"/>
      <c r="N5" s="37"/>
      <c r="O5" s="62" t="s">
        <v>38</v>
      </c>
      <c r="P5" s="63" t="s">
        <v>39</v>
      </c>
      <c r="Q5" s="63" t="s">
        <v>40</v>
      </c>
      <c r="R5" s="63" t="s">
        <v>4</v>
      </c>
      <c r="S5" s="42" t="s">
        <v>5</v>
      </c>
      <c r="T5" s="64" t="s">
        <v>41</v>
      </c>
      <c r="U5" s="41" t="s">
        <v>4</v>
      </c>
      <c r="V5" s="42"/>
      <c r="W5" s="42" t="s">
        <v>6</v>
      </c>
      <c r="X5" s="42" t="s">
        <v>34</v>
      </c>
      <c r="Y5" s="42"/>
      <c r="Z5" s="51"/>
      <c r="AA5" s="3"/>
      <c r="AB5" s="3"/>
      <c r="AC5" s="3"/>
    </row>
    <row r="6" spans="1:29" x14ac:dyDescent="0.3">
      <c r="A6" s="3"/>
      <c r="B6" s="21"/>
      <c r="C6" s="22" t="s">
        <v>7</v>
      </c>
      <c r="D6" s="22" t="s">
        <v>7</v>
      </c>
      <c r="E6" s="22"/>
      <c r="F6" s="22" t="s">
        <v>8</v>
      </c>
      <c r="G6" s="22"/>
      <c r="H6" s="22" t="s">
        <v>9</v>
      </c>
      <c r="I6" s="22"/>
      <c r="J6" s="22" t="s">
        <v>9</v>
      </c>
      <c r="K6" s="22"/>
      <c r="L6" s="24" t="s">
        <v>10</v>
      </c>
      <c r="M6" s="22"/>
      <c r="N6" s="22" t="s">
        <v>43</v>
      </c>
      <c r="O6" s="62"/>
      <c r="P6" s="63"/>
      <c r="Q6" s="63"/>
      <c r="R6" s="65"/>
      <c r="S6" s="42" t="s">
        <v>8</v>
      </c>
      <c r="T6" s="42"/>
      <c r="U6" s="42" t="s">
        <v>9</v>
      </c>
      <c r="V6" s="42"/>
      <c r="W6" s="42" t="s">
        <v>10</v>
      </c>
      <c r="X6" s="42" t="s">
        <v>10</v>
      </c>
      <c r="Y6" s="42" t="s">
        <v>35</v>
      </c>
      <c r="Z6" s="51" t="s">
        <v>36</v>
      </c>
      <c r="AA6" s="3"/>
      <c r="AB6" s="3"/>
      <c r="AC6" s="3"/>
    </row>
    <row r="7" spans="1:29" x14ac:dyDescent="0.3">
      <c r="A7" s="1"/>
      <c r="B7" s="25" t="s">
        <v>11</v>
      </c>
      <c r="C7" s="9"/>
      <c r="D7" s="9"/>
      <c r="E7" s="9"/>
      <c r="F7" s="9"/>
      <c r="G7" s="9"/>
      <c r="H7" s="9"/>
      <c r="I7" s="9"/>
      <c r="J7" s="9"/>
      <c r="K7" s="9"/>
      <c r="L7" s="20"/>
      <c r="M7" s="9"/>
      <c r="N7" s="9"/>
      <c r="O7" s="66">
        <f>U13-U8</f>
        <v>24472522.791499998</v>
      </c>
      <c r="P7" s="43">
        <f>Z13</f>
        <v>1916168.6343347915</v>
      </c>
      <c r="Q7" s="63">
        <f>P7/O7</f>
        <v>7.8298778211796427E-2</v>
      </c>
      <c r="R7" s="65"/>
      <c r="S7" s="39"/>
      <c r="T7" s="39"/>
      <c r="U7" s="39"/>
      <c r="V7" s="39"/>
      <c r="W7" s="39"/>
      <c r="X7" s="39"/>
      <c r="Y7" s="39"/>
      <c r="Z7" s="52"/>
      <c r="AA7" s="1"/>
      <c r="AB7" s="1"/>
      <c r="AC7" s="1"/>
    </row>
    <row r="8" spans="1:29" x14ac:dyDescent="0.3">
      <c r="A8" s="1"/>
      <c r="B8" s="19" t="s">
        <v>12</v>
      </c>
      <c r="C8" s="26">
        <v>300</v>
      </c>
      <c r="D8" s="26">
        <v>300</v>
      </c>
      <c r="E8" s="9"/>
      <c r="F8" s="9">
        <v>474</v>
      </c>
      <c r="G8" s="9"/>
      <c r="H8" s="9">
        <f>C8*$F8</f>
        <v>142200</v>
      </c>
      <c r="I8" s="9"/>
      <c r="J8" s="9">
        <f>D8*$F8</f>
        <v>142200</v>
      </c>
      <c r="K8" s="9"/>
      <c r="L8" s="27">
        <f>J8/H8-1</f>
        <v>0</v>
      </c>
      <c r="M8" s="6"/>
      <c r="N8" s="6"/>
      <c r="O8" s="67"/>
      <c r="P8" s="65"/>
      <c r="Q8" s="65"/>
      <c r="R8" s="65"/>
      <c r="S8" s="39">
        <v>474</v>
      </c>
      <c r="T8" s="63"/>
      <c r="U8" s="43">
        <v>142200</v>
      </c>
      <c r="V8" s="39"/>
      <c r="W8" s="53">
        <v>0</v>
      </c>
      <c r="X8" s="53"/>
      <c r="Y8" s="53"/>
      <c r="Z8" s="54"/>
      <c r="AA8" s="1"/>
      <c r="AB8" s="1"/>
      <c r="AC8" s="1"/>
    </row>
    <row r="9" spans="1:29" x14ac:dyDescent="0.3">
      <c r="A9" s="1"/>
      <c r="B9" s="19" t="s">
        <v>13</v>
      </c>
      <c r="C9" s="28">
        <v>3.8100000000000002E-2</v>
      </c>
      <c r="D9" s="28">
        <f>T9</f>
        <v>4.1223362291036986E-2</v>
      </c>
      <c r="E9" s="9"/>
      <c r="F9" s="9">
        <v>372651050</v>
      </c>
      <c r="G9" s="9"/>
      <c r="H9" s="9">
        <f t="shared" ref="H9:H12" si="0">C9*$F9</f>
        <v>14198005.005000001</v>
      </c>
      <c r="I9" s="9"/>
      <c r="J9" s="9">
        <f>D9*$F9</f>
        <v>15361929.242285339</v>
      </c>
      <c r="K9" s="9"/>
      <c r="L9" s="27">
        <f t="shared" ref="L9:L16" si="1">J9/H9-1</f>
        <v>8.1978012888109797E-2</v>
      </c>
      <c r="M9" s="6"/>
      <c r="N9" s="6"/>
      <c r="O9" s="67"/>
      <c r="P9" s="65"/>
      <c r="Q9" s="65"/>
      <c r="R9" s="68">
        <f>(1+Q$7)*U9</f>
        <v>15361929.242285337</v>
      </c>
      <c r="S9" s="39">
        <v>372651050</v>
      </c>
      <c r="T9" s="69">
        <f>R9/S9</f>
        <v>4.1223362291036986E-2</v>
      </c>
      <c r="U9" s="43">
        <v>14246449.6415</v>
      </c>
      <c r="V9" s="39"/>
      <c r="W9" s="53">
        <v>3.4120734908136274E-3</v>
      </c>
      <c r="X9" s="53"/>
      <c r="Y9" s="53"/>
      <c r="Z9" s="54"/>
      <c r="AA9" s="1"/>
      <c r="AB9" s="1">
        <f>F9/876</f>
        <v>425400.7420091324</v>
      </c>
      <c r="AC9" s="1"/>
    </row>
    <row r="10" spans="1:29" x14ac:dyDescent="0.3">
      <c r="A10" s="1"/>
      <c r="B10" s="19" t="s">
        <v>14</v>
      </c>
      <c r="C10" s="26">
        <v>3.98</v>
      </c>
      <c r="D10" s="26">
        <f t="shared" ref="D10:D12" si="2">T10</f>
        <v>3.8171776748697601</v>
      </c>
      <c r="E10" s="9"/>
      <c r="F10" s="9">
        <v>886968</v>
      </c>
      <c r="G10" s="9"/>
      <c r="H10" s="9">
        <f t="shared" si="0"/>
        <v>3530132.64</v>
      </c>
      <c r="I10" s="9"/>
      <c r="J10" s="9">
        <f>D10*$F10</f>
        <v>3385714.4479238815</v>
      </c>
      <c r="K10" s="9"/>
      <c r="L10" s="27">
        <f t="shared" si="1"/>
        <v>-4.0910131942271333E-2</v>
      </c>
      <c r="M10" s="6"/>
      <c r="N10" s="6"/>
      <c r="O10" s="67"/>
      <c r="P10" s="65"/>
      <c r="Q10" s="65"/>
      <c r="R10" s="68">
        <f t="shared" ref="R10:R12" si="3">(1+Q$7)*U10</f>
        <v>3385714.4479238815</v>
      </c>
      <c r="S10" s="39">
        <v>886968</v>
      </c>
      <c r="T10" s="69">
        <f t="shared" ref="T10:T12" si="4">R10/S10</f>
        <v>3.8171776748697601</v>
      </c>
      <c r="U10" s="43">
        <v>3139866.72</v>
      </c>
      <c r="V10" s="39"/>
      <c r="W10" s="53">
        <v>-0.1105527638190954</v>
      </c>
      <c r="X10" s="53"/>
      <c r="Y10" s="53"/>
      <c r="Z10" s="54"/>
      <c r="AA10" s="1"/>
      <c r="AB10" s="5">
        <f>AB$9/F10</f>
        <v>0.47961227689063463</v>
      </c>
      <c r="AC10" s="1"/>
    </row>
    <row r="11" spans="1:29" x14ac:dyDescent="0.3">
      <c r="A11" s="1"/>
      <c r="B11" s="19" t="s">
        <v>15</v>
      </c>
      <c r="C11" s="26">
        <v>4.13</v>
      </c>
      <c r="D11" s="26">
        <f t="shared" si="2"/>
        <v>3.9789224916015296</v>
      </c>
      <c r="E11" s="9"/>
      <c r="F11" s="9">
        <v>822075</v>
      </c>
      <c r="G11" s="9"/>
      <c r="H11" s="9">
        <f t="shared" si="0"/>
        <v>3395169.75</v>
      </c>
      <c r="I11" s="9"/>
      <c r="J11" s="9">
        <f>D11*$F11</f>
        <v>3270972.7072833274</v>
      </c>
      <c r="K11" s="9"/>
      <c r="L11" s="27">
        <f t="shared" si="1"/>
        <v>-3.6580510508104291E-2</v>
      </c>
      <c r="M11" s="6"/>
      <c r="N11" s="6"/>
      <c r="O11" s="67"/>
      <c r="P11" s="65"/>
      <c r="Q11" s="65"/>
      <c r="R11" s="68">
        <f t="shared" si="3"/>
        <v>3270972.7072833274</v>
      </c>
      <c r="S11" s="39">
        <v>822075</v>
      </c>
      <c r="T11" s="69">
        <f t="shared" si="4"/>
        <v>3.9789224916015296</v>
      </c>
      <c r="U11" s="43">
        <v>3033456.75</v>
      </c>
      <c r="V11" s="39"/>
      <c r="W11" s="53">
        <v>-0.10653753026634383</v>
      </c>
      <c r="X11" s="53"/>
      <c r="Y11" s="53"/>
      <c r="Z11" s="54"/>
      <c r="AA11" s="1"/>
      <c r="AB11" s="5">
        <f t="shared" ref="AB11:AB12" si="5">AB$9/F11</f>
        <v>0.51747193626996613</v>
      </c>
      <c r="AC11" s="1"/>
    </row>
    <row r="12" spans="1:29" x14ac:dyDescent="0.3">
      <c r="A12" s="1"/>
      <c r="B12" s="19" t="s">
        <v>16</v>
      </c>
      <c r="C12" s="26">
        <v>5.83</v>
      </c>
      <c r="D12" s="26">
        <f t="shared" si="2"/>
        <v>5.4346258421874554</v>
      </c>
      <c r="E12" s="9"/>
      <c r="F12" s="9">
        <v>804117</v>
      </c>
      <c r="G12" s="9"/>
      <c r="H12" s="8">
        <f t="shared" si="0"/>
        <v>4688002.1100000003</v>
      </c>
      <c r="I12" s="9"/>
      <c r="J12" s="8">
        <f>D12*$F12</f>
        <v>4370075.0283422498</v>
      </c>
      <c r="K12" s="9"/>
      <c r="L12" s="27">
        <f t="shared" si="1"/>
        <v>-6.7817179727709287E-2</v>
      </c>
      <c r="M12" s="6"/>
      <c r="N12" s="6"/>
      <c r="O12" s="62"/>
      <c r="P12" s="63"/>
      <c r="Q12" s="63"/>
      <c r="R12" s="68">
        <f t="shared" si="3"/>
        <v>4370075.0283422498</v>
      </c>
      <c r="S12" s="39">
        <v>804117</v>
      </c>
      <c r="T12" s="69">
        <f t="shared" si="4"/>
        <v>5.4346258421874554</v>
      </c>
      <c r="U12" s="43">
        <v>4052749.68</v>
      </c>
      <c r="V12" s="39"/>
      <c r="W12" s="53">
        <v>-0.13550600343053176</v>
      </c>
      <c r="X12" s="53"/>
      <c r="Y12" s="53"/>
      <c r="Z12" s="54"/>
      <c r="AA12" s="1"/>
      <c r="AB12" s="5">
        <f t="shared" si="5"/>
        <v>0.52902841503056441</v>
      </c>
      <c r="AC12" s="1"/>
    </row>
    <row r="13" spans="1:29" x14ac:dyDescent="0.3">
      <c r="A13" s="1"/>
      <c r="B13" s="19" t="s">
        <v>17</v>
      </c>
      <c r="C13" s="9"/>
      <c r="D13" s="9"/>
      <c r="E13" s="9"/>
      <c r="F13" s="9"/>
      <c r="G13" s="9"/>
      <c r="H13" s="9">
        <f>SUM(H8:H12)</f>
        <v>25953509.504999999</v>
      </c>
      <c r="I13" s="9"/>
      <c r="J13" s="9">
        <f>SUM(J8:J12)</f>
        <v>26530891.425834801</v>
      </c>
      <c r="K13" s="9"/>
      <c r="L13" s="27">
        <f t="shared" si="1"/>
        <v>2.2246776326090734E-2</v>
      </c>
      <c r="M13" s="6"/>
      <c r="N13" s="6"/>
      <c r="O13" s="62"/>
      <c r="P13" s="63"/>
      <c r="Q13" s="63"/>
      <c r="R13" s="43"/>
      <c r="S13" s="39"/>
      <c r="T13" s="63"/>
      <c r="U13" s="43">
        <v>24614722.791499998</v>
      </c>
      <c r="V13" s="39"/>
      <c r="W13" s="53"/>
      <c r="X13" s="39">
        <f>U13-H13</f>
        <v>-1338786.7135000005</v>
      </c>
      <c r="Y13" s="39">
        <f>T46</f>
        <v>577381.92083479092</v>
      </c>
      <c r="Z13" s="52">
        <f>Y13-X13</f>
        <v>1916168.6343347915</v>
      </c>
      <c r="AA13" s="1"/>
      <c r="AB13" s="1"/>
      <c r="AC13" s="1"/>
    </row>
    <row r="14" spans="1:29" x14ac:dyDescent="0.3">
      <c r="A14" s="1"/>
      <c r="B14" s="19" t="s">
        <v>18</v>
      </c>
      <c r="C14" s="9"/>
      <c r="D14" s="9"/>
      <c r="E14" s="9"/>
      <c r="F14" s="9"/>
      <c r="G14" s="9"/>
      <c r="H14" s="7">
        <v>1.0000003079999999</v>
      </c>
      <c r="I14" s="29"/>
      <c r="J14" s="7">
        <f>H14</f>
        <v>1.0000003079999999</v>
      </c>
      <c r="K14" s="9"/>
      <c r="L14" s="30"/>
      <c r="M14" s="9"/>
      <c r="N14" s="9"/>
      <c r="O14" s="70"/>
      <c r="P14" s="39"/>
      <c r="Q14" s="39"/>
      <c r="R14" s="39"/>
      <c r="S14" s="39"/>
      <c r="T14" s="39"/>
      <c r="U14" s="44">
        <v>1.0000003079999999</v>
      </c>
      <c r="V14" s="39"/>
      <c r="W14" s="39"/>
      <c r="X14" s="39"/>
      <c r="Y14" s="39"/>
      <c r="Z14" s="52"/>
      <c r="AA14" s="1"/>
      <c r="AB14" s="1"/>
      <c r="AC14" s="1"/>
    </row>
    <row r="15" spans="1:29" x14ac:dyDescent="0.3">
      <c r="A15" s="1"/>
      <c r="B15" s="19" t="s">
        <v>27</v>
      </c>
      <c r="C15" s="9"/>
      <c r="D15" s="9"/>
      <c r="E15" s="9"/>
      <c r="F15" s="9"/>
      <c r="G15" s="9"/>
      <c r="H15" s="9">
        <f>AA15</f>
        <v>3984681</v>
      </c>
      <c r="I15" s="9"/>
      <c r="J15" s="9">
        <f>AA15</f>
        <v>3984681</v>
      </c>
      <c r="K15" s="9"/>
      <c r="L15" s="27">
        <f t="shared" si="1"/>
        <v>0</v>
      </c>
      <c r="M15" s="6"/>
      <c r="N15" s="6"/>
      <c r="O15" s="62"/>
      <c r="P15" s="63"/>
      <c r="Q15" s="63"/>
      <c r="R15" s="43"/>
      <c r="S15" s="39"/>
      <c r="T15" s="63"/>
      <c r="U15" s="43">
        <v>3984681</v>
      </c>
      <c r="V15" s="39"/>
      <c r="W15" s="53">
        <v>0</v>
      </c>
      <c r="X15" s="53"/>
      <c r="Y15" s="53"/>
      <c r="Z15" s="54"/>
      <c r="AA15" s="32">
        <v>3984681</v>
      </c>
      <c r="AB15" s="1"/>
      <c r="AC15" s="1"/>
    </row>
    <row r="16" spans="1:29" ht="15" thickBot="1" x14ac:dyDescent="0.35">
      <c r="A16" s="1"/>
      <c r="B16" s="19" t="s">
        <v>19</v>
      </c>
      <c r="C16" s="9"/>
      <c r="D16" s="9"/>
      <c r="E16" s="9"/>
      <c r="F16" s="9"/>
      <c r="G16" s="9"/>
      <c r="H16" s="33">
        <f>H13/H14+H15</f>
        <v>29938182.511321533</v>
      </c>
      <c r="I16" s="9"/>
      <c r="J16" s="33">
        <f>J13/J14+J15</f>
        <v>30515564.25432276</v>
      </c>
      <c r="K16" s="9"/>
      <c r="L16" s="76">
        <f t="shared" si="1"/>
        <v>1.9285798086870587E-2</v>
      </c>
      <c r="M16" s="6"/>
      <c r="N16" s="38">
        <f>J16-H16</f>
        <v>577381.74300122634</v>
      </c>
      <c r="O16" s="62"/>
      <c r="P16" s="63"/>
      <c r="Q16" s="63"/>
      <c r="R16" s="43"/>
      <c r="S16" s="39"/>
      <c r="T16" s="63"/>
      <c r="U16" s="43">
        <v>28599396.210167713</v>
      </c>
      <c r="V16" s="39"/>
      <c r="W16" s="53">
        <v>-4.4718355920488451E-2</v>
      </c>
      <c r="X16" s="53"/>
      <c r="Y16" s="53"/>
      <c r="Z16" s="54"/>
      <c r="AA16" s="1"/>
      <c r="AB16" s="1"/>
      <c r="AC16" s="1"/>
    </row>
    <row r="17" spans="1:29" ht="15" thickTop="1" x14ac:dyDescent="0.3">
      <c r="A17" s="1"/>
      <c r="B17" s="19"/>
      <c r="C17" s="9"/>
      <c r="D17" s="9"/>
      <c r="E17" s="9"/>
      <c r="F17" s="9"/>
      <c r="G17" s="9"/>
      <c r="H17" s="9"/>
      <c r="I17" s="9"/>
      <c r="J17" s="9"/>
      <c r="K17" s="9"/>
      <c r="L17" s="20"/>
      <c r="M17" s="9"/>
      <c r="N17" s="6" t="s">
        <v>23</v>
      </c>
      <c r="O17" s="66">
        <f>U24-U19</f>
        <v>110667744.29426999</v>
      </c>
      <c r="P17" s="43">
        <f>Z24</f>
        <v>-1916168.7118856758</v>
      </c>
      <c r="Q17" s="63">
        <f>P17/O17</f>
        <v>-1.7314608914323817E-2</v>
      </c>
      <c r="R17" s="68"/>
      <c r="S17" s="39"/>
      <c r="T17" s="39"/>
      <c r="U17" s="39"/>
      <c r="V17" s="39"/>
      <c r="W17" s="39"/>
      <c r="X17" s="39"/>
      <c r="Y17" s="39"/>
      <c r="Z17" s="52"/>
      <c r="AA17" s="1"/>
      <c r="AB17" s="1"/>
      <c r="AC17" s="1"/>
    </row>
    <row r="18" spans="1:29" x14ac:dyDescent="0.3">
      <c r="A18" s="1"/>
      <c r="B18" s="25" t="s">
        <v>20</v>
      </c>
      <c r="C18" s="9"/>
      <c r="D18" s="9"/>
      <c r="E18" s="9"/>
      <c r="F18" s="9"/>
      <c r="G18" s="9"/>
      <c r="H18" s="9"/>
      <c r="I18" s="9"/>
      <c r="J18" s="9"/>
      <c r="K18" s="9"/>
      <c r="L18" s="20"/>
      <c r="M18" s="9"/>
      <c r="N18" s="9"/>
      <c r="O18" s="67"/>
      <c r="P18" s="65"/>
      <c r="Q18" s="65"/>
      <c r="R18" s="68"/>
      <c r="S18" s="65"/>
      <c r="T18" s="39"/>
      <c r="U18" s="39"/>
      <c r="V18" s="39"/>
      <c r="W18" s="39"/>
      <c r="X18" s="39"/>
      <c r="Y18" s="39"/>
      <c r="Z18" s="52"/>
      <c r="AA18" s="1"/>
      <c r="AB18" s="1"/>
      <c r="AC18" s="1"/>
    </row>
    <row r="19" spans="1:29" x14ac:dyDescent="0.3">
      <c r="A19" s="1"/>
      <c r="B19" s="19" t="s">
        <v>12</v>
      </c>
      <c r="C19" s="26">
        <v>300</v>
      </c>
      <c r="D19" s="26">
        <v>300</v>
      </c>
      <c r="E19" s="9"/>
      <c r="F19" s="9">
        <v>842</v>
      </c>
      <c r="G19" s="9"/>
      <c r="H19" s="9">
        <f>C19*$F19</f>
        <v>252600</v>
      </c>
      <c r="I19" s="9"/>
      <c r="J19" s="9">
        <f>D19*$F19</f>
        <v>252600</v>
      </c>
      <c r="K19" s="9"/>
      <c r="L19" s="27">
        <f>J19/H19-1</f>
        <v>0</v>
      </c>
      <c r="M19" s="6"/>
      <c r="N19" s="6"/>
      <c r="O19" s="67"/>
      <c r="P19" s="65"/>
      <c r="Q19" s="65"/>
      <c r="R19" s="68" t="s">
        <v>23</v>
      </c>
      <c r="S19" s="39">
        <v>842</v>
      </c>
      <c r="T19" s="63"/>
      <c r="U19" s="43">
        <v>252600</v>
      </c>
      <c r="V19" s="39"/>
      <c r="W19" s="53">
        <v>0</v>
      </c>
      <c r="X19" s="53"/>
      <c r="Y19" s="53"/>
      <c r="Z19" s="54"/>
      <c r="AA19" s="1"/>
      <c r="AB19" s="1"/>
      <c r="AC19" s="1"/>
    </row>
    <row r="20" spans="1:29" x14ac:dyDescent="0.3">
      <c r="A20" s="1"/>
      <c r="B20" s="19" t="s">
        <v>13</v>
      </c>
      <c r="C20" s="28">
        <v>3.5380000000000002E-2</v>
      </c>
      <c r="D20" s="28">
        <f>T20</f>
        <v>3.7568062501205403E-2</v>
      </c>
      <c r="E20" s="9"/>
      <c r="F20" s="9">
        <v>1670443749</v>
      </c>
      <c r="G20" s="9"/>
      <c r="H20" s="9">
        <f t="shared" ref="H20:H23" si="6">C20*$F20</f>
        <v>59100299.839620002</v>
      </c>
      <c r="I20" s="9"/>
      <c r="J20" s="9">
        <f t="shared" ref="J20:J23" si="7">D20*$F20</f>
        <v>62755335.167179868</v>
      </c>
      <c r="K20" s="9"/>
      <c r="L20" s="27">
        <f t="shared" ref="L20:L24" si="8">J20/H20-1</f>
        <v>6.1844615636105216E-2</v>
      </c>
      <c r="M20" s="6"/>
      <c r="N20" s="6"/>
      <c r="O20" s="67"/>
      <c r="P20" s="65"/>
      <c r="Q20" s="65"/>
      <c r="R20" s="71">
        <f>(1+Q$17)*U20</f>
        <v>62755335.167179868</v>
      </c>
      <c r="S20" s="39">
        <v>1670443749</v>
      </c>
      <c r="T20" s="69">
        <f>R20/S20</f>
        <v>3.7568062501205403E-2</v>
      </c>
      <c r="U20" s="43">
        <v>63861064.524269998</v>
      </c>
      <c r="V20" s="39"/>
      <c r="W20" s="53">
        <v>8.0553985302430631E-2</v>
      </c>
      <c r="X20" s="53"/>
      <c r="Y20" s="53"/>
      <c r="Z20" s="54"/>
      <c r="AA20" s="1"/>
      <c r="AB20" s="1">
        <f>F20/876</f>
        <v>1906899.256849315</v>
      </c>
      <c r="AC20" s="1"/>
    </row>
    <row r="21" spans="1:29" x14ac:dyDescent="0.3">
      <c r="A21" s="1"/>
      <c r="B21" s="19" t="s">
        <v>14</v>
      </c>
      <c r="C21" s="26">
        <v>3.63</v>
      </c>
      <c r="D21" s="26">
        <f>T21</f>
        <v>3.4787062844432941</v>
      </c>
      <c r="E21" s="9"/>
      <c r="F21" s="9">
        <v>4104101</v>
      </c>
      <c r="G21" s="9"/>
      <c r="H21" s="9">
        <f t="shared" si="6"/>
        <v>14897886.629999999</v>
      </c>
      <c r="I21" s="9"/>
      <c r="J21" s="9">
        <f t="shared" si="7"/>
        <v>14276961.940690007</v>
      </c>
      <c r="K21" s="9"/>
      <c r="L21" s="27">
        <f t="shared" si="8"/>
        <v>-4.1678709519753721E-2</v>
      </c>
      <c r="M21" s="6"/>
      <c r="N21" s="6"/>
      <c r="O21" s="67"/>
      <c r="P21" s="65"/>
      <c r="Q21" s="65"/>
      <c r="R21" s="71">
        <f t="shared" ref="R21:R23" si="9">(1+Q$17)*U21</f>
        <v>14276961.940690007</v>
      </c>
      <c r="S21" s="39">
        <v>4104101</v>
      </c>
      <c r="T21" s="69">
        <f t="shared" ref="T21:T23" si="10">R21/S21</f>
        <v>3.4787062844432941</v>
      </c>
      <c r="U21" s="43">
        <v>14528517.540000001</v>
      </c>
      <c r="V21" s="39"/>
      <c r="W21" s="53">
        <v>-2.4793388429751984E-2</v>
      </c>
      <c r="X21" s="53"/>
      <c r="Y21" s="53"/>
      <c r="Z21" s="54"/>
      <c r="AA21" s="1"/>
      <c r="AB21" s="5">
        <f>AB$20/F21</f>
        <v>0.46463263376055197</v>
      </c>
      <c r="AC21" s="1"/>
    </row>
    <row r="22" spans="1:29" x14ac:dyDescent="0.3">
      <c r="A22" s="1"/>
      <c r="B22" s="19" t="s">
        <v>15</v>
      </c>
      <c r="C22" s="26">
        <v>3.79</v>
      </c>
      <c r="D22" s="26">
        <f t="shared" ref="D22:D23" si="11">T22</f>
        <v>3.6261090931061446</v>
      </c>
      <c r="E22" s="9"/>
      <c r="F22" s="9">
        <v>3725959</v>
      </c>
      <c r="G22" s="9"/>
      <c r="H22" s="9">
        <f t="shared" si="6"/>
        <v>14121384.609999999</v>
      </c>
      <c r="I22" s="9"/>
      <c r="J22" s="9">
        <f t="shared" si="7"/>
        <v>13510733.810440678</v>
      </c>
      <c r="K22" s="9"/>
      <c r="L22" s="27">
        <f t="shared" si="8"/>
        <v>-4.32429833493021E-2</v>
      </c>
      <c r="M22" s="6"/>
      <c r="N22" s="6"/>
      <c r="O22" s="62"/>
      <c r="P22" s="63"/>
      <c r="Q22" s="63"/>
      <c r="R22" s="71">
        <f t="shared" si="9"/>
        <v>13510733.810440678</v>
      </c>
      <c r="S22" s="39">
        <v>3725959</v>
      </c>
      <c r="T22" s="69">
        <f t="shared" si="10"/>
        <v>3.6261090931061446</v>
      </c>
      <c r="U22" s="43">
        <v>13748788.709999999</v>
      </c>
      <c r="V22" s="39"/>
      <c r="W22" s="53">
        <v>-2.6385224274406371E-2</v>
      </c>
      <c r="X22" s="53"/>
      <c r="Y22" s="53"/>
      <c r="Z22" s="54"/>
      <c r="AA22" s="1"/>
      <c r="AB22" s="5">
        <f t="shared" ref="AB22:AB23" si="12">AB$20/F22</f>
        <v>0.5117875040625286</v>
      </c>
      <c r="AC22" s="1"/>
    </row>
    <row r="23" spans="1:29" x14ac:dyDescent="0.3">
      <c r="A23" s="1"/>
      <c r="B23" s="19" t="s">
        <v>16</v>
      </c>
      <c r="C23" s="26">
        <v>4.63</v>
      </c>
      <c r="D23" s="26">
        <f t="shared" si="11"/>
        <v>4.9527343710718084</v>
      </c>
      <c r="E23" s="9"/>
      <c r="F23" s="9">
        <v>3676463</v>
      </c>
      <c r="G23" s="9"/>
      <c r="H23" s="8">
        <f t="shared" si="6"/>
        <v>17022023.690000001</v>
      </c>
      <c r="I23" s="9"/>
      <c r="J23" s="8">
        <f t="shared" si="7"/>
        <v>18208544.664073773</v>
      </c>
      <c r="K23" s="9"/>
      <c r="L23" s="27">
        <f t="shared" si="8"/>
        <v>6.9705047747690596E-2</v>
      </c>
      <c r="M23" s="6"/>
      <c r="N23" s="6"/>
      <c r="O23" s="62"/>
      <c r="P23" s="63"/>
      <c r="Q23" s="63"/>
      <c r="R23" s="71">
        <f t="shared" si="9"/>
        <v>18208544.664073773</v>
      </c>
      <c r="S23" s="39">
        <v>3676463</v>
      </c>
      <c r="T23" s="69">
        <f t="shared" si="10"/>
        <v>4.9527343710718084</v>
      </c>
      <c r="U23" s="43">
        <v>18529373.52</v>
      </c>
      <c r="V23" s="39"/>
      <c r="W23" s="53">
        <v>8.8552915766738627E-2</v>
      </c>
      <c r="X23" s="53"/>
      <c r="Y23" s="53"/>
      <c r="Z23" s="54"/>
      <c r="AA23" s="1"/>
      <c r="AB23" s="5">
        <f t="shared" si="12"/>
        <v>0.51867766841372132</v>
      </c>
      <c r="AC23" s="1"/>
    </row>
    <row r="24" spans="1:29" x14ac:dyDescent="0.3">
      <c r="A24" s="1"/>
      <c r="B24" s="19" t="s">
        <v>17</v>
      </c>
      <c r="C24" s="9"/>
      <c r="D24" s="9"/>
      <c r="E24" s="9"/>
      <c r="F24" s="9"/>
      <c r="G24" s="9"/>
      <c r="H24" s="9">
        <f>SUM(H19:H23)</f>
        <v>105394194.76962</v>
      </c>
      <c r="I24" s="9"/>
      <c r="J24" s="9">
        <f>SUM(J19:J23)</f>
        <v>109004175.58238432</v>
      </c>
      <c r="K24" s="9"/>
      <c r="L24" s="27">
        <f t="shared" si="8"/>
        <v>3.4252178885709306E-2</v>
      </c>
      <c r="M24" s="6"/>
      <c r="N24" s="6"/>
      <c r="O24" s="62"/>
      <c r="P24" s="63"/>
      <c r="Q24" s="63"/>
      <c r="R24" s="63"/>
      <c r="S24" s="39"/>
      <c r="T24" s="63"/>
      <c r="U24" s="43">
        <v>110920344.29426999</v>
      </c>
      <c r="V24" s="39"/>
      <c r="W24" s="53"/>
      <c r="X24" s="39">
        <f>U24-H24</f>
        <v>5526149.5246499926</v>
      </c>
      <c r="Y24" s="39">
        <f>T47</f>
        <v>3609980.8127643168</v>
      </c>
      <c r="Z24" s="52">
        <f>Y24-X24</f>
        <v>-1916168.7118856758</v>
      </c>
      <c r="AA24" s="1"/>
      <c r="AB24" s="1"/>
      <c r="AC24" s="1"/>
    </row>
    <row r="25" spans="1:29" x14ac:dyDescent="0.3">
      <c r="A25" s="1"/>
      <c r="B25" s="19" t="s">
        <v>18</v>
      </c>
      <c r="C25" s="9"/>
      <c r="D25" s="9"/>
      <c r="E25" s="9"/>
      <c r="F25" s="9"/>
      <c r="G25" s="9"/>
      <c r="H25" s="34">
        <v>0.99999994299999995</v>
      </c>
      <c r="I25" s="35"/>
      <c r="J25" s="34">
        <f>H25</f>
        <v>0.99999994299999995</v>
      </c>
      <c r="K25" s="9"/>
      <c r="L25" s="30"/>
      <c r="M25" s="9"/>
      <c r="N25" s="9"/>
      <c r="O25" s="70"/>
      <c r="P25" s="39"/>
      <c r="Q25" s="39"/>
      <c r="R25" s="39"/>
      <c r="S25" s="39"/>
      <c r="T25" s="39"/>
      <c r="U25" s="45">
        <v>0.99999994299999995</v>
      </c>
      <c r="V25" s="39"/>
      <c r="W25" s="39"/>
      <c r="X25" s="39"/>
      <c r="Y25" s="39"/>
      <c r="Z25" s="52"/>
      <c r="AA25" s="1"/>
      <c r="AB25" s="1"/>
      <c r="AC25" s="1"/>
    </row>
    <row r="26" spans="1:29" x14ac:dyDescent="0.3">
      <c r="A26" s="1"/>
      <c r="B26" s="19" t="s">
        <v>27</v>
      </c>
      <c r="C26" s="9"/>
      <c r="D26" s="9"/>
      <c r="E26" s="9"/>
      <c r="F26" s="9"/>
      <c r="G26" s="9"/>
      <c r="H26" s="9">
        <f>AA26</f>
        <v>17873059</v>
      </c>
      <c r="I26" s="9"/>
      <c r="J26" s="9">
        <f>AA26</f>
        <v>17873059</v>
      </c>
      <c r="K26" s="9"/>
      <c r="L26" s="27">
        <f t="shared" ref="L26:L27" si="13">J26/H26-1</f>
        <v>0</v>
      </c>
      <c r="M26" s="6"/>
      <c r="N26" s="6"/>
      <c r="O26" s="62"/>
      <c r="P26" s="63"/>
      <c r="Q26" s="63"/>
      <c r="R26" s="63"/>
      <c r="S26" s="39"/>
      <c r="T26" s="63"/>
      <c r="U26" s="43">
        <v>17873059</v>
      </c>
      <c r="V26" s="39"/>
      <c r="W26" s="53">
        <v>0</v>
      </c>
      <c r="X26" s="53"/>
      <c r="Y26" s="53"/>
      <c r="Z26" s="54"/>
      <c r="AA26" s="32">
        <v>17873059</v>
      </c>
      <c r="AB26" s="1"/>
      <c r="AC26" s="1"/>
    </row>
    <row r="27" spans="1:29" ht="15" thickBot="1" x14ac:dyDescent="0.35">
      <c r="A27" s="1"/>
      <c r="B27" s="19" t="s">
        <v>19</v>
      </c>
      <c r="C27" s="9"/>
      <c r="D27" s="9"/>
      <c r="E27" s="9"/>
      <c r="F27" s="9"/>
      <c r="G27" s="9"/>
      <c r="H27" s="33">
        <f>H24/H25+H26</f>
        <v>123267259.77708945</v>
      </c>
      <c r="I27" s="9"/>
      <c r="J27" s="33">
        <f>J24/J25+J26</f>
        <v>126877240.79562269</v>
      </c>
      <c r="K27" s="9"/>
      <c r="L27" s="76">
        <f t="shared" si="13"/>
        <v>2.9285805696186884E-2</v>
      </c>
      <c r="M27" s="6"/>
      <c r="N27" s="38">
        <f>J27-H27</f>
        <v>3609981.0185332447</v>
      </c>
      <c r="O27" s="62"/>
      <c r="P27" s="63"/>
      <c r="Q27" s="63"/>
      <c r="R27" s="63"/>
      <c r="S27" s="39"/>
      <c r="T27" s="63"/>
      <c r="U27" s="43">
        <v>128793409.61672999</v>
      </c>
      <c r="V27" s="39"/>
      <c r="W27" s="53">
        <v>4.4830637507751625E-2</v>
      </c>
      <c r="X27" s="53"/>
      <c r="Y27" s="53"/>
      <c r="Z27" s="54"/>
      <c r="AA27" s="1"/>
      <c r="AB27" s="1"/>
      <c r="AC27" s="1"/>
    </row>
    <row r="28" spans="1:29" ht="15" thickTop="1" x14ac:dyDescent="0.3">
      <c r="A28" s="1"/>
      <c r="B28" s="19"/>
      <c r="C28" s="9"/>
      <c r="D28" s="9"/>
      <c r="E28" s="9"/>
      <c r="F28" s="9"/>
      <c r="G28" s="9"/>
      <c r="H28" s="9"/>
      <c r="I28" s="9"/>
      <c r="J28" s="9"/>
      <c r="K28" s="9"/>
      <c r="L28" s="20"/>
      <c r="M28" s="9"/>
      <c r="N28" s="9"/>
      <c r="O28" s="70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52"/>
      <c r="AA28" s="1"/>
      <c r="AB28" s="1"/>
      <c r="AC28" s="1"/>
    </row>
    <row r="29" spans="1:29" x14ac:dyDescent="0.3">
      <c r="A29" s="1"/>
      <c r="B29" s="25" t="s">
        <v>21</v>
      </c>
      <c r="C29" s="9"/>
      <c r="D29" s="9"/>
      <c r="E29" s="9"/>
      <c r="F29" s="9"/>
      <c r="G29" s="9"/>
      <c r="H29" s="9"/>
      <c r="I29" s="9"/>
      <c r="J29" s="9"/>
      <c r="K29" s="9"/>
      <c r="L29" s="20"/>
      <c r="M29" s="9"/>
      <c r="N29" s="9"/>
      <c r="O29" s="70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52"/>
      <c r="AA29" s="1"/>
      <c r="AB29" s="1"/>
      <c r="AC29" s="1"/>
    </row>
    <row r="30" spans="1:29" x14ac:dyDescent="0.3">
      <c r="A30" s="1"/>
      <c r="B30" s="19" t="s">
        <v>12</v>
      </c>
      <c r="C30" s="9"/>
      <c r="D30" s="26"/>
      <c r="E30" s="9"/>
      <c r="F30" s="9">
        <f>F8+F19</f>
        <v>1316</v>
      </c>
      <c r="G30" s="9"/>
      <c r="H30" s="9">
        <f>H8+H19</f>
        <v>394800</v>
      </c>
      <c r="I30" s="9"/>
      <c r="J30" s="9">
        <f>J8+J19</f>
        <v>394800</v>
      </c>
      <c r="K30" s="9"/>
      <c r="L30" s="27">
        <f>J30/H30-1</f>
        <v>0</v>
      </c>
      <c r="M30" s="6"/>
      <c r="N30" s="6"/>
      <c r="O30" s="62"/>
      <c r="P30" s="63"/>
      <c r="Q30" s="63"/>
      <c r="R30" s="63"/>
      <c r="S30" s="39"/>
      <c r="T30" s="63"/>
      <c r="U30" s="43">
        <v>394800</v>
      </c>
      <c r="V30" s="39"/>
      <c r="W30" s="53">
        <v>0</v>
      </c>
      <c r="X30" s="53"/>
      <c r="Y30" s="53"/>
      <c r="Z30" s="54"/>
      <c r="AA30" s="1"/>
      <c r="AB30" s="1"/>
      <c r="AC30" s="1"/>
    </row>
    <row r="31" spans="1:29" x14ac:dyDescent="0.3">
      <c r="A31" s="1"/>
      <c r="B31" s="19" t="s">
        <v>13</v>
      </c>
      <c r="C31" s="9"/>
      <c r="D31" s="28"/>
      <c r="E31" s="9"/>
      <c r="F31" s="9">
        <f>F9+F20</f>
        <v>2043094799</v>
      </c>
      <c r="G31" s="9"/>
      <c r="H31" s="9">
        <f>H9+H20</f>
        <v>73298304.844620004</v>
      </c>
      <c r="I31" s="9"/>
      <c r="J31" s="9">
        <f>J9+J20</f>
        <v>78117264.409465209</v>
      </c>
      <c r="K31" s="9"/>
      <c r="L31" s="27">
        <f t="shared" ref="L31:L34" si="14">J31/H31-1</f>
        <v>6.5744488567103687E-2</v>
      </c>
      <c r="M31" s="6"/>
      <c r="N31" s="6"/>
      <c r="O31" s="62"/>
      <c r="P31" s="63"/>
      <c r="Q31" s="63"/>
      <c r="R31" s="63"/>
      <c r="S31" s="39"/>
      <c r="T31" s="63"/>
      <c r="U31" s="43">
        <v>78107514.165769994</v>
      </c>
      <c r="V31" s="39"/>
      <c r="W31" s="53">
        <v>6.5611467159366166E-2</v>
      </c>
      <c r="X31" s="53"/>
      <c r="Y31" s="53"/>
      <c r="Z31" s="54"/>
      <c r="AA31" s="1"/>
      <c r="AB31" s="1"/>
      <c r="AC31" s="1"/>
    </row>
    <row r="32" spans="1:29" x14ac:dyDescent="0.3">
      <c r="A32" s="1"/>
      <c r="B32" s="19" t="s">
        <v>14</v>
      </c>
      <c r="C32" s="9"/>
      <c r="D32" s="26"/>
      <c r="E32" s="9"/>
      <c r="F32" s="9">
        <f>F10+F21</f>
        <v>4991069</v>
      </c>
      <c r="G32" s="9"/>
      <c r="H32" s="9">
        <f>H10+H21</f>
        <v>18428019.27</v>
      </c>
      <c r="I32" s="9"/>
      <c r="J32" s="9">
        <f>J10+J21</f>
        <v>17662676.388613887</v>
      </c>
      <c r="K32" s="9"/>
      <c r="L32" s="27">
        <f t="shared" si="14"/>
        <v>-4.1531478243679532E-2</v>
      </c>
      <c r="M32" s="6"/>
      <c r="N32" s="6"/>
      <c r="O32" s="62"/>
      <c r="P32" s="63"/>
      <c r="Q32" s="63"/>
      <c r="R32" s="63"/>
      <c r="S32" s="39"/>
      <c r="T32" s="63"/>
      <c r="U32" s="43">
        <v>17668384.260000002</v>
      </c>
      <c r="V32" s="39"/>
      <c r="W32" s="53">
        <v>-4.1221739508198296E-2</v>
      </c>
      <c r="X32" s="53"/>
      <c r="Y32" s="53"/>
      <c r="Z32" s="54"/>
      <c r="AA32" s="1"/>
      <c r="AB32" s="1"/>
      <c r="AC32" s="1"/>
    </row>
    <row r="33" spans="1:29" x14ac:dyDescent="0.3">
      <c r="A33" s="1"/>
      <c r="B33" s="19" t="s">
        <v>15</v>
      </c>
      <c r="C33" s="9"/>
      <c r="D33" s="26"/>
      <c r="E33" s="9"/>
      <c r="F33" s="9">
        <f>F11+F22</f>
        <v>4548034</v>
      </c>
      <c r="G33" s="9"/>
      <c r="H33" s="9">
        <f>H11+H22</f>
        <v>17516554.359999999</v>
      </c>
      <c r="I33" s="9"/>
      <c r="J33" s="9">
        <f>J11+J22</f>
        <v>16781706.517724007</v>
      </c>
      <c r="K33" s="9"/>
      <c r="L33" s="27">
        <f t="shared" si="14"/>
        <v>-4.1951620574081416E-2</v>
      </c>
      <c r="M33" s="6"/>
      <c r="N33" s="6"/>
      <c r="O33" s="62"/>
      <c r="P33" s="63"/>
      <c r="Q33" s="63"/>
      <c r="R33" s="63"/>
      <c r="S33" s="39"/>
      <c r="T33" s="63"/>
      <c r="U33" s="43">
        <v>16782245.460000001</v>
      </c>
      <c r="V33" s="39"/>
      <c r="W33" s="53">
        <v>-4.1920852977617162E-2</v>
      </c>
      <c r="X33" s="53"/>
      <c r="Y33" s="53"/>
      <c r="Z33" s="54"/>
      <c r="AA33" s="1"/>
      <c r="AB33" s="1"/>
      <c r="AC33" s="1"/>
    </row>
    <row r="34" spans="1:29" x14ac:dyDescent="0.3">
      <c r="A34" s="1"/>
      <c r="B34" s="19" t="s">
        <v>16</v>
      </c>
      <c r="C34" s="9"/>
      <c r="D34" s="26"/>
      <c r="E34" s="9"/>
      <c r="F34" s="9">
        <f>F12+F23</f>
        <v>4480580</v>
      </c>
      <c r="G34" s="9"/>
      <c r="H34" s="8">
        <f>H12+H23</f>
        <v>21710025.800000001</v>
      </c>
      <c r="I34" s="9"/>
      <c r="J34" s="8">
        <f>J12+J23</f>
        <v>22578619.692416023</v>
      </c>
      <c r="K34" s="9"/>
      <c r="L34" s="27">
        <f t="shared" si="14"/>
        <v>4.0008883472447243E-2</v>
      </c>
      <c r="M34" s="6"/>
      <c r="N34" s="6"/>
      <c r="O34" s="62"/>
      <c r="P34" s="63"/>
      <c r="Q34" s="63"/>
      <c r="R34" s="63"/>
      <c r="S34" s="39"/>
      <c r="T34" s="63"/>
      <c r="U34" s="43">
        <v>22582123.199999999</v>
      </c>
      <c r="V34" s="39"/>
      <c r="W34" s="53">
        <v>4.0170260875507457E-2</v>
      </c>
      <c r="X34" s="53"/>
      <c r="Y34" s="53"/>
      <c r="Z34" s="54"/>
      <c r="AA34" s="1"/>
      <c r="AB34" s="1"/>
      <c r="AC34" s="1"/>
    </row>
    <row r="35" spans="1:29" x14ac:dyDescent="0.3">
      <c r="A35" s="1"/>
      <c r="B35" s="19" t="s">
        <v>17</v>
      </c>
      <c r="C35" s="9"/>
      <c r="D35" s="9"/>
      <c r="E35" s="9"/>
      <c r="F35" s="9"/>
      <c r="G35" s="9"/>
      <c r="H35" s="9">
        <f>SUM(H30:H34)</f>
        <v>131347704.27462</v>
      </c>
      <c r="I35" s="9"/>
      <c r="J35" s="9">
        <f>SUM(J30:J34)</f>
        <v>135535067.00821912</v>
      </c>
      <c r="K35" s="9"/>
      <c r="L35" s="27"/>
      <c r="M35" s="6"/>
      <c r="O35" s="62"/>
      <c r="P35" s="63"/>
      <c r="Q35" s="63"/>
      <c r="R35" s="63"/>
      <c r="S35" s="39"/>
      <c r="T35" s="63"/>
      <c r="U35" s="43">
        <v>135535067.08576998</v>
      </c>
      <c r="V35" s="39"/>
      <c r="W35" s="53"/>
      <c r="X35" s="53"/>
      <c r="Y35" s="53"/>
      <c r="Z35" s="54"/>
      <c r="AA35" s="1"/>
      <c r="AB35" s="1"/>
      <c r="AC35" s="1"/>
    </row>
    <row r="36" spans="1:29" x14ac:dyDescent="0.3">
      <c r="A36" s="1"/>
      <c r="B36" s="19" t="s">
        <v>18</v>
      </c>
      <c r="C36" s="9"/>
      <c r="D36" s="9"/>
      <c r="E36" s="9"/>
      <c r="F36" s="9"/>
      <c r="G36" s="9"/>
      <c r="H36" s="36">
        <v>1.0000000152267603</v>
      </c>
      <c r="I36" s="29"/>
      <c r="J36" s="7">
        <f>H36</f>
        <v>1.0000000152267603</v>
      </c>
      <c r="K36" s="9"/>
      <c r="L36" s="30"/>
      <c r="M36" s="9"/>
      <c r="N36" s="9"/>
      <c r="O36" s="70"/>
      <c r="P36" s="39"/>
      <c r="Q36" s="39"/>
      <c r="R36" s="39"/>
      <c r="S36" s="39"/>
      <c r="T36" s="39"/>
      <c r="U36" s="44">
        <v>1.0000000152267603</v>
      </c>
      <c r="V36" s="39"/>
      <c r="W36" s="39"/>
      <c r="X36" s="39"/>
      <c r="Y36" s="39"/>
      <c r="Z36" s="52"/>
      <c r="AA36" s="1"/>
      <c r="AB36" s="1"/>
      <c r="AC36" s="1"/>
    </row>
    <row r="37" spans="1:29" x14ac:dyDescent="0.3">
      <c r="A37" s="1"/>
      <c r="B37" s="19" t="s">
        <v>27</v>
      </c>
      <c r="C37" s="9"/>
      <c r="D37" s="9"/>
      <c r="E37" s="9"/>
      <c r="F37" s="9"/>
      <c r="G37" s="9"/>
      <c r="H37" s="9">
        <f>AA37</f>
        <v>21857740</v>
      </c>
      <c r="I37" s="9"/>
      <c r="J37" s="9">
        <f>AA37</f>
        <v>21857740</v>
      </c>
      <c r="K37" s="9"/>
      <c r="L37" s="27">
        <f t="shared" ref="L37:L38" si="15">J37/H37-1</f>
        <v>0</v>
      </c>
      <c r="M37" s="6"/>
      <c r="O37" s="62"/>
      <c r="P37" s="63"/>
      <c r="Q37" s="63"/>
      <c r="R37" s="63"/>
      <c r="S37" s="39"/>
      <c r="T37" s="63"/>
      <c r="U37" s="43">
        <v>21857740</v>
      </c>
      <c r="V37" s="39"/>
      <c r="W37" s="53">
        <v>0</v>
      </c>
      <c r="X37" s="53"/>
      <c r="Y37" s="53"/>
      <c r="Z37" s="54"/>
      <c r="AA37" s="1">
        <f>AA26+AA15</f>
        <v>21857740</v>
      </c>
      <c r="AB37" s="1"/>
      <c r="AC37" s="1"/>
    </row>
    <row r="38" spans="1:29" x14ac:dyDescent="0.3">
      <c r="A38" s="1"/>
      <c r="B38" s="31" t="s">
        <v>19</v>
      </c>
      <c r="C38" s="8"/>
      <c r="D38" s="8"/>
      <c r="E38" s="8"/>
      <c r="F38" s="8"/>
      <c r="G38" s="8"/>
      <c r="H38" s="78">
        <f>H35/H36+H37</f>
        <v>153205442.27462</v>
      </c>
      <c r="I38" s="8"/>
      <c r="J38" s="8">
        <f>J35/J36+J37</f>
        <v>157392804.94445917</v>
      </c>
      <c r="K38" s="8"/>
      <c r="L38" s="77">
        <f t="shared" si="15"/>
        <v>2.7331683572528354E-2</v>
      </c>
      <c r="M38" s="6"/>
      <c r="N38" s="43">
        <f>J38-H38</f>
        <v>4187362.6698391736</v>
      </c>
      <c r="O38" s="72"/>
      <c r="P38" s="73"/>
      <c r="Q38" s="73"/>
      <c r="R38" s="73"/>
      <c r="S38" s="56"/>
      <c r="T38" s="73"/>
      <c r="U38" s="55">
        <v>157392805.02201003</v>
      </c>
      <c r="V38" s="56"/>
      <c r="W38" s="57">
        <v>2.7331684078717E-2</v>
      </c>
      <c r="X38" s="57"/>
      <c r="Y38" s="57"/>
      <c r="Z38" s="58"/>
      <c r="AA38" s="1"/>
      <c r="AB38" s="1">
        <f>J38-H38</f>
        <v>4187362.6698391736</v>
      </c>
      <c r="AC38" s="1"/>
    </row>
    <row r="39" spans="1:29" x14ac:dyDescent="0.3">
      <c r="A39" s="1"/>
      <c r="B39" s="2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43">
        <f>N27+N16</f>
        <v>4187362.7615344711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x14ac:dyDescent="0.3">
      <c r="A40" s="1"/>
      <c r="B40" s="2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x14ac:dyDescent="0.3">
      <c r="A41" s="1"/>
      <c r="B41" s="2"/>
      <c r="C41" s="1"/>
      <c r="D41" s="1"/>
      <c r="E41" s="1"/>
      <c r="F41" s="10">
        <f>F20/F31</f>
        <v>0.81760462109619414</v>
      </c>
      <c r="G41" s="1"/>
      <c r="H41" s="11">
        <f>H27/H38</f>
        <v>0.804587996006914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x14ac:dyDescent="0.3">
      <c r="A42" s="1"/>
      <c r="B42" s="2"/>
      <c r="C42" s="1"/>
      <c r="D42" s="1"/>
      <c r="E42" s="1"/>
      <c r="F42" s="1" t="s">
        <v>22</v>
      </c>
      <c r="G42" s="1"/>
      <c r="H42" s="1" t="s">
        <v>23</v>
      </c>
      <c r="I42" s="1"/>
      <c r="J42" s="4">
        <v>135535067.08576998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x14ac:dyDescent="0.3">
      <c r="A43" s="1"/>
      <c r="B43" s="2"/>
      <c r="C43" s="1"/>
      <c r="D43" s="1"/>
      <c r="E43" s="1"/>
      <c r="F43" s="1" t="s">
        <v>24</v>
      </c>
      <c r="G43" s="1"/>
      <c r="H43" s="1"/>
      <c r="I43" s="1"/>
      <c r="J43" s="1">
        <f>J35</f>
        <v>135535067.00821912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x14ac:dyDescent="0.3">
      <c r="A44" s="1"/>
      <c r="B44" s="2"/>
      <c r="C44" s="1"/>
      <c r="D44" s="1"/>
      <c r="E44" s="1"/>
      <c r="F44" s="1" t="s">
        <v>25</v>
      </c>
      <c r="G44" s="1"/>
      <c r="H44" s="1"/>
      <c r="I44" s="1"/>
      <c r="J44" s="1">
        <f>J42-J43</f>
        <v>7.755085825920105E-2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W44" s="12">
        <f>J44/F31</f>
        <v>3.7957542791043567E-11</v>
      </c>
      <c r="X44" s="12"/>
      <c r="Y44" s="12"/>
      <c r="Z44" s="12"/>
      <c r="AA44" s="1"/>
      <c r="AB44" s="1"/>
      <c r="AC44" s="1"/>
    </row>
    <row r="45" spans="1:29" x14ac:dyDescent="0.3">
      <c r="A45" s="1"/>
      <c r="B45" s="2"/>
      <c r="C45" s="1"/>
      <c r="D45" s="1"/>
      <c r="E45" s="1"/>
      <c r="F45" s="1" t="s">
        <v>26</v>
      </c>
      <c r="G45" s="1"/>
      <c r="H45" s="47"/>
      <c r="I45" s="40"/>
      <c r="J45" s="40" t="s">
        <v>32</v>
      </c>
      <c r="K45" s="40"/>
      <c r="L45" s="40" t="s">
        <v>33</v>
      </c>
      <c r="M45" s="40"/>
      <c r="N45" s="40" t="s">
        <v>6</v>
      </c>
      <c r="O45" s="40"/>
      <c r="P45" s="40"/>
      <c r="Q45" s="40"/>
      <c r="R45" s="40"/>
      <c r="S45" s="40"/>
      <c r="T45" s="40" t="s">
        <v>34</v>
      </c>
      <c r="U45" s="1"/>
      <c r="W45" s="12">
        <v>0</v>
      </c>
      <c r="X45" s="12"/>
      <c r="Y45" s="12"/>
      <c r="Z45" s="12"/>
      <c r="AA45" s="1"/>
      <c r="AB45" s="1"/>
      <c r="AC45" s="1"/>
    </row>
    <row r="46" spans="1:29" x14ac:dyDescent="0.3">
      <c r="A46" s="1"/>
      <c r="B46" s="2"/>
      <c r="C46" s="1"/>
      <c r="D46" s="1"/>
      <c r="E46" s="1"/>
      <c r="F46" s="1"/>
      <c r="G46" s="1"/>
      <c r="H46" s="40" t="s">
        <v>29</v>
      </c>
      <c r="I46" s="40"/>
      <c r="J46" s="40">
        <f>H16</f>
        <v>29938182.511321533</v>
      </c>
      <c r="K46" s="40"/>
      <c r="L46" s="46">
        <f>(1+N46)*J46</f>
        <v>30515564.432156324</v>
      </c>
      <c r="M46" s="46"/>
      <c r="N46" s="48">
        <f>N50</f>
        <v>1.9285804026895875E-2</v>
      </c>
      <c r="O46" s="48"/>
      <c r="P46" s="48"/>
      <c r="Q46" s="48"/>
      <c r="R46" s="48"/>
      <c r="S46" s="48"/>
      <c r="T46" s="40">
        <f>L46-J46</f>
        <v>577381.92083479092</v>
      </c>
      <c r="U46" s="1"/>
      <c r="V46" s="1"/>
      <c r="W46" s="1"/>
      <c r="X46" s="1"/>
      <c r="Y46" s="1"/>
      <c r="Z46" s="1"/>
      <c r="AA46" s="1"/>
      <c r="AB46" s="1"/>
      <c r="AC46" s="1"/>
    </row>
    <row r="47" spans="1:29" x14ac:dyDescent="0.3">
      <c r="H47" s="40" t="s">
        <v>30</v>
      </c>
      <c r="I47" s="47"/>
      <c r="J47" s="46">
        <f>H27</f>
        <v>123267259.77708945</v>
      </c>
      <c r="K47" s="47"/>
      <c r="L47" s="46">
        <f>(1+N47)*J47</f>
        <v>126877240.58985376</v>
      </c>
      <c r="M47" s="46"/>
      <c r="N47" s="48">
        <f>N46+0.01</f>
        <v>2.9285804026895873E-2</v>
      </c>
      <c r="O47" s="48"/>
      <c r="P47" s="48"/>
      <c r="Q47" s="48"/>
      <c r="R47" s="48"/>
      <c r="S47" s="48"/>
      <c r="T47" s="46">
        <f>L47-J47</f>
        <v>3609980.8127643168</v>
      </c>
    </row>
    <row r="48" spans="1:29" x14ac:dyDescent="0.3">
      <c r="H48" s="40" t="s">
        <v>31</v>
      </c>
      <c r="I48" s="47"/>
      <c r="J48" s="46">
        <f>H38</f>
        <v>153205442.27462</v>
      </c>
      <c r="K48" s="47"/>
      <c r="L48" s="46">
        <f>U38</f>
        <v>157392805.02201003</v>
      </c>
      <c r="M48" s="46"/>
      <c r="N48" s="48">
        <f>L48/J48-1</f>
        <v>2.7331684078717E-2</v>
      </c>
      <c r="O48" s="48"/>
      <c r="P48" s="48"/>
      <c r="Q48" s="48"/>
      <c r="R48" s="48"/>
      <c r="S48" s="48"/>
      <c r="T48" s="46">
        <f>L48-J48</f>
        <v>4187362.7473900318</v>
      </c>
    </row>
    <row r="49" spans="8:20" x14ac:dyDescent="0.3"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</row>
    <row r="50" spans="8:20" x14ac:dyDescent="0.3">
      <c r="H50" s="47"/>
      <c r="I50" s="47"/>
      <c r="J50" s="47"/>
      <c r="K50" s="47"/>
      <c r="L50" s="46">
        <f>L47+L46-L48</f>
        <v>0</v>
      </c>
      <c r="M50" s="46"/>
      <c r="N50" s="47">
        <v>1.9285804026895875E-2</v>
      </c>
      <c r="O50" s="47"/>
      <c r="P50" s="47"/>
      <c r="Q50" s="47"/>
      <c r="R50" s="47"/>
      <c r="S50" s="47"/>
      <c r="T50" s="46">
        <f>T47+T46</f>
        <v>4187362.7335991077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x1</vt:lpstr>
      <vt:lpstr>Table x2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STEVE</cp:lastModifiedBy>
  <dcterms:created xsi:type="dcterms:W3CDTF">2015-02-11T17:22:50Z</dcterms:created>
  <dcterms:modified xsi:type="dcterms:W3CDTF">2015-02-11T20:06:27Z</dcterms:modified>
</cp:coreProperties>
</file>